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2623633B-A3BA-4D24-AC32-7213618A9C63}" xr6:coauthVersionLast="47" xr6:coauthVersionMax="47" xr10:uidLastSave="{00000000-0000-0000-0000-000000000000}"/>
  <bookViews>
    <workbookView xWindow="-120" yWindow="-120" windowWidth="20730" windowHeight="11160" tabRatio="870" activeTab="3" xr2:uid="{00000000-000D-0000-FFFF-FFFF00000000}"/>
  </bookViews>
  <sheets>
    <sheet name="1º aditivo de valor" sheetId="1" r:id="rId1"/>
    <sheet name="MEMORIA ADITIVO" sheetId="7" r:id="rId2"/>
    <sheet name="PLANILHA PÓS ADITIVO" sheetId="15" r:id="rId3"/>
    <sheet name="BM-07_RLR" sheetId="17" r:id="rId4"/>
    <sheet name="MEMORIA DE CALCULO_BM-07" sheetId="18" r:id="rId5"/>
    <sheet name="RELATÓRIO FOTOGRÁFICO_BM-07" sheetId="14" r:id="rId6"/>
    <sheet name="BM-06" sheetId="16" r:id="rId7"/>
    <sheet name="MEMORIA DE CÁLCULO ATERRO" sheetId="13" r:id="rId8"/>
    <sheet name="MEMORIA ATERRO (2)" sheetId="8" r:id="rId9"/>
    <sheet name="MEMORIA MURO" sheetId="9" r:id="rId10"/>
    <sheet name="MEMORIA BM 03" sheetId="2" state="hidden" r:id="rId11"/>
    <sheet name="MEMORIA ATERRO" sheetId="3" state="hidden" r:id="rId12"/>
    <sheet name="MEMÓRIA ALVENARIA" sheetId="4" state="hidden" r:id="rId13"/>
    <sheet name="MEMÓRIA PILARES" sheetId="5" state="hidden" r:id="rId14"/>
    <sheet name="MEMÓRIA VIGAS" sheetId="6" state="hidden" r:id="rId15"/>
    <sheet name="COMPOSIÇÕES NOVAS" sheetId="12" r:id="rId16"/>
    <sheet name="Plan1" sheetId="10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xlnm.Print_Area" localSheetId="0">'1º aditivo de valor'!$A$1:$P$277</definedName>
    <definedName name="_xlnm.Print_Area" localSheetId="3">'BM-07_RLR'!$A$1:$O$287</definedName>
    <definedName name="_xlnm.Print_Area" localSheetId="15">'COMPOSIÇÕES NOVAS'!$A$1:$I$170</definedName>
    <definedName name="_xlnm.Print_Area" localSheetId="1">'MEMORIA ADITIVO'!$A$1:$E$45</definedName>
    <definedName name="_xlnm.Print_Area" localSheetId="11">'MEMORIA ATERRO'!$A$1:$AH$40</definedName>
    <definedName name="_xlnm.Print_Area" localSheetId="8">'MEMORIA ATERRO (2)'!$A$1:$AH$40</definedName>
    <definedName name="_xlnm.Print_Area" localSheetId="10">'MEMORIA BM 03'!$A$1:$E$216</definedName>
    <definedName name="_xlnm.Print_Area" localSheetId="4">'MEMORIA DE CALCULO_BM-07'!$A$1:$E$242</definedName>
    <definedName name="_xlnm.Print_Area" localSheetId="13">'MEMÓRIA PILARES'!$A$1:$AH$491</definedName>
    <definedName name="_xlnm.Print_Area" localSheetId="14">'MEMÓRIA VIGAS'!$A$1:$AH$155</definedName>
    <definedName name="_xlnm.Print_Area" localSheetId="2">'PLANILHA PÓS ADITIVO'!$A$1:$N$275</definedName>
    <definedName name="_xlnm.Print_Area" localSheetId="5">'RELATÓRIO FOTOGRÁFICO_BM-07'!$A$1:$L$202</definedName>
    <definedName name="JR_PAGE_ANCHOR_0_1" localSheetId="15">'COMPOSIÇÕES NOVAS'!$A$1</definedName>
    <definedName name="JR_PAGE_ANCHOR_0_1">'1º aditivo de valor'!$A$1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0" i="15" l="1"/>
  <c r="I255" i="15"/>
  <c r="I256" i="15"/>
  <c r="I257" i="15"/>
  <c r="I258" i="15"/>
  <c r="I259" i="15"/>
  <c r="I260" i="15"/>
  <c r="I261" i="15"/>
  <c r="I262" i="15"/>
  <c r="I263" i="15"/>
  <c r="I264" i="15"/>
  <c r="I254" i="15"/>
  <c r="I243" i="15"/>
  <c r="I244" i="15"/>
  <c r="I245" i="15"/>
  <c r="I246" i="15"/>
  <c r="I247" i="15"/>
  <c r="I248" i="15"/>
  <c r="I249" i="15"/>
  <c r="I250" i="15"/>
  <c r="I242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179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29" i="15"/>
  <c r="I122" i="15"/>
  <c r="I123" i="15"/>
  <c r="I124" i="15"/>
  <c r="I125" i="15"/>
  <c r="I121" i="15"/>
  <c r="I117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00" i="15"/>
  <c r="I93" i="15"/>
  <c r="I94" i="15"/>
  <c r="I95" i="15"/>
  <c r="I96" i="15"/>
  <c r="I92" i="15"/>
  <c r="I81" i="15"/>
  <c r="I82" i="15"/>
  <c r="I83" i="15"/>
  <c r="I84" i="15"/>
  <c r="I85" i="15"/>
  <c r="I86" i="15"/>
  <c r="I87" i="15"/>
  <c r="I88" i="15"/>
  <c r="I80" i="15"/>
  <c r="I68" i="15"/>
  <c r="I69" i="15"/>
  <c r="I70" i="15"/>
  <c r="I71" i="15"/>
  <c r="I72" i="15"/>
  <c r="I73" i="15"/>
  <c r="I74" i="15"/>
  <c r="I75" i="15"/>
  <c r="I76" i="15"/>
  <c r="I67" i="15"/>
  <c r="I59" i="15"/>
  <c r="I60" i="15"/>
  <c r="I61" i="15"/>
  <c r="I62" i="15"/>
  <c r="I63" i="15"/>
  <c r="I58" i="15"/>
  <c r="I47" i="15"/>
  <c r="I48" i="15"/>
  <c r="I49" i="15"/>
  <c r="I50" i="15"/>
  <c r="I51" i="15"/>
  <c r="I52" i="15"/>
  <c r="I53" i="15"/>
  <c r="I54" i="15"/>
  <c r="I55" i="15"/>
  <c r="I56" i="15"/>
  <c r="I46" i="15"/>
  <c r="I40" i="15"/>
  <c r="I41" i="15"/>
  <c r="I42" i="15"/>
  <c r="I39" i="15"/>
  <c r="I28" i="15"/>
  <c r="I29" i="15"/>
  <c r="I30" i="15"/>
  <c r="I31" i="15"/>
  <c r="I32" i="15"/>
  <c r="I33" i="15"/>
  <c r="I34" i="15"/>
  <c r="I35" i="15"/>
  <c r="I27" i="15"/>
  <c r="I24" i="15"/>
  <c r="I18" i="15"/>
  <c r="I19" i="15"/>
  <c r="I20" i="15"/>
  <c r="I21" i="15"/>
  <c r="I22" i="15"/>
  <c r="I17" i="15"/>
  <c r="I11" i="15"/>
  <c r="I12" i="15"/>
  <c r="I13" i="15"/>
  <c r="I10" i="15"/>
  <c r="I10" i="17"/>
  <c r="I11" i="17"/>
  <c r="I12" i="17"/>
  <c r="I13" i="17"/>
  <c r="I17" i="17"/>
  <c r="I18" i="17"/>
  <c r="I24" i="17" s="1"/>
  <c r="I19" i="17"/>
  <c r="I20" i="17"/>
  <c r="I21" i="17"/>
  <c r="I22" i="17"/>
  <c r="I27" i="17"/>
  <c r="I36" i="17" s="1"/>
  <c r="I28" i="17"/>
  <c r="I29" i="17"/>
  <c r="I30" i="17"/>
  <c r="I31" i="17"/>
  <c r="I32" i="17"/>
  <c r="I33" i="17"/>
  <c r="I34" i="17"/>
  <c r="I35" i="17"/>
  <c r="I39" i="17"/>
  <c r="I40" i="17"/>
  <c r="I41" i="17"/>
  <c r="I42" i="17"/>
  <c r="I43" i="17"/>
  <c r="I46" i="17"/>
  <c r="I47" i="17"/>
  <c r="I48" i="17"/>
  <c r="I49" i="17"/>
  <c r="I50" i="17"/>
  <c r="I51" i="17"/>
  <c r="I52" i="17"/>
  <c r="I53" i="17"/>
  <c r="I54" i="17"/>
  <c r="I55" i="17"/>
  <c r="I56" i="17"/>
  <c r="I58" i="17"/>
  <c r="I59" i="17"/>
  <c r="I60" i="17"/>
  <c r="I61" i="17"/>
  <c r="I62" i="17"/>
  <c r="I63" i="17"/>
  <c r="I64" i="17"/>
  <c r="I67" i="17"/>
  <c r="I77" i="17" s="1"/>
  <c r="I68" i="17"/>
  <c r="I69" i="17"/>
  <c r="I70" i="17"/>
  <c r="I71" i="17"/>
  <c r="I72" i="17"/>
  <c r="I73" i="17"/>
  <c r="I74" i="17"/>
  <c r="I75" i="17"/>
  <c r="I76" i="17"/>
  <c r="I80" i="17"/>
  <c r="I89" i="17" s="1"/>
  <c r="I81" i="17"/>
  <c r="I82" i="17"/>
  <c r="I83" i="17"/>
  <c r="I84" i="17"/>
  <c r="I85" i="17"/>
  <c r="I86" i="17"/>
  <c r="I87" i="17"/>
  <c r="I88" i="17"/>
  <c r="I92" i="17"/>
  <c r="I97" i="17" s="1"/>
  <c r="I93" i="17"/>
  <c r="I94" i="17"/>
  <c r="I95" i="17"/>
  <c r="I96" i="17"/>
  <c r="I100" i="17"/>
  <c r="I101" i="17"/>
  <c r="I102" i="17"/>
  <c r="I103" i="17"/>
  <c r="I104" i="17"/>
  <c r="I105" i="17"/>
  <c r="I106" i="17"/>
  <c r="I107" i="17"/>
  <c r="I109" i="17"/>
  <c r="I110" i="17"/>
  <c r="I111" i="17"/>
  <c r="I112" i="17"/>
  <c r="I113" i="17"/>
  <c r="I114" i="17"/>
  <c r="I117" i="17"/>
  <c r="I118" i="17"/>
  <c r="I121" i="17"/>
  <c r="I122" i="17"/>
  <c r="I123" i="17"/>
  <c r="I124" i="17"/>
  <c r="I125" i="17"/>
  <c r="I126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9" i="17"/>
  <c r="I180" i="17"/>
  <c r="I239" i="17" s="1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42" i="17"/>
  <c r="I251" i="17" s="1"/>
  <c r="I243" i="17"/>
  <c r="I244" i="17"/>
  <c r="I245" i="17"/>
  <c r="I246" i="17"/>
  <c r="I247" i="17"/>
  <c r="I248" i="17"/>
  <c r="I249" i="17"/>
  <c r="I250" i="17"/>
  <c r="I254" i="17"/>
  <c r="I266" i="17" s="1"/>
  <c r="I255" i="17"/>
  <c r="I256" i="17"/>
  <c r="I257" i="17"/>
  <c r="I258" i="17"/>
  <c r="I259" i="17"/>
  <c r="I260" i="17"/>
  <c r="I261" i="17"/>
  <c r="I262" i="17"/>
  <c r="I263" i="17"/>
  <c r="I264" i="17"/>
  <c r="I14" i="17" l="1"/>
  <c r="I266" i="15" l="1"/>
  <c r="I251" i="15"/>
  <c r="I239" i="15"/>
  <c r="I176" i="15"/>
  <c r="I126" i="15"/>
  <c r="I118" i="15"/>
  <c r="I114" i="15"/>
  <c r="I97" i="15"/>
  <c r="I89" i="15"/>
  <c r="I77" i="15"/>
  <c r="I64" i="15"/>
  <c r="I43" i="15"/>
  <c r="I36" i="15"/>
  <c r="I14" i="15"/>
  <c r="E69" i="18"/>
  <c r="B242" i="18"/>
  <c r="B240" i="18"/>
  <c r="B239" i="18"/>
  <c r="B241" i="18" s="1"/>
  <c r="B237" i="18" s="1"/>
  <c r="C236" i="18"/>
  <c r="B236" i="18"/>
  <c r="A236" i="18"/>
  <c r="C235" i="18"/>
  <c r="B235" i="18"/>
  <c r="A235" i="18"/>
  <c r="C234" i="18"/>
  <c r="B234" i="18"/>
  <c r="A234" i="18"/>
  <c r="E233" i="18"/>
  <c r="C233" i="18"/>
  <c r="B233" i="18"/>
  <c r="A233" i="18"/>
  <c r="E232" i="18"/>
  <c r="C232" i="18"/>
  <c r="B232" i="18"/>
  <c r="A232" i="18"/>
  <c r="E231" i="18"/>
  <c r="C231" i="18"/>
  <c r="B231" i="18"/>
  <c r="A231" i="18"/>
  <c r="E230" i="18"/>
  <c r="C230" i="18"/>
  <c r="B230" i="18"/>
  <c r="A230" i="18"/>
  <c r="E229" i="18"/>
  <c r="C229" i="18"/>
  <c r="B229" i="18"/>
  <c r="A229" i="18"/>
  <c r="E228" i="18"/>
  <c r="C228" i="18"/>
  <c r="B228" i="18"/>
  <c r="A228" i="18"/>
  <c r="C227" i="18"/>
  <c r="B227" i="18"/>
  <c r="A227" i="18"/>
  <c r="C226" i="18"/>
  <c r="B226" i="18"/>
  <c r="A226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B100" i="18"/>
  <c r="A100" i="18"/>
  <c r="C99" i="18"/>
  <c r="B99" i="18"/>
  <c r="A99" i="18"/>
  <c r="C98" i="18"/>
  <c r="B98" i="18"/>
  <c r="A98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B82" i="18"/>
  <c r="A82" i="18"/>
  <c r="C81" i="18"/>
  <c r="B81" i="18"/>
  <c r="A81" i="18"/>
  <c r="C80" i="18"/>
  <c r="B80" i="18"/>
  <c r="A80" i="18"/>
  <c r="E79" i="18"/>
  <c r="C79" i="18"/>
  <c r="B79" i="18"/>
  <c r="A79" i="18"/>
  <c r="C78" i="18"/>
  <c r="B78" i="18"/>
  <c r="A78" i="18"/>
  <c r="E77" i="18"/>
  <c r="C77" i="18"/>
  <c r="B77" i="18"/>
  <c r="A77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E70" i="18"/>
  <c r="C70" i="18"/>
  <c r="B70" i="18"/>
  <c r="A70" i="18"/>
  <c r="C69" i="18"/>
  <c r="B69" i="18"/>
  <c r="A69" i="18"/>
  <c r="E68" i="18"/>
  <c r="C68" i="18"/>
  <c r="B68" i="18"/>
  <c r="A68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B49" i="18"/>
  <c r="A49" i="18"/>
  <c r="E48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E42" i="18"/>
  <c r="C42" i="18"/>
  <c r="B42" i="18"/>
  <c r="A42" i="18"/>
  <c r="C41" i="18"/>
  <c r="B41" i="18"/>
  <c r="A41" i="18"/>
  <c r="E40" i="18"/>
  <c r="C40" i="18"/>
  <c r="B40" i="18"/>
  <c r="A40" i="18"/>
  <c r="C39" i="18"/>
  <c r="B39" i="18"/>
  <c r="A39" i="18"/>
  <c r="F38" i="18"/>
  <c r="C38" i="18"/>
  <c r="B38" i="18"/>
  <c r="A38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B32" i="18"/>
  <c r="A32" i="18"/>
  <c r="E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C26" i="18"/>
  <c r="B26" i="18"/>
  <c r="A26" i="18"/>
  <c r="C25" i="18"/>
  <c r="B25" i="18"/>
  <c r="A25" i="18"/>
  <c r="E24" i="18"/>
  <c r="C24" i="18"/>
  <c r="B24" i="18"/>
  <c r="A24" i="18"/>
  <c r="F23" i="18"/>
  <c r="C23" i="18"/>
  <c r="B23" i="18"/>
  <c r="A23" i="18"/>
  <c r="B22" i="18"/>
  <c r="A22" i="18"/>
  <c r="E21" i="18"/>
  <c r="E20" i="18"/>
  <c r="E19" i="18"/>
  <c r="C18" i="18"/>
  <c r="B18" i="18"/>
  <c r="A18" i="18"/>
  <c r="F17" i="18"/>
  <c r="E17" i="18"/>
  <c r="C17" i="18"/>
  <c r="B17" i="18"/>
  <c r="A17" i="18"/>
  <c r="C16" i="18"/>
  <c r="B16" i="18"/>
  <c r="A16" i="18"/>
  <c r="B15" i="18"/>
  <c r="A15" i="18"/>
  <c r="C14" i="18"/>
  <c r="B14" i="18"/>
  <c r="A14" i="18"/>
  <c r="C13" i="18"/>
  <c r="B13" i="18"/>
  <c r="A13" i="18"/>
  <c r="C12" i="18"/>
  <c r="B12" i="18"/>
  <c r="A12" i="18"/>
  <c r="C11" i="18"/>
  <c r="B11" i="18"/>
  <c r="A11" i="18"/>
  <c r="B10" i="18"/>
  <c r="A10" i="18"/>
  <c r="N115" i="17" l="1"/>
  <c r="L14" i="17"/>
  <c r="M18" i="17"/>
  <c r="M96" i="17"/>
  <c r="M114" i="17"/>
  <c r="M115" i="17"/>
  <c r="M116" i="17"/>
  <c r="N116" i="17" s="1"/>
  <c r="M118" i="17"/>
  <c r="M119" i="17"/>
  <c r="N119" i="17" s="1"/>
  <c r="M120" i="17"/>
  <c r="M125" i="17"/>
  <c r="M126" i="17"/>
  <c r="M137" i="17"/>
  <c r="M165" i="17"/>
  <c r="M176" i="17"/>
  <c r="M189" i="17"/>
  <c r="N189" i="17" s="1"/>
  <c r="M221" i="17"/>
  <c r="N221" i="17" s="1"/>
  <c r="M239" i="17"/>
  <c r="M240" i="17"/>
  <c r="M251" i="17"/>
  <c r="M252" i="17"/>
  <c r="N20" i="15"/>
  <c r="N21" i="15"/>
  <c r="N22" i="15"/>
  <c r="N35" i="15"/>
  <c r="N42" i="15"/>
  <c r="N46" i="15"/>
  <c r="N47" i="15"/>
  <c r="N48" i="15"/>
  <c r="N49" i="15"/>
  <c r="N50" i="15"/>
  <c r="N51" i="15"/>
  <c r="N52" i="15"/>
  <c r="N53" i="15"/>
  <c r="N54" i="15"/>
  <c r="N55" i="15"/>
  <c r="N56" i="15"/>
  <c r="N58" i="15"/>
  <c r="N59" i="15"/>
  <c r="N60" i="15"/>
  <c r="N61" i="15"/>
  <c r="N62" i="15"/>
  <c r="N63" i="15"/>
  <c r="N74" i="15"/>
  <c r="N76" i="15"/>
  <c r="N96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7" i="15"/>
  <c r="N121" i="15"/>
  <c r="N122" i="15"/>
  <c r="N123" i="15"/>
  <c r="N124" i="15"/>
  <c r="N125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60" i="15"/>
  <c r="N161" i="15"/>
  <c r="N162" i="15"/>
  <c r="N163" i="15"/>
  <c r="N164" i="15"/>
  <c r="N165" i="15"/>
  <c r="N166" i="15"/>
  <c r="N167" i="15"/>
  <c r="N168" i="15"/>
  <c r="N169" i="15"/>
  <c r="N170" i="15"/>
  <c r="N171" i="15"/>
  <c r="N172" i="15"/>
  <c r="N173" i="15"/>
  <c r="N174" i="15"/>
  <c r="N175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206" i="15"/>
  <c r="N207" i="15"/>
  <c r="N208" i="15"/>
  <c r="N209" i="15"/>
  <c r="N210" i="15"/>
  <c r="N211" i="15"/>
  <c r="N212" i="15"/>
  <c r="N213" i="15"/>
  <c r="N214" i="15"/>
  <c r="N215" i="15"/>
  <c r="N216" i="15"/>
  <c r="N217" i="15"/>
  <c r="N218" i="15"/>
  <c r="N219" i="15"/>
  <c r="N220" i="15"/>
  <c r="N221" i="15"/>
  <c r="N222" i="15"/>
  <c r="N223" i="15"/>
  <c r="N224" i="15"/>
  <c r="N225" i="15"/>
  <c r="N226" i="15"/>
  <c r="N227" i="15"/>
  <c r="N228" i="15"/>
  <c r="N229" i="15"/>
  <c r="N230" i="15"/>
  <c r="N231" i="15"/>
  <c r="N232" i="15"/>
  <c r="N233" i="15"/>
  <c r="N234" i="15"/>
  <c r="N235" i="15"/>
  <c r="N236" i="15"/>
  <c r="N237" i="15"/>
  <c r="N238" i="15"/>
  <c r="N242" i="15"/>
  <c r="N243" i="15"/>
  <c r="N244" i="15"/>
  <c r="N245" i="15"/>
  <c r="N246" i="15"/>
  <c r="N247" i="15"/>
  <c r="N248" i="15"/>
  <c r="N249" i="15"/>
  <c r="N250" i="15"/>
  <c r="N254" i="15"/>
  <c r="N255" i="15"/>
  <c r="N256" i="15"/>
  <c r="N257" i="15"/>
  <c r="N258" i="15"/>
  <c r="N259" i="15"/>
  <c r="N260" i="15"/>
  <c r="N261" i="15"/>
  <c r="N262" i="15"/>
  <c r="N263" i="15"/>
  <c r="N264" i="15"/>
  <c r="I275" i="15"/>
  <c r="J266" i="15"/>
  <c r="K266" i="15"/>
  <c r="M266" i="15"/>
  <c r="M251" i="15"/>
  <c r="M239" i="15"/>
  <c r="M176" i="15"/>
  <c r="M126" i="15"/>
  <c r="M118" i="15"/>
  <c r="M114" i="15"/>
  <c r="M64" i="15"/>
  <c r="M15" i="15"/>
  <c r="M20" i="15"/>
  <c r="M21" i="15"/>
  <c r="M22" i="15"/>
  <c r="M23" i="15"/>
  <c r="M25" i="15"/>
  <c r="M35" i="15"/>
  <c r="M37" i="15"/>
  <c r="M42" i="15"/>
  <c r="M44" i="15"/>
  <c r="M46" i="15"/>
  <c r="M47" i="15"/>
  <c r="M48" i="15"/>
  <c r="M49" i="15"/>
  <c r="M50" i="15"/>
  <c r="M51" i="15"/>
  <c r="M52" i="15"/>
  <c r="M53" i="15"/>
  <c r="M54" i="15"/>
  <c r="M55" i="15"/>
  <c r="M56" i="15"/>
  <c r="M58" i="15"/>
  <c r="M59" i="15"/>
  <c r="M60" i="15"/>
  <c r="M61" i="15"/>
  <c r="M62" i="15"/>
  <c r="M63" i="15"/>
  <c r="M65" i="15"/>
  <c r="M76" i="15"/>
  <c r="M78" i="15"/>
  <c r="M88" i="15"/>
  <c r="M90" i="15"/>
  <c r="M96" i="15"/>
  <c r="M98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5" i="15"/>
  <c r="M117" i="15"/>
  <c r="M119" i="15"/>
  <c r="M121" i="15"/>
  <c r="M122" i="15"/>
  <c r="M123" i="15"/>
  <c r="M124" i="15"/>
  <c r="M125" i="15"/>
  <c r="M127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7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40" i="15"/>
  <c r="M242" i="15"/>
  <c r="M243" i="15"/>
  <c r="M244" i="15"/>
  <c r="M245" i="15"/>
  <c r="M246" i="15"/>
  <c r="M247" i="15"/>
  <c r="M248" i="15"/>
  <c r="M249" i="15"/>
  <c r="M250" i="15"/>
  <c r="M252" i="15"/>
  <c r="M254" i="15"/>
  <c r="M255" i="15"/>
  <c r="M256" i="15"/>
  <c r="M257" i="15"/>
  <c r="M258" i="15"/>
  <c r="M259" i="15"/>
  <c r="M260" i="15"/>
  <c r="M261" i="15"/>
  <c r="M262" i="15"/>
  <c r="M263" i="15"/>
  <c r="M264" i="15"/>
  <c r="J118" i="15"/>
  <c r="J126" i="15"/>
  <c r="J176" i="15"/>
  <c r="J239" i="15"/>
  <c r="J251" i="15"/>
  <c r="L20" i="15"/>
  <c r="L21" i="15"/>
  <c r="L22" i="15"/>
  <c r="L23" i="15"/>
  <c r="L25" i="15"/>
  <c r="L35" i="15"/>
  <c r="L37" i="15"/>
  <c r="L42" i="15"/>
  <c r="L44" i="15"/>
  <c r="L47" i="15"/>
  <c r="L51" i="15"/>
  <c r="L55" i="15"/>
  <c r="L56" i="15"/>
  <c r="L59" i="15"/>
  <c r="L60" i="15"/>
  <c r="L61" i="15"/>
  <c r="L62" i="15"/>
  <c r="L63" i="15"/>
  <c r="L65" i="15"/>
  <c r="L78" i="15"/>
  <c r="L90" i="15"/>
  <c r="L98" i="15"/>
  <c r="L100" i="15"/>
  <c r="L104" i="15"/>
  <c r="L108" i="15"/>
  <c r="L112" i="15"/>
  <c r="L115" i="15"/>
  <c r="L117" i="15"/>
  <c r="L119" i="15"/>
  <c r="L121" i="15"/>
  <c r="L122" i="15"/>
  <c r="L123" i="15"/>
  <c r="L124" i="15"/>
  <c r="L125" i="15"/>
  <c r="L127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7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40" i="15"/>
  <c r="L242" i="15"/>
  <c r="L243" i="15"/>
  <c r="L244" i="15"/>
  <c r="L245" i="15"/>
  <c r="L246" i="15"/>
  <c r="L247" i="15"/>
  <c r="L248" i="15"/>
  <c r="L249" i="15"/>
  <c r="L250" i="15"/>
  <c r="L252" i="15"/>
  <c r="L254" i="15"/>
  <c r="L255" i="15"/>
  <c r="L256" i="15"/>
  <c r="L257" i="15"/>
  <c r="L258" i="15"/>
  <c r="L259" i="15"/>
  <c r="L260" i="15"/>
  <c r="L261" i="15"/>
  <c r="L262" i="15"/>
  <c r="L263" i="15"/>
  <c r="L264" i="15"/>
  <c r="H264" i="17"/>
  <c r="H263" i="17"/>
  <c r="M263" i="17" s="1"/>
  <c r="H262" i="17"/>
  <c r="K261" i="17"/>
  <c r="H261" i="17"/>
  <c r="M261" i="17" s="1"/>
  <c r="N261" i="17" s="1"/>
  <c r="O261" i="17" s="1"/>
  <c r="H260" i="17"/>
  <c r="H259" i="17"/>
  <c r="M259" i="17" s="1"/>
  <c r="H258" i="17"/>
  <c r="H257" i="17"/>
  <c r="H256" i="17"/>
  <c r="H255" i="17"/>
  <c r="M255" i="17" s="1"/>
  <c r="H254" i="17"/>
  <c r="K252" i="17"/>
  <c r="J251" i="17"/>
  <c r="H250" i="17"/>
  <c r="H249" i="17"/>
  <c r="H248" i="17"/>
  <c r="K248" i="17" s="1"/>
  <c r="H247" i="17"/>
  <c r="M247" i="17" s="1"/>
  <c r="H246" i="17"/>
  <c r="H245" i="17"/>
  <c r="M245" i="17" s="1"/>
  <c r="H244" i="17"/>
  <c r="K244" i="17" s="1"/>
  <c r="H243" i="17"/>
  <c r="M243" i="17" s="1"/>
  <c r="H242" i="17"/>
  <c r="K240" i="17"/>
  <c r="J239" i="17"/>
  <c r="H238" i="17"/>
  <c r="H237" i="17"/>
  <c r="H236" i="17"/>
  <c r="K236" i="17" s="1"/>
  <c r="H235" i="17"/>
  <c r="M235" i="17" s="1"/>
  <c r="K234" i="17"/>
  <c r="H234" i="17"/>
  <c r="H233" i="17"/>
  <c r="K233" i="17" s="1"/>
  <c r="H232" i="17"/>
  <c r="K232" i="17" s="1"/>
  <c r="H231" i="17"/>
  <c r="M231" i="17" s="1"/>
  <c r="H230" i="17"/>
  <c r="H229" i="17"/>
  <c r="K229" i="17" s="1"/>
  <c r="H228" i="17"/>
  <c r="H227" i="17"/>
  <c r="M227" i="17" s="1"/>
  <c r="K226" i="17"/>
  <c r="H226" i="17"/>
  <c r="H225" i="17"/>
  <c r="K225" i="17" s="1"/>
  <c r="H224" i="17"/>
  <c r="K224" i="17" s="1"/>
  <c r="H223" i="17"/>
  <c r="M223" i="17" s="1"/>
  <c r="K222" i="17"/>
  <c r="H222" i="17"/>
  <c r="H221" i="17"/>
  <c r="K221" i="17" s="1"/>
  <c r="H220" i="17"/>
  <c r="H219" i="17"/>
  <c r="M219" i="17" s="1"/>
  <c r="K218" i="17"/>
  <c r="H218" i="17"/>
  <c r="H217" i="17"/>
  <c r="K217" i="17" s="1"/>
  <c r="H216" i="17"/>
  <c r="K216" i="17" s="1"/>
  <c r="H215" i="17"/>
  <c r="M215" i="17" s="1"/>
  <c r="K214" i="17"/>
  <c r="H214" i="17"/>
  <c r="H213" i="17"/>
  <c r="K213" i="17" s="1"/>
  <c r="H212" i="17"/>
  <c r="K212" i="17" s="1"/>
  <c r="H211" i="17"/>
  <c r="M211" i="17" s="1"/>
  <c r="H210" i="17"/>
  <c r="H209" i="17"/>
  <c r="K209" i="17" s="1"/>
  <c r="H208" i="17"/>
  <c r="K208" i="17" s="1"/>
  <c r="H207" i="17"/>
  <c r="M207" i="17" s="1"/>
  <c r="K206" i="17"/>
  <c r="H206" i="17"/>
  <c r="H205" i="17"/>
  <c r="K205" i="17" s="1"/>
  <c r="H204" i="17"/>
  <c r="K204" i="17" s="1"/>
  <c r="H203" i="17"/>
  <c r="M203" i="17" s="1"/>
  <c r="H202" i="17"/>
  <c r="H201" i="17"/>
  <c r="H200" i="17"/>
  <c r="K200" i="17" s="1"/>
  <c r="H199" i="17"/>
  <c r="M199" i="17" s="1"/>
  <c r="H198" i="17"/>
  <c r="H197" i="17"/>
  <c r="K197" i="17" s="1"/>
  <c r="H196" i="17"/>
  <c r="K196" i="17" s="1"/>
  <c r="H195" i="17"/>
  <c r="M195" i="17" s="1"/>
  <c r="K194" i="17"/>
  <c r="H194" i="17"/>
  <c r="H193" i="17"/>
  <c r="K193" i="17" s="1"/>
  <c r="H192" i="17"/>
  <c r="K192" i="17" s="1"/>
  <c r="H191" i="17"/>
  <c r="M191" i="17" s="1"/>
  <c r="H190" i="17"/>
  <c r="H189" i="17"/>
  <c r="K189" i="17" s="1"/>
  <c r="H188" i="17"/>
  <c r="K188" i="17" s="1"/>
  <c r="H187" i="17"/>
  <c r="M187" i="17" s="1"/>
  <c r="K186" i="17"/>
  <c r="H186" i="17"/>
  <c r="H185" i="17"/>
  <c r="K185" i="17" s="1"/>
  <c r="H184" i="17"/>
  <c r="K184" i="17" s="1"/>
  <c r="H183" i="17"/>
  <c r="M183" i="17" s="1"/>
  <c r="K182" i="17"/>
  <c r="H182" i="17"/>
  <c r="H181" i="17"/>
  <c r="K181" i="17" s="1"/>
  <c r="H180" i="17"/>
  <c r="K180" i="17" s="1"/>
  <c r="H179" i="17"/>
  <c r="M179" i="17" s="1"/>
  <c r="J176" i="17"/>
  <c r="H175" i="17"/>
  <c r="M175" i="17" s="1"/>
  <c r="K174" i="17"/>
  <c r="H174" i="17"/>
  <c r="M174" i="17" s="1"/>
  <c r="K173" i="17"/>
  <c r="H173" i="17"/>
  <c r="M173" i="17" s="1"/>
  <c r="N173" i="17" s="1"/>
  <c r="O173" i="17" s="1"/>
  <c r="H172" i="17"/>
  <c r="H171" i="17"/>
  <c r="M171" i="17" s="1"/>
  <c r="H170" i="17"/>
  <c r="K169" i="17"/>
  <c r="H169" i="17"/>
  <c r="H168" i="17"/>
  <c r="H167" i="17"/>
  <c r="M167" i="17" s="1"/>
  <c r="H166" i="17"/>
  <c r="H165" i="17"/>
  <c r="H164" i="17"/>
  <c r="K164" i="17" s="1"/>
  <c r="H163" i="17"/>
  <c r="M163" i="17" s="1"/>
  <c r="H162" i="17"/>
  <c r="H161" i="17"/>
  <c r="K161" i="17" s="1"/>
  <c r="H160" i="17"/>
  <c r="K160" i="17" s="1"/>
  <c r="H159" i="17"/>
  <c r="M159" i="17" s="1"/>
  <c r="K158" i="17"/>
  <c r="H158" i="17"/>
  <c r="M158" i="17" s="1"/>
  <c r="H157" i="17"/>
  <c r="H156" i="17"/>
  <c r="H155" i="17"/>
  <c r="M155" i="17" s="1"/>
  <c r="H154" i="17"/>
  <c r="K153" i="17"/>
  <c r="H153" i="17"/>
  <c r="H152" i="17"/>
  <c r="H151" i="17"/>
  <c r="M151" i="17" s="1"/>
  <c r="H150" i="17"/>
  <c r="H149" i="17"/>
  <c r="M149" i="17" s="1"/>
  <c r="H148" i="17"/>
  <c r="H147" i="17"/>
  <c r="M147" i="17" s="1"/>
  <c r="H146" i="17"/>
  <c r="H145" i="17"/>
  <c r="M145" i="17" s="1"/>
  <c r="H144" i="17"/>
  <c r="K144" i="17" s="1"/>
  <c r="H143" i="17"/>
  <c r="M143" i="17" s="1"/>
  <c r="K142" i="17"/>
  <c r="H142" i="17"/>
  <c r="M142" i="17" s="1"/>
  <c r="H141" i="17"/>
  <c r="K141" i="17" s="1"/>
  <c r="H140" i="17"/>
  <c r="K140" i="17" s="1"/>
  <c r="H139" i="17"/>
  <c r="M139" i="17" s="1"/>
  <c r="K138" i="17"/>
  <c r="H138" i="17"/>
  <c r="M138" i="17" s="1"/>
  <c r="K137" i="17"/>
  <c r="H137" i="17"/>
  <c r="H136" i="17"/>
  <c r="H135" i="17"/>
  <c r="M135" i="17" s="1"/>
  <c r="H134" i="17"/>
  <c r="H133" i="17"/>
  <c r="H132" i="17"/>
  <c r="H131" i="17"/>
  <c r="M131" i="17" s="1"/>
  <c r="H130" i="17"/>
  <c r="M130" i="17" s="1"/>
  <c r="H129" i="17"/>
  <c r="K129" i="17" s="1"/>
  <c r="J126" i="17"/>
  <c r="K125" i="17"/>
  <c r="H125" i="17"/>
  <c r="H124" i="17"/>
  <c r="H123" i="17"/>
  <c r="M123" i="17" s="1"/>
  <c r="H122" i="17"/>
  <c r="K122" i="17" s="1"/>
  <c r="H121" i="17"/>
  <c r="M121" i="17" s="1"/>
  <c r="K120" i="17"/>
  <c r="K119" i="17"/>
  <c r="J118" i="17"/>
  <c r="H117" i="17"/>
  <c r="K117" i="17" s="1"/>
  <c r="K118" i="17" s="1"/>
  <c r="K116" i="17"/>
  <c r="K115" i="17"/>
  <c r="J113" i="17"/>
  <c r="H113" i="17"/>
  <c r="M113" i="17" s="1"/>
  <c r="J112" i="17"/>
  <c r="H112" i="17"/>
  <c r="J111" i="17"/>
  <c r="K111" i="17" s="1"/>
  <c r="H111" i="17"/>
  <c r="M111" i="17" s="1"/>
  <c r="J110" i="17"/>
  <c r="K110" i="17" s="1"/>
  <c r="H110" i="17"/>
  <c r="M110" i="17" s="1"/>
  <c r="N110" i="17" s="1"/>
  <c r="O110" i="17" s="1"/>
  <c r="J109" i="17"/>
  <c r="H109" i="17"/>
  <c r="M109" i="17" s="1"/>
  <c r="J108" i="17"/>
  <c r="H108" i="17"/>
  <c r="J107" i="17"/>
  <c r="K107" i="17" s="1"/>
  <c r="N107" i="17" s="1"/>
  <c r="H107" i="17"/>
  <c r="M107" i="17" s="1"/>
  <c r="J106" i="17"/>
  <c r="H106" i="17"/>
  <c r="M106" i="17" s="1"/>
  <c r="J105" i="17"/>
  <c r="H105" i="17"/>
  <c r="J104" i="17"/>
  <c r="K104" i="17" s="1"/>
  <c r="H104" i="17"/>
  <c r="M104" i="17" s="1"/>
  <c r="J103" i="17"/>
  <c r="H103" i="17"/>
  <c r="J102" i="17"/>
  <c r="H102" i="17"/>
  <c r="M102" i="17" s="1"/>
  <c r="J101" i="17"/>
  <c r="H101" i="17"/>
  <c r="J100" i="17"/>
  <c r="J114" i="17" s="1"/>
  <c r="H100" i="17"/>
  <c r="M100" i="17" s="1"/>
  <c r="J96" i="17"/>
  <c r="H96" i="17"/>
  <c r="H95" i="17"/>
  <c r="H94" i="17"/>
  <c r="H93" i="17"/>
  <c r="H92" i="17"/>
  <c r="J88" i="17"/>
  <c r="H88" i="17"/>
  <c r="H87" i="17"/>
  <c r="M87" i="17" s="1"/>
  <c r="H86" i="17"/>
  <c r="H85" i="17"/>
  <c r="H84" i="17"/>
  <c r="H83" i="17"/>
  <c r="H82" i="17"/>
  <c r="H81" i="17"/>
  <c r="H80" i="17"/>
  <c r="J76" i="17"/>
  <c r="H76" i="17"/>
  <c r="M76" i="17" s="1"/>
  <c r="H75" i="17"/>
  <c r="M75" i="17" s="1"/>
  <c r="H74" i="17"/>
  <c r="H73" i="17"/>
  <c r="H72" i="17"/>
  <c r="H71" i="17"/>
  <c r="M71" i="17" s="1"/>
  <c r="H70" i="17"/>
  <c r="H69" i="17"/>
  <c r="M69" i="17" s="1"/>
  <c r="H68" i="17"/>
  <c r="M68" i="17" s="1"/>
  <c r="H67" i="17"/>
  <c r="M67" i="17" s="1"/>
  <c r="H63" i="17"/>
  <c r="H62" i="17"/>
  <c r="H61" i="17"/>
  <c r="G60" i="17"/>
  <c r="H60" i="17" s="1"/>
  <c r="E60" i="17"/>
  <c r="D60" i="17"/>
  <c r="C60" i="17"/>
  <c r="G59" i="17"/>
  <c r="H59" i="17" s="1"/>
  <c r="M59" i="17" s="1"/>
  <c r="E59" i="17"/>
  <c r="D59" i="17"/>
  <c r="C59" i="17"/>
  <c r="J58" i="17"/>
  <c r="H58" i="17"/>
  <c r="H56" i="17"/>
  <c r="J55" i="17"/>
  <c r="H55" i="17"/>
  <c r="M55" i="17" s="1"/>
  <c r="J54" i="17"/>
  <c r="H54" i="17"/>
  <c r="M54" i="17" s="1"/>
  <c r="J53" i="17"/>
  <c r="H53" i="17"/>
  <c r="K53" i="17" s="1"/>
  <c r="J52" i="17"/>
  <c r="H52" i="17"/>
  <c r="M52" i="17" s="1"/>
  <c r="J51" i="17"/>
  <c r="H51" i="17"/>
  <c r="M51" i="17" s="1"/>
  <c r="J50" i="17"/>
  <c r="H50" i="17"/>
  <c r="M50" i="17" s="1"/>
  <c r="J49" i="17"/>
  <c r="H49" i="17"/>
  <c r="M49" i="17" s="1"/>
  <c r="J48" i="17"/>
  <c r="H48" i="17"/>
  <c r="M48" i="17" s="1"/>
  <c r="J47" i="17"/>
  <c r="H47" i="17"/>
  <c r="M47" i="17" s="1"/>
  <c r="J46" i="17"/>
  <c r="H46" i="17"/>
  <c r="M46" i="17" s="1"/>
  <c r="H42" i="17"/>
  <c r="H41" i="17"/>
  <c r="M41" i="17" s="1"/>
  <c r="H40" i="17"/>
  <c r="M40" i="17" s="1"/>
  <c r="H39" i="17"/>
  <c r="M39" i="17" s="1"/>
  <c r="H35" i="17"/>
  <c r="H34" i="17"/>
  <c r="H33" i="17"/>
  <c r="H32" i="17"/>
  <c r="H31" i="17"/>
  <c r="H30" i="17"/>
  <c r="H29" i="17"/>
  <c r="H28" i="17"/>
  <c r="H27" i="17"/>
  <c r="H22" i="17"/>
  <c r="K22" i="17" s="1"/>
  <c r="H21" i="17"/>
  <c r="T20" i="17"/>
  <c r="H20" i="17"/>
  <c r="H19" i="17"/>
  <c r="H18" i="17"/>
  <c r="H17" i="17"/>
  <c r="K15" i="17"/>
  <c r="G13" i="17"/>
  <c r="H13" i="17" s="1"/>
  <c r="M13" i="17" s="1"/>
  <c r="G12" i="17"/>
  <c r="H12" i="17" s="1"/>
  <c r="G11" i="17"/>
  <c r="H11" i="17" s="1"/>
  <c r="M11" i="17" s="1"/>
  <c r="G10" i="17"/>
  <c r="H10" i="17" s="1"/>
  <c r="J7" i="17"/>
  <c r="V6" i="17"/>
  <c r="K15" i="15"/>
  <c r="K23" i="15"/>
  <c r="K25" i="15"/>
  <c r="K37" i="15"/>
  <c r="K44" i="15"/>
  <c r="K65" i="15"/>
  <c r="K78" i="15"/>
  <c r="K90" i="15"/>
  <c r="K98" i="15"/>
  <c r="K115" i="15"/>
  <c r="K119" i="15"/>
  <c r="K127" i="15"/>
  <c r="K177" i="15"/>
  <c r="K240" i="15"/>
  <c r="K252" i="15"/>
  <c r="J101" i="15"/>
  <c r="L101" i="15" s="1"/>
  <c r="J102" i="15"/>
  <c r="L102" i="15" s="1"/>
  <c r="J103" i="15"/>
  <c r="L103" i="15" s="1"/>
  <c r="J104" i="15"/>
  <c r="J105" i="15"/>
  <c r="L105" i="15" s="1"/>
  <c r="J106" i="15"/>
  <c r="L106" i="15" s="1"/>
  <c r="J107" i="15"/>
  <c r="L107" i="15" s="1"/>
  <c r="J108" i="15"/>
  <c r="J109" i="15"/>
  <c r="L109" i="15" s="1"/>
  <c r="J110" i="15"/>
  <c r="L110" i="15" s="1"/>
  <c r="J111" i="15"/>
  <c r="L111" i="15" s="1"/>
  <c r="J112" i="15"/>
  <c r="J113" i="15"/>
  <c r="L113" i="15" s="1"/>
  <c r="J100" i="15"/>
  <c r="J114" i="15" s="1"/>
  <c r="J96" i="15"/>
  <c r="L96" i="15" s="1"/>
  <c r="J88" i="15"/>
  <c r="L88" i="15" s="1"/>
  <c r="J76" i="15"/>
  <c r="L76" i="15" s="1"/>
  <c r="J58" i="15"/>
  <c r="L58" i="15" s="1"/>
  <c r="J47" i="15"/>
  <c r="J48" i="15"/>
  <c r="L48" i="15" s="1"/>
  <c r="J49" i="15"/>
  <c r="L49" i="15" s="1"/>
  <c r="J50" i="15"/>
  <c r="L50" i="15" s="1"/>
  <c r="J51" i="15"/>
  <c r="J52" i="15"/>
  <c r="L52" i="15" s="1"/>
  <c r="J53" i="15"/>
  <c r="L53" i="15" s="1"/>
  <c r="J54" i="15"/>
  <c r="L54" i="15" s="1"/>
  <c r="J55" i="15"/>
  <c r="J46" i="15"/>
  <c r="J7" i="15"/>
  <c r="N228" i="16"/>
  <c r="O228" i="16" s="1"/>
  <c r="L228" i="16"/>
  <c r="H228" i="16"/>
  <c r="M228" i="16" s="1"/>
  <c r="L227" i="16"/>
  <c r="H227" i="16"/>
  <c r="M224" i="16"/>
  <c r="L224" i="16"/>
  <c r="H224" i="16"/>
  <c r="I224" i="16" s="1"/>
  <c r="M223" i="16"/>
  <c r="L223" i="16"/>
  <c r="H223" i="16"/>
  <c r="I223" i="16" s="1"/>
  <c r="M222" i="16"/>
  <c r="L222" i="16"/>
  <c r="H222" i="16"/>
  <c r="I222" i="16" s="1"/>
  <c r="M221" i="16"/>
  <c r="L221" i="16"/>
  <c r="H221" i="16"/>
  <c r="I221" i="16" s="1"/>
  <c r="M220" i="16"/>
  <c r="L220" i="16"/>
  <c r="H220" i="16"/>
  <c r="I220" i="16" s="1"/>
  <c r="M219" i="16"/>
  <c r="L219" i="16"/>
  <c r="H219" i="16"/>
  <c r="I219" i="16" s="1"/>
  <c r="M218" i="16"/>
  <c r="L218" i="16"/>
  <c r="H218" i="16"/>
  <c r="I218" i="16" s="1"/>
  <c r="M217" i="16"/>
  <c r="L217" i="16"/>
  <c r="H217" i="16"/>
  <c r="I217" i="16" s="1"/>
  <c r="M216" i="16"/>
  <c r="L216" i="16"/>
  <c r="H216" i="16"/>
  <c r="I216" i="16" s="1"/>
  <c r="L213" i="16"/>
  <c r="H213" i="16"/>
  <c r="L212" i="16"/>
  <c r="I212" i="16"/>
  <c r="H212" i="16"/>
  <c r="M212" i="16" s="1"/>
  <c r="N211" i="16"/>
  <c r="O211" i="16" s="1"/>
  <c r="Q211" i="16" s="1"/>
  <c r="L211" i="16"/>
  <c r="I211" i="16"/>
  <c r="H211" i="16"/>
  <c r="M211" i="16" s="1"/>
  <c r="N210" i="16"/>
  <c r="O210" i="16" s="1"/>
  <c r="L210" i="16"/>
  <c r="H210" i="16"/>
  <c r="M210" i="16" s="1"/>
  <c r="L209" i="16"/>
  <c r="H209" i="16"/>
  <c r="L208" i="16"/>
  <c r="I208" i="16"/>
  <c r="H208" i="16"/>
  <c r="M208" i="16" s="1"/>
  <c r="N207" i="16"/>
  <c r="O207" i="16" s="1"/>
  <c r="Q207" i="16" s="1"/>
  <c r="L207" i="16"/>
  <c r="I207" i="16"/>
  <c r="H207" i="16"/>
  <c r="M207" i="16" s="1"/>
  <c r="N206" i="16"/>
  <c r="O206" i="16" s="1"/>
  <c r="L206" i="16"/>
  <c r="H206" i="16"/>
  <c r="M206" i="16" s="1"/>
  <c r="L205" i="16"/>
  <c r="H205" i="16"/>
  <c r="L204" i="16"/>
  <c r="I204" i="16"/>
  <c r="H204" i="16"/>
  <c r="M204" i="16" s="1"/>
  <c r="N203" i="16"/>
  <c r="O203" i="16" s="1"/>
  <c r="Q203" i="16" s="1"/>
  <c r="L203" i="16"/>
  <c r="I203" i="16"/>
  <c r="H203" i="16"/>
  <c r="M203" i="16" s="1"/>
  <c r="N202" i="16"/>
  <c r="O202" i="16" s="1"/>
  <c r="L202" i="16"/>
  <c r="H202" i="16"/>
  <c r="M202" i="16" s="1"/>
  <c r="L201" i="16"/>
  <c r="H201" i="16"/>
  <c r="L200" i="16"/>
  <c r="I200" i="16"/>
  <c r="H200" i="16"/>
  <c r="M200" i="16" s="1"/>
  <c r="N199" i="16"/>
  <c r="O199" i="16" s="1"/>
  <c r="Q199" i="16" s="1"/>
  <c r="L199" i="16"/>
  <c r="I199" i="16"/>
  <c r="H199" i="16"/>
  <c r="M199" i="16" s="1"/>
  <c r="N198" i="16"/>
  <c r="O198" i="16" s="1"/>
  <c r="L198" i="16"/>
  <c r="H198" i="16"/>
  <c r="M198" i="16" s="1"/>
  <c r="L197" i="16"/>
  <c r="H197" i="16"/>
  <c r="L196" i="16"/>
  <c r="I196" i="16"/>
  <c r="H196" i="16"/>
  <c r="M196" i="16" s="1"/>
  <c r="N195" i="16"/>
  <c r="O195" i="16" s="1"/>
  <c r="Q195" i="16" s="1"/>
  <c r="L195" i="16"/>
  <c r="I195" i="16"/>
  <c r="H195" i="16"/>
  <c r="M195" i="16" s="1"/>
  <c r="N194" i="16"/>
  <c r="O194" i="16" s="1"/>
  <c r="L194" i="16"/>
  <c r="H194" i="16"/>
  <c r="M194" i="16" s="1"/>
  <c r="L193" i="16"/>
  <c r="H193" i="16"/>
  <c r="L192" i="16"/>
  <c r="I192" i="16"/>
  <c r="H192" i="16"/>
  <c r="M192" i="16" s="1"/>
  <c r="N191" i="16"/>
  <c r="O191" i="16" s="1"/>
  <c r="Q191" i="16" s="1"/>
  <c r="L191" i="16"/>
  <c r="I191" i="16"/>
  <c r="H191" i="16"/>
  <c r="M191" i="16" s="1"/>
  <c r="N190" i="16"/>
  <c r="O190" i="16" s="1"/>
  <c r="L190" i="16"/>
  <c r="H190" i="16"/>
  <c r="M190" i="16" s="1"/>
  <c r="L189" i="16"/>
  <c r="H189" i="16"/>
  <c r="L188" i="16"/>
  <c r="I188" i="16"/>
  <c r="H188" i="16"/>
  <c r="M188" i="16" s="1"/>
  <c r="N187" i="16"/>
  <c r="O187" i="16" s="1"/>
  <c r="Q187" i="16" s="1"/>
  <c r="L187" i="16"/>
  <c r="I187" i="16"/>
  <c r="H187" i="16"/>
  <c r="M187" i="16" s="1"/>
  <c r="N186" i="16"/>
  <c r="O186" i="16" s="1"/>
  <c r="L186" i="16"/>
  <c r="H186" i="16"/>
  <c r="M186" i="16" s="1"/>
  <c r="L185" i="16"/>
  <c r="I185" i="16"/>
  <c r="H185" i="16"/>
  <c r="N185" i="16" s="1"/>
  <c r="N184" i="16"/>
  <c r="L184" i="16"/>
  <c r="H184" i="16"/>
  <c r="L183" i="16"/>
  <c r="H183" i="16"/>
  <c r="L182" i="16"/>
  <c r="H182" i="16"/>
  <c r="N181" i="16"/>
  <c r="L181" i="16"/>
  <c r="H181" i="16"/>
  <c r="N180" i="16"/>
  <c r="L180" i="16"/>
  <c r="H180" i="16"/>
  <c r="L179" i="16"/>
  <c r="H179" i="16"/>
  <c r="L178" i="16"/>
  <c r="H178" i="16"/>
  <c r="N177" i="16"/>
  <c r="L177" i="16"/>
  <c r="H177" i="16"/>
  <c r="N176" i="16"/>
  <c r="L176" i="16"/>
  <c r="H176" i="16"/>
  <c r="L175" i="16"/>
  <c r="H175" i="16"/>
  <c r="L174" i="16"/>
  <c r="H174" i="16"/>
  <c r="N173" i="16"/>
  <c r="L173" i="16"/>
  <c r="H173" i="16"/>
  <c r="N172" i="16"/>
  <c r="L172" i="16"/>
  <c r="H172" i="16"/>
  <c r="L171" i="16"/>
  <c r="H171" i="16"/>
  <c r="L170" i="16"/>
  <c r="H170" i="16"/>
  <c r="N169" i="16"/>
  <c r="L169" i="16"/>
  <c r="H169" i="16"/>
  <c r="N168" i="16"/>
  <c r="L168" i="16"/>
  <c r="H168" i="16"/>
  <c r="L167" i="16"/>
  <c r="H167" i="16"/>
  <c r="L166" i="16"/>
  <c r="H166" i="16"/>
  <c r="N165" i="16"/>
  <c r="L165" i="16"/>
  <c r="H165" i="16"/>
  <c r="N164" i="16"/>
  <c r="L164" i="16"/>
  <c r="H164" i="16"/>
  <c r="L163" i="16"/>
  <c r="H163" i="16"/>
  <c r="L162" i="16"/>
  <c r="H162" i="16"/>
  <c r="N161" i="16"/>
  <c r="L161" i="16"/>
  <c r="H161" i="16"/>
  <c r="N160" i="16"/>
  <c r="L160" i="16"/>
  <c r="H160" i="16"/>
  <c r="L159" i="16"/>
  <c r="H159" i="16"/>
  <c r="L158" i="16"/>
  <c r="H158" i="16"/>
  <c r="N157" i="16"/>
  <c r="L157" i="16"/>
  <c r="H157" i="16"/>
  <c r="N156" i="16"/>
  <c r="L156" i="16"/>
  <c r="H156" i="16"/>
  <c r="M155" i="16"/>
  <c r="L155" i="16"/>
  <c r="I155" i="16"/>
  <c r="P155" i="16" s="1"/>
  <c r="H155" i="16"/>
  <c r="N155" i="16" s="1"/>
  <c r="O155" i="16" s="1"/>
  <c r="M154" i="16"/>
  <c r="L154" i="16"/>
  <c r="I154" i="16"/>
  <c r="H154" i="16"/>
  <c r="N154" i="16" s="1"/>
  <c r="L151" i="16"/>
  <c r="I151" i="16"/>
  <c r="H151" i="16"/>
  <c r="N151" i="16" s="1"/>
  <c r="L150" i="16"/>
  <c r="I150" i="16"/>
  <c r="H150" i="16"/>
  <c r="N150" i="16" s="1"/>
  <c r="L149" i="16"/>
  <c r="I149" i="16"/>
  <c r="H149" i="16"/>
  <c r="N149" i="16" s="1"/>
  <c r="L148" i="16"/>
  <c r="I148" i="16"/>
  <c r="H148" i="16"/>
  <c r="N148" i="16" s="1"/>
  <c r="L147" i="16"/>
  <c r="I147" i="16"/>
  <c r="H147" i="16"/>
  <c r="N147" i="16" s="1"/>
  <c r="L146" i="16"/>
  <c r="I146" i="16"/>
  <c r="H146" i="16"/>
  <c r="N146" i="16" s="1"/>
  <c r="L145" i="16"/>
  <c r="I145" i="16"/>
  <c r="H145" i="16"/>
  <c r="N145" i="16" s="1"/>
  <c r="L144" i="16"/>
  <c r="I144" i="16"/>
  <c r="H144" i="16"/>
  <c r="N144" i="16" s="1"/>
  <c r="L143" i="16"/>
  <c r="I143" i="16"/>
  <c r="H143" i="16"/>
  <c r="N143" i="16" s="1"/>
  <c r="L142" i="16"/>
  <c r="I142" i="16"/>
  <c r="H142" i="16"/>
  <c r="N142" i="16" s="1"/>
  <c r="L141" i="16"/>
  <c r="I141" i="16"/>
  <c r="H141" i="16"/>
  <c r="N141" i="16" s="1"/>
  <c r="L140" i="16"/>
  <c r="I140" i="16"/>
  <c r="H140" i="16"/>
  <c r="N140" i="16" s="1"/>
  <c r="L139" i="16"/>
  <c r="I139" i="16"/>
  <c r="H139" i="16"/>
  <c r="N139" i="16" s="1"/>
  <c r="L138" i="16"/>
  <c r="I138" i="16"/>
  <c r="H138" i="16"/>
  <c r="N138" i="16" s="1"/>
  <c r="L137" i="16"/>
  <c r="I137" i="16"/>
  <c r="H137" i="16"/>
  <c r="N137" i="16" s="1"/>
  <c r="L136" i="16"/>
  <c r="I136" i="16"/>
  <c r="H136" i="16"/>
  <c r="N136" i="16" s="1"/>
  <c r="L135" i="16"/>
  <c r="I135" i="16"/>
  <c r="H135" i="16"/>
  <c r="N135" i="16" s="1"/>
  <c r="L134" i="16"/>
  <c r="I134" i="16"/>
  <c r="H134" i="16"/>
  <c r="N134" i="16" s="1"/>
  <c r="L133" i="16"/>
  <c r="I133" i="16"/>
  <c r="H133" i="16"/>
  <c r="N133" i="16" s="1"/>
  <c r="L132" i="16"/>
  <c r="I132" i="16"/>
  <c r="H132" i="16"/>
  <c r="N132" i="16" s="1"/>
  <c r="L131" i="16"/>
  <c r="I131" i="16"/>
  <c r="H131" i="16"/>
  <c r="N131" i="16" s="1"/>
  <c r="L130" i="16"/>
  <c r="I130" i="16"/>
  <c r="H130" i="16"/>
  <c r="N130" i="16" s="1"/>
  <c r="L129" i="16"/>
  <c r="I129" i="16"/>
  <c r="H129" i="16"/>
  <c r="N129" i="16" s="1"/>
  <c r="L128" i="16"/>
  <c r="I128" i="16"/>
  <c r="H128" i="16"/>
  <c r="N128" i="16" s="1"/>
  <c r="L127" i="16"/>
  <c r="I127" i="16"/>
  <c r="H127" i="16"/>
  <c r="N127" i="16" s="1"/>
  <c r="L126" i="16"/>
  <c r="I126" i="16"/>
  <c r="H126" i="16"/>
  <c r="N126" i="16" s="1"/>
  <c r="L125" i="16"/>
  <c r="I125" i="16"/>
  <c r="H125" i="16"/>
  <c r="N125" i="16" s="1"/>
  <c r="L124" i="16"/>
  <c r="I124" i="16"/>
  <c r="H124" i="16"/>
  <c r="N124" i="16" s="1"/>
  <c r="L123" i="16"/>
  <c r="I123" i="16"/>
  <c r="H123" i="16"/>
  <c r="N123" i="16" s="1"/>
  <c r="L122" i="16"/>
  <c r="I122" i="16"/>
  <c r="H122" i="16"/>
  <c r="N122" i="16" s="1"/>
  <c r="L121" i="16"/>
  <c r="I121" i="16"/>
  <c r="H121" i="16"/>
  <c r="N121" i="16" s="1"/>
  <c r="L120" i="16"/>
  <c r="I120" i="16"/>
  <c r="H120" i="16"/>
  <c r="N120" i="16" s="1"/>
  <c r="L119" i="16"/>
  <c r="I119" i="16"/>
  <c r="H119" i="16"/>
  <c r="N119" i="16" s="1"/>
  <c r="L118" i="16"/>
  <c r="I118" i="16"/>
  <c r="H118" i="16"/>
  <c r="N118" i="16" s="1"/>
  <c r="L117" i="16"/>
  <c r="I117" i="16"/>
  <c r="H117" i="16"/>
  <c r="M117" i="16" s="1"/>
  <c r="N116" i="16"/>
  <c r="O116" i="16" s="1"/>
  <c r="Q116" i="16" s="1"/>
  <c r="L116" i="16"/>
  <c r="I116" i="16"/>
  <c r="H116" i="16"/>
  <c r="M116" i="16" s="1"/>
  <c r="N115" i="16"/>
  <c r="L115" i="16"/>
  <c r="H115" i="16"/>
  <c r="K114" i="16"/>
  <c r="L114" i="16" s="1"/>
  <c r="I114" i="16"/>
  <c r="H114" i="16"/>
  <c r="M114" i="16" s="1"/>
  <c r="K113" i="16"/>
  <c r="N113" i="16" s="1"/>
  <c r="O113" i="16" s="1"/>
  <c r="I113" i="16"/>
  <c r="H113" i="16"/>
  <c r="M113" i="16" s="1"/>
  <c r="K112" i="16"/>
  <c r="N112" i="16" s="1"/>
  <c r="I112" i="16"/>
  <c r="H112" i="16"/>
  <c r="M112" i="16" s="1"/>
  <c r="K111" i="16"/>
  <c r="N111" i="16" s="1"/>
  <c r="O111" i="16" s="1"/>
  <c r="P111" i="16" s="1"/>
  <c r="I111" i="16"/>
  <c r="H111" i="16"/>
  <c r="M111" i="16" s="1"/>
  <c r="K110" i="16"/>
  <c r="L110" i="16" s="1"/>
  <c r="H110" i="16"/>
  <c r="M109" i="16"/>
  <c r="K109" i="16"/>
  <c r="L109" i="16" s="1"/>
  <c r="H109" i="16"/>
  <c r="K108" i="16"/>
  <c r="I108" i="16"/>
  <c r="H108" i="16"/>
  <c r="M108" i="16" s="1"/>
  <c r="K107" i="16"/>
  <c r="N107" i="16" s="1"/>
  <c r="O107" i="16" s="1"/>
  <c r="I107" i="16"/>
  <c r="H107" i="16"/>
  <c r="M107" i="16" s="1"/>
  <c r="K106" i="16"/>
  <c r="L106" i="16" s="1"/>
  <c r="H106" i="16"/>
  <c r="M105" i="16"/>
  <c r="K105" i="16"/>
  <c r="L105" i="16" s="1"/>
  <c r="H105" i="16"/>
  <c r="M102" i="16"/>
  <c r="L102" i="16"/>
  <c r="I102" i="16"/>
  <c r="H102" i="16"/>
  <c r="N102" i="16" s="1"/>
  <c r="Q101" i="16"/>
  <c r="M101" i="16"/>
  <c r="L101" i="16"/>
  <c r="I101" i="16"/>
  <c r="H101" i="16"/>
  <c r="N101" i="16" s="1"/>
  <c r="O101" i="16" s="1"/>
  <c r="P101" i="16" s="1"/>
  <c r="M100" i="16"/>
  <c r="L100" i="16"/>
  <c r="I100" i="16"/>
  <c r="H100" i="16"/>
  <c r="N100" i="16" s="1"/>
  <c r="Q99" i="16"/>
  <c r="M99" i="16"/>
  <c r="L99" i="16"/>
  <c r="I99" i="16"/>
  <c r="H99" i="16"/>
  <c r="N99" i="16" s="1"/>
  <c r="O99" i="16" s="1"/>
  <c r="P99" i="16" s="1"/>
  <c r="M98" i="16"/>
  <c r="M103" i="16" s="1"/>
  <c r="L98" i="16"/>
  <c r="I98" i="16"/>
  <c r="I103" i="16" s="1"/>
  <c r="H98" i="16"/>
  <c r="N98" i="16" s="1"/>
  <c r="K95" i="16"/>
  <c r="I95" i="16"/>
  <c r="H95" i="16"/>
  <c r="M95" i="16" s="1"/>
  <c r="K94" i="16"/>
  <c r="N94" i="16" s="1"/>
  <c r="I94" i="16"/>
  <c r="H94" i="16"/>
  <c r="M94" i="16" s="1"/>
  <c r="M96" i="16" s="1"/>
  <c r="L91" i="16"/>
  <c r="I91" i="16"/>
  <c r="H91" i="16"/>
  <c r="N91" i="16" s="1"/>
  <c r="L90" i="16"/>
  <c r="H90" i="16"/>
  <c r="M90" i="16" s="1"/>
  <c r="M89" i="16"/>
  <c r="L89" i="16"/>
  <c r="H89" i="16"/>
  <c r="I89" i="16" s="1"/>
  <c r="M88" i="16"/>
  <c r="L88" i="16"/>
  <c r="I88" i="16"/>
  <c r="H88" i="16"/>
  <c r="N88" i="16" s="1"/>
  <c r="L87" i="16"/>
  <c r="I87" i="16"/>
  <c r="H87" i="16"/>
  <c r="N87" i="16" s="1"/>
  <c r="N86" i="16"/>
  <c r="O86" i="16" s="1"/>
  <c r="Q86" i="16" s="1"/>
  <c r="L86" i="16"/>
  <c r="I86" i="16"/>
  <c r="H86" i="16"/>
  <c r="M86" i="16" s="1"/>
  <c r="N85" i="16"/>
  <c r="L85" i="16"/>
  <c r="H85" i="16"/>
  <c r="I85" i="16" s="1"/>
  <c r="M84" i="16"/>
  <c r="L84" i="16"/>
  <c r="I84" i="16"/>
  <c r="H84" i="16"/>
  <c r="N84" i="16" s="1"/>
  <c r="O84" i="16" s="1"/>
  <c r="Q84" i="16" s="1"/>
  <c r="L83" i="16"/>
  <c r="I83" i="16"/>
  <c r="H83" i="16"/>
  <c r="N83" i="16" s="1"/>
  <c r="L82" i="16"/>
  <c r="H82" i="16"/>
  <c r="M82" i="16" s="1"/>
  <c r="L81" i="16"/>
  <c r="H81" i="16"/>
  <c r="I81" i="16" s="1"/>
  <c r="M80" i="16"/>
  <c r="L80" i="16"/>
  <c r="I80" i="16"/>
  <c r="H80" i="16"/>
  <c r="N80" i="16" s="1"/>
  <c r="L79" i="16"/>
  <c r="I79" i="16"/>
  <c r="H79" i="16"/>
  <c r="N79" i="16" s="1"/>
  <c r="N78" i="16"/>
  <c r="O78" i="16" s="1"/>
  <c r="L78" i="16"/>
  <c r="I78" i="16"/>
  <c r="H78" i="16"/>
  <c r="M78" i="16" s="1"/>
  <c r="M75" i="16"/>
  <c r="L75" i="16"/>
  <c r="I75" i="16"/>
  <c r="H75" i="16"/>
  <c r="N75" i="16" s="1"/>
  <c r="O75" i="16" s="1"/>
  <c r="Q75" i="16" s="1"/>
  <c r="M74" i="16"/>
  <c r="K74" i="16"/>
  <c r="L74" i="16" s="1"/>
  <c r="J95" i="15" s="1"/>
  <c r="H74" i="16"/>
  <c r="K73" i="16"/>
  <c r="I73" i="16"/>
  <c r="H73" i="16"/>
  <c r="M73" i="16" s="1"/>
  <c r="K72" i="16"/>
  <c r="L72" i="16" s="1"/>
  <c r="J93" i="17" s="1"/>
  <c r="I72" i="16"/>
  <c r="H72" i="16"/>
  <c r="K71" i="16"/>
  <c r="I71" i="16"/>
  <c r="H71" i="16"/>
  <c r="M71" i="16" s="1"/>
  <c r="K68" i="16"/>
  <c r="L68" i="16" s="1"/>
  <c r="J87" i="17" s="1"/>
  <c r="H68" i="16"/>
  <c r="M68" i="16" s="1"/>
  <c r="K67" i="16"/>
  <c r="I67" i="16"/>
  <c r="H67" i="16"/>
  <c r="M67" i="16" s="1"/>
  <c r="M66" i="16"/>
  <c r="K66" i="16"/>
  <c r="L66" i="16" s="1"/>
  <c r="H66" i="16"/>
  <c r="L65" i="16"/>
  <c r="J84" i="15" s="1"/>
  <c r="K65" i="16"/>
  <c r="N65" i="16" s="1"/>
  <c r="I65" i="16"/>
  <c r="H65" i="16"/>
  <c r="M65" i="16" s="1"/>
  <c r="K64" i="16"/>
  <c r="L64" i="16" s="1"/>
  <c r="I64" i="16"/>
  <c r="H64" i="16"/>
  <c r="K63" i="16"/>
  <c r="I63" i="16"/>
  <c r="H63" i="16"/>
  <c r="M63" i="16" s="1"/>
  <c r="M62" i="16"/>
  <c r="K62" i="16"/>
  <c r="L62" i="16" s="1"/>
  <c r="H62" i="16"/>
  <c r="K61" i="16"/>
  <c r="L61" i="16" s="1"/>
  <c r="H61" i="16"/>
  <c r="M61" i="16" s="1"/>
  <c r="M58" i="16"/>
  <c r="L58" i="16"/>
  <c r="I58" i="16"/>
  <c r="H58" i="16"/>
  <c r="N58" i="16" s="1"/>
  <c r="K57" i="16"/>
  <c r="L57" i="16" s="1"/>
  <c r="J75" i="17" s="1"/>
  <c r="H57" i="16"/>
  <c r="M57" i="16" s="1"/>
  <c r="K56" i="16"/>
  <c r="I56" i="16"/>
  <c r="H56" i="16"/>
  <c r="M56" i="16" s="1"/>
  <c r="K55" i="16"/>
  <c r="I55" i="16"/>
  <c r="H55" i="16"/>
  <c r="M55" i="16" s="1"/>
  <c r="K54" i="16"/>
  <c r="N54" i="16" s="1"/>
  <c r="I54" i="16"/>
  <c r="H54" i="16"/>
  <c r="M54" i="16" s="1"/>
  <c r="M53" i="16"/>
  <c r="K53" i="16"/>
  <c r="L53" i="16" s="1"/>
  <c r="J71" i="15" s="1"/>
  <c r="H53" i="16"/>
  <c r="M52" i="16"/>
  <c r="K52" i="16"/>
  <c r="L52" i="16" s="1"/>
  <c r="J70" i="17" s="1"/>
  <c r="H52" i="16"/>
  <c r="K51" i="16"/>
  <c r="L51" i="16" s="1"/>
  <c r="H51" i="16"/>
  <c r="K50" i="16"/>
  <c r="I50" i="16"/>
  <c r="H50" i="16"/>
  <c r="M50" i="16" s="1"/>
  <c r="K49" i="16"/>
  <c r="I49" i="16"/>
  <c r="H49" i="16"/>
  <c r="M49" i="16" s="1"/>
  <c r="L46" i="16"/>
  <c r="H46" i="16"/>
  <c r="M46" i="16" s="1"/>
  <c r="N44" i="16"/>
  <c r="O44" i="16" s="1"/>
  <c r="Q44" i="16" s="1"/>
  <c r="L44" i="16"/>
  <c r="I44" i="16"/>
  <c r="H44" i="16"/>
  <c r="M44" i="16" s="1"/>
  <c r="L43" i="16"/>
  <c r="H43" i="16"/>
  <c r="M43" i="16" s="1"/>
  <c r="N42" i="16"/>
  <c r="O42" i="16" s="1"/>
  <c r="Q42" i="16" s="1"/>
  <c r="L42" i="16"/>
  <c r="I42" i="16"/>
  <c r="H42" i="16"/>
  <c r="M42" i="16" s="1"/>
  <c r="L41" i="16"/>
  <c r="H41" i="16"/>
  <c r="M41" i="16" s="1"/>
  <c r="N40" i="16"/>
  <c r="O40" i="16" s="1"/>
  <c r="Q40" i="16" s="1"/>
  <c r="L40" i="16"/>
  <c r="I40" i="16"/>
  <c r="H40" i="16"/>
  <c r="M40" i="16" s="1"/>
  <c r="L39" i="16"/>
  <c r="H39" i="16"/>
  <c r="M39" i="16" s="1"/>
  <c r="N38" i="16"/>
  <c r="O38" i="16" s="1"/>
  <c r="Q38" i="16" s="1"/>
  <c r="L38" i="16"/>
  <c r="I38" i="16"/>
  <c r="H38" i="16"/>
  <c r="M38" i="16" s="1"/>
  <c r="L37" i="16"/>
  <c r="H37" i="16"/>
  <c r="M37" i="16" s="1"/>
  <c r="N36" i="16"/>
  <c r="O36" i="16" s="1"/>
  <c r="Q36" i="16" s="1"/>
  <c r="L36" i="16"/>
  <c r="I36" i="16"/>
  <c r="H36" i="16"/>
  <c r="M36" i="16" s="1"/>
  <c r="L35" i="16"/>
  <c r="H35" i="16"/>
  <c r="M35" i="16" s="1"/>
  <c r="M47" i="16" s="1"/>
  <c r="K32" i="16"/>
  <c r="L32" i="16" s="1"/>
  <c r="J41" i="15" s="1"/>
  <c r="H32" i="16"/>
  <c r="M32" i="16" s="1"/>
  <c r="K31" i="16"/>
  <c r="I31" i="16"/>
  <c r="H31" i="16"/>
  <c r="M31" i="16" s="1"/>
  <c r="K30" i="16"/>
  <c r="L30" i="16" s="1"/>
  <c r="J39" i="17" s="1"/>
  <c r="I30" i="16"/>
  <c r="H30" i="16"/>
  <c r="M30" i="16" s="1"/>
  <c r="K27" i="16"/>
  <c r="L27" i="16" s="1"/>
  <c r="J34" i="17" s="1"/>
  <c r="K34" i="17" s="1"/>
  <c r="H27" i="16"/>
  <c r="N27" i="16" s="1"/>
  <c r="K26" i="16"/>
  <c r="L26" i="16" s="1"/>
  <c r="J33" i="15" s="1"/>
  <c r="I26" i="16"/>
  <c r="H26" i="16"/>
  <c r="M26" i="16" s="1"/>
  <c r="K25" i="16"/>
  <c r="N25" i="16" s="1"/>
  <c r="O25" i="16" s="1"/>
  <c r="I25" i="16"/>
  <c r="H25" i="16"/>
  <c r="M25" i="16" s="1"/>
  <c r="M24" i="16"/>
  <c r="K24" i="16"/>
  <c r="L24" i="16" s="1"/>
  <c r="H24" i="16"/>
  <c r="K23" i="16"/>
  <c r="L23" i="16" s="1"/>
  <c r="H23" i="16"/>
  <c r="M23" i="16" s="1"/>
  <c r="K22" i="16"/>
  <c r="L22" i="16" s="1"/>
  <c r="J29" i="15" s="1"/>
  <c r="I22" i="16"/>
  <c r="H22" i="16"/>
  <c r="M22" i="16" s="1"/>
  <c r="K21" i="16"/>
  <c r="L21" i="16" s="1"/>
  <c r="I21" i="16"/>
  <c r="H21" i="16"/>
  <c r="M21" i="16" s="1"/>
  <c r="M20" i="16"/>
  <c r="K20" i="16"/>
  <c r="L20" i="16" s="1"/>
  <c r="J27" i="15" s="1"/>
  <c r="L27" i="15" s="1"/>
  <c r="H20" i="16"/>
  <c r="K17" i="16"/>
  <c r="I17" i="16"/>
  <c r="H17" i="16"/>
  <c r="M17" i="16" s="1"/>
  <c r="K16" i="16"/>
  <c r="L16" i="16" s="1"/>
  <c r="J18" i="15" s="1"/>
  <c r="H16" i="16"/>
  <c r="M16" i="16" s="1"/>
  <c r="K15" i="16"/>
  <c r="L15" i="16" s="1"/>
  <c r="H15" i="16"/>
  <c r="K12" i="16"/>
  <c r="L12" i="16" s="1"/>
  <c r="G12" i="16"/>
  <c r="H12" i="16" s="1"/>
  <c r="M11" i="16"/>
  <c r="K11" i="16"/>
  <c r="L11" i="16" s="1"/>
  <c r="J12" i="15" s="1"/>
  <c r="L12" i="15" s="1"/>
  <c r="M12" i="15" s="1"/>
  <c r="I11" i="16"/>
  <c r="H11" i="16"/>
  <c r="G11" i="16"/>
  <c r="K10" i="16"/>
  <c r="L10" i="16" s="1"/>
  <c r="J11" i="17" s="1"/>
  <c r="G10" i="16"/>
  <c r="H10" i="16" s="1"/>
  <c r="K9" i="16"/>
  <c r="L9" i="16" s="1"/>
  <c r="G9" i="16"/>
  <c r="H9" i="16" s="1"/>
  <c r="N21" i="16" l="1"/>
  <c r="O21" i="16" s="1"/>
  <c r="N22" i="16"/>
  <c r="O22" i="16" s="1"/>
  <c r="Q22" i="16" s="1"/>
  <c r="J31" i="17"/>
  <c r="K31" i="17" s="1"/>
  <c r="N31" i="17" s="1"/>
  <c r="O31" i="17" s="1"/>
  <c r="J31" i="15"/>
  <c r="L31" i="15" s="1"/>
  <c r="M31" i="15" s="1"/>
  <c r="J30" i="17"/>
  <c r="J30" i="15"/>
  <c r="J10" i="17"/>
  <c r="J14" i="17" s="1"/>
  <c r="J10" i="15"/>
  <c r="L10" i="15" s="1"/>
  <c r="J29" i="17"/>
  <c r="L112" i="16"/>
  <c r="J27" i="17"/>
  <c r="O112" i="16"/>
  <c r="P112" i="16" s="1"/>
  <c r="J11" i="15"/>
  <c r="J39" i="15"/>
  <c r="L39" i="15" s="1"/>
  <c r="J93" i="15"/>
  <c r="L93" i="15" s="1"/>
  <c r="M93" i="15" s="1"/>
  <c r="J12" i="17"/>
  <c r="J33" i="17"/>
  <c r="N15" i="16"/>
  <c r="L25" i="16"/>
  <c r="J32" i="17" s="1"/>
  <c r="K32" i="17" s="1"/>
  <c r="N26" i="16"/>
  <c r="O26" i="16" s="1"/>
  <c r="Q26" i="16" s="1"/>
  <c r="J75" i="15"/>
  <c r="J84" i="17"/>
  <c r="N207" i="17"/>
  <c r="O207" i="17" s="1"/>
  <c r="N149" i="17"/>
  <c r="O149" i="17" s="1"/>
  <c r="M103" i="17"/>
  <c r="N131" i="17"/>
  <c r="O131" i="17" s="1"/>
  <c r="K238" i="17"/>
  <c r="N125" i="17"/>
  <c r="O125" i="17" s="1"/>
  <c r="K61" i="17"/>
  <c r="M61" i="17"/>
  <c r="N61" i="17" s="1"/>
  <c r="K198" i="17"/>
  <c r="K202" i="17"/>
  <c r="K230" i="17"/>
  <c r="M217" i="17"/>
  <c r="N217" i="17" s="1"/>
  <c r="O217" i="17" s="1"/>
  <c r="M58" i="17"/>
  <c r="K157" i="17"/>
  <c r="M157" i="17"/>
  <c r="K220" i="17"/>
  <c r="K237" i="17"/>
  <c r="M237" i="17"/>
  <c r="N245" i="17"/>
  <c r="K257" i="17"/>
  <c r="M257" i="17"/>
  <c r="N257" i="17" s="1"/>
  <c r="O257" i="17" s="1"/>
  <c r="N118" i="17"/>
  <c r="N34" i="17"/>
  <c r="O34" i="17" s="1"/>
  <c r="M112" i="17"/>
  <c r="N112" i="17" s="1"/>
  <c r="O112" i="17" s="1"/>
  <c r="K201" i="17"/>
  <c r="M201" i="17"/>
  <c r="N201" i="17" s="1"/>
  <c r="K210" i="17"/>
  <c r="N252" i="17"/>
  <c r="M73" i="17"/>
  <c r="N104" i="17"/>
  <c r="M108" i="17"/>
  <c r="N111" i="17"/>
  <c r="N113" i="17"/>
  <c r="O113" i="17" s="1"/>
  <c r="M162" i="17"/>
  <c r="K162" i="17"/>
  <c r="N187" i="17"/>
  <c r="K190" i="17"/>
  <c r="N219" i="17"/>
  <c r="K228" i="17"/>
  <c r="N240" i="17"/>
  <c r="O189" i="17"/>
  <c r="N137" i="17"/>
  <c r="O137" i="17" s="1"/>
  <c r="N120" i="17"/>
  <c r="K30" i="17"/>
  <c r="N47" i="17"/>
  <c r="O47" i="17" s="1"/>
  <c r="K93" i="17"/>
  <c r="K96" i="17"/>
  <c r="N96" i="17" s="1"/>
  <c r="O96" i="17" s="1"/>
  <c r="K109" i="17"/>
  <c r="N109" i="17" s="1"/>
  <c r="O109" i="17" s="1"/>
  <c r="K113" i="17"/>
  <c r="N138" i="17"/>
  <c r="N143" i="17"/>
  <c r="O143" i="17" s="1"/>
  <c r="N174" i="17"/>
  <c r="M205" i="17"/>
  <c r="N205" i="17" s="1"/>
  <c r="M153" i="17"/>
  <c r="N153" i="17" s="1"/>
  <c r="O153" i="17" s="1"/>
  <c r="M133" i="17"/>
  <c r="M74" i="17"/>
  <c r="K35" i="17"/>
  <c r="K58" i="17"/>
  <c r="N100" i="17"/>
  <c r="O100" i="17" s="1"/>
  <c r="K103" i="17"/>
  <c r="O107" i="17"/>
  <c r="K108" i="17"/>
  <c r="K112" i="17"/>
  <c r="N142" i="17"/>
  <c r="O142" i="17" s="1"/>
  <c r="N158" i="17"/>
  <c r="O158" i="17" s="1"/>
  <c r="M233" i="17"/>
  <c r="N233" i="17" s="1"/>
  <c r="M169" i="17"/>
  <c r="N169" i="17" s="1"/>
  <c r="O169" i="17" s="1"/>
  <c r="M105" i="17"/>
  <c r="N105" i="17" s="1"/>
  <c r="O105" i="17" s="1"/>
  <c r="L41" i="15"/>
  <c r="M41" i="15" s="1"/>
  <c r="N41" i="15"/>
  <c r="J69" i="17"/>
  <c r="J69" i="15"/>
  <c r="J81" i="15"/>
  <c r="J81" i="17"/>
  <c r="K81" i="17" s="1"/>
  <c r="N63" i="16"/>
  <c r="O63" i="16" s="1"/>
  <c r="Q63" i="16" s="1"/>
  <c r="L63" i="16"/>
  <c r="N56" i="16"/>
  <c r="L56" i="16"/>
  <c r="J74" i="17" s="1"/>
  <c r="K74" i="17" s="1"/>
  <c r="J80" i="15"/>
  <c r="J80" i="17"/>
  <c r="M80" i="17" s="1"/>
  <c r="J85" i="15"/>
  <c r="J85" i="17"/>
  <c r="K85" i="17" s="1"/>
  <c r="L95" i="16"/>
  <c r="N95" i="16"/>
  <c r="O95" i="16" s="1"/>
  <c r="L11" i="15"/>
  <c r="M11" i="15" s="1"/>
  <c r="N11" i="15"/>
  <c r="N71" i="16"/>
  <c r="O71" i="16" s="1"/>
  <c r="Q71" i="16" s="1"/>
  <c r="L71" i="16"/>
  <c r="L75" i="15"/>
  <c r="M75" i="15" s="1"/>
  <c r="N75" i="15"/>
  <c r="J17" i="17"/>
  <c r="J17" i="15"/>
  <c r="N49" i="16"/>
  <c r="O49" i="16" s="1"/>
  <c r="Q49" i="16" s="1"/>
  <c r="L49" i="16"/>
  <c r="J83" i="15"/>
  <c r="J83" i="17"/>
  <c r="K83" i="17" s="1"/>
  <c r="N83" i="17" s="1"/>
  <c r="O83" i="17" s="1"/>
  <c r="L84" i="15"/>
  <c r="M84" i="15" s="1"/>
  <c r="N84" i="15"/>
  <c r="M27" i="15"/>
  <c r="N27" i="15"/>
  <c r="N17" i="16"/>
  <c r="O17" i="16" s="1"/>
  <c r="Q17" i="16" s="1"/>
  <c r="L17" i="16"/>
  <c r="L71" i="15"/>
  <c r="M71" i="15" s="1"/>
  <c r="L55" i="16"/>
  <c r="N55" i="16"/>
  <c r="O55" i="16" s="1"/>
  <c r="Q55" i="16" s="1"/>
  <c r="L108" i="16"/>
  <c r="N108" i="16"/>
  <c r="O108" i="16" s="1"/>
  <c r="J87" i="15"/>
  <c r="J41" i="17"/>
  <c r="K41" i="17" s="1"/>
  <c r="N41" i="17" s="1"/>
  <c r="O41" i="17" s="1"/>
  <c r="L95" i="15"/>
  <c r="M95" i="15" s="1"/>
  <c r="L30" i="15"/>
  <c r="M30" i="15" s="1"/>
  <c r="J95" i="17"/>
  <c r="K95" i="17" s="1"/>
  <c r="N95" i="17" s="1"/>
  <c r="J13" i="17"/>
  <c r="J13" i="15"/>
  <c r="L18" i="15"/>
  <c r="M18" i="15" s="1"/>
  <c r="L33" i="15"/>
  <c r="M33" i="15" s="1"/>
  <c r="N33" i="15"/>
  <c r="L54" i="16"/>
  <c r="J70" i="15"/>
  <c r="J71" i="17"/>
  <c r="K71" i="17" s="1"/>
  <c r="N71" i="17" s="1"/>
  <c r="J28" i="15"/>
  <c r="J28" i="17"/>
  <c r="K28" i="17" s="1"/>
  <c r="L29" i="15"/>
  <c r="M29" i="15" s="1"/>
  <c r="N29" i="15"/>
  <c r="J32" i="15"/>
  <c r="N31" i="16"/>
  <c r="L31" i="16"/>
  <c r="L50" i="16"/>
  <c r="N50" i="16"/>
  <c r="O50" i="16" s="1"/>
  <c r="Q50" i="16" s="1"/>
  <c r="N67" i="16"/>
  <c r="L67" i="16"/>
  <c r="N73" i="16"/>
  <c r="O73" i="16" s="1"/>
  <c r="L73" i="16"/>
  <c r="J34" i="15"/>
  <c r="J18" i="17"/>
  <c r="K18" i="17" s="1"/>
  <c r="N18" i="17" s="1"/>
  <c r="O18" i="17" s="1"/>
  <c r="N93" i="15"/>
  <c r="N12" i="15"/>
  <c r="N11" i="16"/>
  <c r="O11" i="16" s="1"/>
  <c r="Q11" i="16" s="1"/>
  <c r="N51" i="16"/>
  <c r="N114" i="16"/>
  <c r="O114" i="16" s="1"/>
  <c r="M12" i="17"/>
  <c r="M60" i="17"/>
  <c r="K60" i="17"/>
  <c r="M10" i="17"/>
  <c r="M14" i="17" s="1"/>
  <c r="M17" i="17"/>
  <c r="K21" i="17"/>
  <c r="M21" i="17"/>
  <c r="N21" i="17" s="1"/>
  <c r="O21" i="17" s="1"/>
  <c r="M29" i="17"/>
  <c r="M81" i="17"/>
  <c r="M150" i="17"/>
  <c r="K150" i="17"/>
  <c r="M242" i="17"/>
  <c r="N242" i="17" s="1"/>
  <c r="O242" i="17" s="1"/>
  <c r="M250" i="17"/>
  <c r="N250" i="17" s="1"/>
  <c r="O250" i="17" s="1"/>
  <c r="K250" i="17"/>
  <c r="K260" i="17"/>
  <c r="M260" i="17"/>
  <c r="K165" i="17"/>
  <c r="N165" i="17" s="1"/>
  <c r="M170" i="17"/>
  <c r="K170" i="17"/>
  <c r="K242" i="17"/>
  <c r="K245" i="17"/>
  <c r="M161" i="17"/>
  <c r="N161" i="17" s="1"/>
  <c r="M101" i="17"/>
  <c r="M83" i="17"/>
  <c r="K10" i="17"/>
  <c r="N10" i="17" s="1"/>
  <c r="O10" i="17" s="1"/>
  <c r="K20" i="17"/>
  <c r="M20" i="17"/>
  <c r="N20" i="17" s="1"/>
  <c r="M28" i="17"/>
  <c r="M30" i="17"/>
  <c r="M32" i="17"/>
  <c r="M34" i="17"/>
  <c r="K39" i="17"/>
  <c r="N39" i="17" s="1"/>
  <c r="J64" i="17"/>
  <c r="K76" i="17"/>
  <c r="N76" i="17" s="1"/>
  <c r="O76" i="17" s="1"/>
  <c r="M85" i="17"/>
  <c r="M93" i="17"/>
  <c r="K102" i="17"/>
  <c r="N102" i="17" s="1"/>
  <c r="O102" i="17" s="1"/>
  <c r="K106" i="17"/>
  <c r="N106" i="17" s="1"/>
  <c r="O106" i="17" s="1"/>
  <c r="K121" i="17"/>
  <c r="N121" i="17" s="1"/>
  <c r="O121" i="17" s="1"/>
  <c r="K124" i="17"/>
  <c r="M124" i="17"/>
  <c r="N124" i="17" s="1"/>
  <c r="O124" i="17" s="1"/>
  <c r="K130" i="17"/>
  <c r="N130" i="17" s="1"/>
  <c r="O130" i="17" s="1"/>
  <c r="K133" i="17"/>
  <c r="K136" i="17"/>
  <c r="M136" i="17"/>
  <c r="K145" i="17"/>
  <c r="N145" i="17" s="1"/>
  <c r="O145" i="17" s="1"/>
  <c r="K148" i="17"/>
  <c r="M148" i="17"/>
  <c r="N148" i="17" s="1"/>
  <c r="M166" i="17"/>
  <c r="N166" i="17" s="1"/>
  <c r="K166" i="17"/>
  <c r="O221" i="17"/>
  <c r="M246" i="17"/>
  <c r="K256" i="17"/>
  <c r="M256" i="17"/>
  <c r="K264" i="17"/>
  <c r="M264" i="17"/>
  <c r="N264" i="17" s="1"/>
  <c r="O264" i="17" s="1"/>
  <c r="M229" i="17"/>
  <c r="N229" i="17" s="1"/>
  <c r="O229" i="17" s="1"/>
  <c r="M213" i="17"/>
  <c r="N213" i="17" s="1"/>
  <c r="O213" i="17" s="1"/>
  <c r="M197" i="17"/>
  <c r="N197" i="17" s="1"/>
  <c r="O197" i="17" s="1"/>
  <c r="M181" i="17"/>
  <c r="N181" i="17" s="1"/>
  <c r="O181" i="17" s="1"/>
  <c r="M141" i="17"/>
  <c r="N141" i="17" s="1"/>
  <c r="M117" i="17"/>
  <c r="N117" i="17" s="1"/>
  <c r="O117" i="17" s="1"/>
  <c r="M53" i="17"/>
  <c r="N53" i="17" s="1"/>
  <c r="M31" i="17"/>
  <c r="M19" i="17"/>
  <c r="M33" i="17"/>
  <c r="K56" i="17"/>
  <c r="M56" i="17"/>
  <c r="K62" i="17"/>
  <c r="M62" i="17"/>
  <c r="M86" i="17"/>
  <c r="K132" i="17"/>
  <c r="M132" i="17"/>
  <c r="N132" i="17" s="1"/>
  <c r="O132" i="17" s="1"/>
  <c r="K17" i="17"/>
  <c r="N17" i="17" s="1"/>
  <c r="K29" i="17"/>
  <c r="N29" i="17" s="1"/>
  <c r="O29" i="17" s="1"/>
  <c r="K33" i="17"/>
  <c r="N33" i="17" s="1"/>
  <c r="O33" i="17" s="1"/>
  <c r="K63" i="17"/>
  <c r="M63" i="17"/>
  <c r="M72" i="17"/>
  <c r="K88" i="17"/>
  <c r="M88" i="17"/>
  <c r="N88" i="17" s="1"/>
  <c r="K156" i="17"/>
  <c r="M156" i="17"/>
  <c r="N156" i="17" s="1"/>
  <c r="K168" i="17"/>
  <c r="M168" i="17"/>
  <c r="M185" i="17"/>
  <c r="N185" i="17" s="1"/>
  <c r="M129" i="17"/>
  <c r="N129" i="17" s="1"/>
  <c r="O129" i="17" s="1"/>
  <c r="M70" i="17"/>
  <c r="M35" i="17"/>
  <c r="K42" i="17"/>
  <c r="M42" i="17"/>
  <c r="K46" i="17"/>
  <c r="N46" i="17" s="1"/>
  <c r="O46" i="17" s="1"/>
  <c r="K47" i="17"/>
  <c r="K48" i="17"/>
  <c r="N48" i="17" s="1"/>
  <c r="O48" i="17" s="1"/>
  <c r="K49" i="17"/>
  <c r="N49" i="17" s="1"/>
  <c r="O49" i="17" s="1"/>
  <c r="K50" i="17"/>
  <c r="N50" i="17" s="1"/>
  <c r="O50" i="17" s="1"/>
  <c r="K51" i="17"/>
  <c r="N51" i="17" s="1"/>
  <c r="O51" i="17" s="1"/>
  <c r="K52" i="17"/>
  <c r="N52" i="17" s="1"/>
  <c r="O52" i="17" s="1"/>
  <c r="K54" i="17"/>
  <c r="N54" i="17" s="1"/>
  <c r="O54" i="17" s="1"/>
  <c r="K55" i="17"/>
  <c r="N55" i="17" s="1"/>
  <c r="O55" i="17" s="1"/>
  <c r="K75" i="17"/>
  <c r="N75" i="17" s="1"/>
  <c r="O75" i="17" s="1"/>
  <c r="K84" i="17"/>
  <c r="M84" i="17"/>
  <c r="K87" i="17"/>
  <c r="N87" i="17" s="1"/>
  <c r="M95" i="17"/>
  <c r="K101" i="17"/>
  <c r="K105" i="17"/>
  <c r="M122" i="17"/>
  <c r="N122" i="17" s="1"/>
  <c r="M134" i="17"/>
  <c r="N134" i="17" s="1"/>
  <c r="O134" i="17" s="1"/>
  <c r="K134" i="17"/>
  <c r="M146" i="17"/>
  <c r="K146" i="17"/>
  <c r="K149" i="17"/>
  <c r="K152" i="17"/>
  <c r="M152" i="17"/>
  <c r="N152" i="17" s="1"/>
  <c r="O152" i="17" s="1"/>
  <c r="M154" i="17"/>
  <c r="K154" i="17"/>
  <c r="K172" i="17"/>
  <c r="M172" i="17"/>
  <c r="N172" i="17" s="1"/>
  <c r="K246" i="17"/>
  <c r="K251" i="17" s="1"/>
  <c r="N251" i="17" s="1"/>
  <c r="K249" i="17"/>
  <c r="M249" i="17"/>
  <c r="N249" i="17" s="1"/>
  <c r="M225" i="17"/>
  <c r="N225" i="17" s="1"/>
  <c r="O225" i="17" s="1"/>
  <c r="M209" i="17"/>
  <c r="N209" i="17" s="1"/>
  <c r="O209" i="17" s="1"/>
  <c r="M193" i="17"/>
  <c r="N193" i="17" s="1"/>
  <c r="M27" i="17"/>
  <c r="M22" i="17"/>
  <c r="N22" i="17" s="1"/>
  <c r="O22" i="17" s="1"/>
  <c r="M248" i="17"/>
  <c r="N248" i="17" s="1"/>
  <c r="O248" i="17" s="1"/>
  <c r="M244" i="17"/>
  <c r="N244" i="17" s="1"/>
  <c r="O244" i="17" s="1"/>
  <c r="M236" i="17"/>
  <c r="N236" i="17" s="1"/>
  <c r="O236" i="17" s="1"/>
  <c r="M232" i="17"/>
  <c r="N232" i="17" s="1"/>
  <c r="O232" i="17" s="1"/>
  <c r="M228" i="17"/>
  <c r="N228" i="17" s="1"/>
  <c r="O228" i="17" s="1"/>
  <c r="M224" i="17"/>
  <c r="N224" i="17" s="1"/>
  <c r="O224" i="17" s="1"/>
  <c r="M220" i="17"/>
  <c r="M216" i="17"/>
  <c r="N216" i="17" s="1"/>
  <c r="O216" i="17" s="1"/>
  <c r="M212" i="17"/>
  <c r="N212" i="17" s="1"/>
  <c r="O212" i="17" s="1"/>
  <c r="M208" i="17"/>
  <c r="N208" i="17" s="1"/>
  <c r="O208" i="17" s="1"/>
  <c r="M204" i="17"/>
  <c r="N204" i="17" s="1"/>
  <c r="O204" i="17" s="1"/>
  <c r="M200" i="17"/>
  <c r="N200" i="17" s="1"/>
  <c r="O200" i="17" s="1"/>
  <c r="M196" i="17"/>
  <c r="N196" i="17" s="1"/>
  <c r="M192" i="17"/>
  <c r="N192" i="17" s="1"/>
  <c r="M188" i="17"/>
  <c r="N188" i="17" s="1"/>
  <c r="M184" i="17"/>
  <c r="N184" i="17" s="1"/>
  <c r="O184" i="17" s="1"/>
  <c r="M180" i="17"/>
  <c r="N180" i="17" s="1"/>
  <c r="M164" i="17"/>
  <c r="N164" i="17" s="1"/>
  <c r="O164" i="17" s="1"/>
  <c r="M160" i="17"/>
  <c r="N160" i="17" s="1"/>
  <c r="M144" i="17"/>
  <c r="N144" i="17" s="1"/>
  <c r="O144" i="17" s="1"/>
  <c r="M140" i="17"/>
  <c r="N140" i="17" s="1"/>
  <c r="K254" i="17"/>
  <c r="K258" i="17"/>
  <c r="K262" i="17"/>
  <c r="M262" i="17"/>
  <c r="M258" i="17"/>
  <c r="N258" i="17" s="1"/>
  <c r="O258" i="17" s="1"/>
  <c r="M254" i="17"/>
  <c r="M238" i="17"/>
  <c r="M234" i="17"/>
  <c r="N234" i="17" s="1"/>
  <c r="O234" i="17" s="1"/>
  <c r="M230" i="17"/>
  <c r="N230" i="17" s="1"/>
  <c r="O230" i="17" s="1"/>
  <c r="M226" i="17"/>
  <c r="N226" i="17" s="1"/>
  <c r="O226" i="17" s="1"/>
  <c r="M222" i="17"/>
  <c r="N222" i="17" s="1"/>
  <c r="O222" i="17" s="1"/>
  <c r="M218" i="17"/>
  <c r="N218" i="17" s="1"/>
  <c r="O218" i="17" s="1"/>
  <c r="M214" i="17"/>
  <c r="N214" i="17" s="1"/>
  <c r="O214" i="17" s="1"/>
  <c r="M210" i="17"/>
  <c r="N210" i="17" s="1"/>
  <c r="M206" i="17"/>
  <c r="N206" i="17" s="1"/>
  <c r="O206" i="17" s="1"/>
  <c r="M202" i="17"/>
  <c r="M198" i="17"/>
  <c r="N198" i="17" s="1"/>
  <c r="O198" i="17" s="1"/>
  <c r="M194" i="17"/>
  <c r="N194" i="17" s="1"/>
  <c r="O194" i="17" s="1"/>
  <c r="M190" i="17"/>
  <c r="N190" i="17" s="1"/>
  <c r="O190" i="17" s="1"/>
  <c r="M186" i="17"/>
  <c r="N186" i="17" s="1"/>
  <c r="O186" i="17" s="1"/>
  <c r="M182" i="17"/>
  <c r="N182" i="17" s="1"/>
  <c r="O182" i="17" s="1"/>
  <c r="L46" i="15"/>
  <c r="K11" i="17"/>
  <c r="N11" i="17" s="1"/>
  <c r="K13" i="17"/>
  <c r="N13" i="17" s="1"/>
  <c r="O13" i="17" s="1"/>
  <c r="K59" i="17"/>
  <c r="K64" i="17" s="1"/>
  <c r="K135" i="17"/>
  <c r="N135" i="17" s="1"/>
  <c r="K243" i="17"/>
  <c r="N243" i="17" s="1"/>
  <c r="O243" i="17" s="1"/>
  <c r="K12" i="17"/>
  <c r="K69" i="17"/>
  <c r="N69" i="17" s="1"/>
  <c r="K139" i="17"/>
  <c r="N139" i="17" s="1"/>
  <c r="O139" i="17" s="1"/>
  <c r="K155" i="17"/>
  <c r="N155" i="17" s="1"/>
  <c r="O155" i="17" s="1"/>
  <c r="K171" i="17"/>
  <c r="N171" i="17" s="1"/>
  <c r="O171" i="17" s="1"/>
  <c r="K167" i="17"/>
  <c r="N167" i="17" s="1"/>
  <c r="O167" i="17" s="1"/>
  <c r="K143" i="17"/>
  <c r="K159" i="17"/>
  <c r="N159" i="17" s="1"/>
  <c r="O159" i="17" s="1"/>
  <c r="K175" i="17"/>
  <c r="N175" i="17" s="1"/>
  <c r="O175" i="17" s="1"/>
  <c r="K179" i="17"/>
  <c r="N179" i="17" s="1"/>
  <c r="O179" i="17" s="1"/>
  <c r="K183" i="17"/>
  <c r="N183" i="17" s="1"/>
  <c r="O183" i="17" s="1"/>
  <c r="K187" i="17"/>
  <c r="K191" i="17"/>
  <c r="N191" i="17" s="1"/>
  <c r="K195" i="17"/>
  <c r="N195" i="17" s="1"/>
  <c r="O195" i="17" s="1"/>
  <c r="K199" i="17"/>
  <c r="N199" i="17" s="1"/>
  <c r="K203" i="17"/>
  <c r="N203" i="17" s="1"/>
  <c r="O203" i="17" s="1"/>
  <c r="K207" i="17"/>
  <c r="K211" i="17"/>
  <c r="N211" i="17" s="1"/>
  <c r="O211" i="17" s="1"/>
  <c r="K215" i="17"/>
  <c r="N215" i="17" s="1"/>
  <c r="K219" i="17"/>
  <c r="K223" i="17"/>
  <c r="N223" i="17" s="1"/>
  <c r="K227" i="17"/>
  <c r="N227" i="17" s="1"/>
  <c r="O227" i="17" s="1"/>
  <c r="K231" i="17"/>
  <c r="N231" i="17" s="1"/>
  <c r="K235" i="17"/>
  <c r="N235" i="17" s="1"/>
  <c r="O235" i="17" s="1"/>
  <c r="K255" i="17"/>
  <c r="N255" i="17" s="1"/>
  <c r="O255" i="17" s="1"/>
  <c r="K259" i="17"/>
  <c r="N259" i="17" s="1"/>
  <c r="O259" i="17" s="1"/>
  <c r="K263" i="17"/>
  <c r="N263" i="17" s="1"/>
  <c r="O263" i="17" s="1"/>
  <c r="K151" i="17"/>
  <c r="N151" i="17" s="1"/>
  <c r="O151" i="17" s="1"/>
  <c r="K247" i="17"/>
  <c r="N247" i="17" s="1"/>
  <c r="K27" i="17"/>
  <c r="K100" i="17"/>
  <c r="K123" i="17"/>
  <c r="K131" i="17"/>
  <c r="K147" i="17"/>
  <c r="N147" i="17" s="1"/>
  <c r="O147" i="17" s="1"/>
  <c r="K163" i="17"/>
  <c r="N163" i="17" s="1"/>
  <c r="O163" i="17" s="1"/>
  <c r="N12" i="16"/>
  <c r="I12" i="16"/>
  <c r="M12" i="16"/>
  <c r="Q25" i="16"/>
  <c r="P25" i="16"/>
  <c r="Q78" i="16"/>
  <c r="N10" i="16"/>
  <c r="O10" i="16" s="1"/>
  <c r="I10" i="16"/>
  <c r="P10" i="16" s="1"/>
  <c r="M10" i="16"/>
  <c r="M9" i="16"/>
  <c r="M13" i="16" s="1"/>
  <c r="N9" i="16"/>
  <c r="I9" i="16"/>
  <c r="Q21" i="16"/>
  <c r="P21" i="16"/>
  <c r="P49" i="16"/>
  <c r="P11" i="16"/>
  <c r="M27" i="16"/>
  <c r="O27" i="16" s="1"/>
  <c r="Q27" i="16" s="1"/>
  <c r="O31" i="16"/>
  <c r="Q31" i="16" s="1"/>
  <c r="P50" i="16"/>
  <c r="M51" i="16"/>
  <c r="M59" i="16" s="1"/>
  <c r="O94" i="16"/>
  <c r="O150" i="16"/>
  <c r="O154" i="16"/>
  <c r="N20" i="16"/>
  <c r="I20" i="16"/>
  <c r="I23" i="16"/>
  <c r="N23" i="16"/>
  <c r="O23" i="16" s="1"/>
  <c r="Q23" i="16" s="1"/>
  <c r="I27" i="16"/>
  <c r="N30" i="16"/>
  <c r="N35" i="16"/>
  <c r="I37" i="16"/>
  <c r="N39" i="16"/>
  <c r="O39" i="16" s="1"/>
  <c r="I41" i="16"/>
  <c r="P41" i="16" s="1"/>
  <c r="N43" i="16"/>
  <c r="O43" i="16" s="1"/>
  <c r="I46" i="16"/>
  <c r="I51" i="16"/>
  <c r="P63" i="16"/>
  <c r="I68" i="16"/>
  <c r="N72" i="16"/>
  <c r="I82" i="16"/>
  <c r="P82" i="16" s="1"/>
  <c r="M85" i="16"/>
  <c r="O88" i="16"/>
  <c r="Q88" i="16" s="1"/>
  <c r="N89" i="16"/>
  <c r="O89" i="16" s="1"/>
  <c r="Q89" i="16" s="1"/>
  <c r="N90" i="16"/>
  <c r="O90" i="16" s="1"/>
  <c r="L94" i="16"/>
  <c r="O98" i="16"/>
  <c r="N103" i="16"/>
  <c r="O102" i="16"/>
  <c r="N109" i="16"/>
  <c r="O109" i="16" s="1"/>
  <c r="I109" i="16"/>
  <c r="N110" i="16"/>
  <c r="I110" i="16"/>
  <c r="M110" i="16"/>
  <c r="L111" i="16"/>
  <c r="M115" i="16"/>
  <c r="O115" i="16" s="1"/>
  <c r="I115" i="16"/>
  <c r="P115" i="16" s="1"/>
  <c r="P120" i="16"/>
  <c r="P136" i="16"/>
  <c r="P200" i="16"/>
  <c r="P22" i="16"/>
  <c r="P40" i="16"/>
  <c r="P44" i="16"/>
  <c r="P71" i="16"/>
  <c r="M15" i="16"/>
  <c r="M18" i="16" s="1"/>
  <c r="N16" i="16"/>
  <c r="O16" i="16" s="1"/>
  <c r="Q16" i="16" s="1"/>
  <c r="I16" i="16"/>
  <c r="M33" i="16"/>
  <c r="N32" i="16"/>
  <c r="O32" i="16" s="1"/>
  <c r="I32" i="16"/>
  <c r="P38" i="16"/>
  <c r="P42" i="16"/>
  <c r="O54" i="16"/>
  <c r="N61" i="16"/>
  <c r="I61" i="16"/>
  <c r="N64" i="16"/>
  <c r="P78" i="16"/>
  <c r="M81" i="16"/>
  <c r="O85" i="16"/>
  <c r="Q85" i="16" s="1"/>
  <c r="Q107" i="16"/>
  <c r="P107" i="16"/>
  <c r="Q113" i="16"/>
  <c r="P113" i="16"/>
  <c r="O122" i="16"/>
  <c r="O138" i="16"/>
  <c r="P31" i="16"/>
  <c r="P36" i="16"/>
  <c r="O56" i="16"/>
  <c r="Q56" i="16" s="1"/>
  <c r="P86" i="16"/>
  <c r="O118" i="16"/>
  <c r="I15" i="16"/>
  <c r="N24" i="16"/>
  <c r="O24" i="16" s="1"/>
  <c r="Q24" i="16" s="1"/>
  <c r="I24" i="16"/>
  <c r="I33" i="16"/>
  <c r="I35" i="16"/>
  <c r="N37" i="16"/>
  <c r="O37" i="16" s="1"/>
  <c r="Q37" i="16" s="1"/>
  <c r="I39" i="16"/>
  <c r="P39" i="16" s="1"/>
  <c r="N41" i="16"/>
  <c r="O41" i="16" s="1"/>
  <c r="I43" i="16"/>
  <c r="P43" i="16" s="1"/>
  <c r="N46" i="16"/>
  <c r="O46" i="16" s="1"/>
  <c r="Q46" i="16" s="1"/>
  <c r="N52" i="16"/>
  <c r="O52" i="16" s="1"/>
  <c r="I52" i="16"/>
  <c r="O58" i="16"/>
  <c r="Q58" i="16" s="1"/>
  <c r="N62" i="16"/>
  <c r="O62" i="16" s="1"/>
  <c r="Q62" i="16" s="1"/>
  <c r="I62" i="16"/>
  <c r="O67" i="16"/>
  <c r="N68" i="16"/>
  <c r="O68" i="16" s="1"/>
  <c r="Q68" i="16" s="1"/>
  <c r="P75" i="16"/>
  <c r="O80" i="16"/>
  <c r="Q80" i="16" s="1"/>
  <c r="N81" i="16"/>
  <c r="O81" i="16" s="1"/>
  <c r="Q81" i="16" s="1"/>
  <c r="N82" i="16"/>
  <c r="O82" i="16" s="1"/>
  <c r="I90" i="16"/>
  <c r="P90" i="16" s="1"/>
  <c r="I96" i="16"/>
  <c r="O100" i="16"/>
  <c r="N105" i="16"/>
  <c r="I105" i="16"/>
  <c r="N106" i="16"/>
  <c r="I106" i="16"/>
  <c r="M106" i="16"/>
  <c r="M152" i="16" s="1"/>
  <c r="L107" i="16"/>
  <c r="L113" i="16"/>
  <c r="P124" i="16"/>
  <c r="O129" i="16"/>
  <c r="Q129" i="16" s="1"/>
  <c r="P140" i="16"/>
  <c r="O145" i="16"/>
  <c r="Q145" i="16" s="1"/>
  <c r="M158" i="16"/>
  <c r="I158" i="16"/>
  <c r="N158" i="16"/>
  <c r="M163" i="16"/>
  <c r="I163" i="16"/>
  <c r="N163" i="16"/>
  <c r="O163" i="16" s="1"/>
  <c r="Q163" i="16" s="1"/>
  <c r="M166" i="16"/>
  <c r="I166" i="16"/>
  <c r="N166" i="16"/>
  <c r="O166" i="16" s="1"/>
  <c r="Q166" i="16" s="1"/>
  <c r="M171" i="16"/>
  <c r="I171" i="16"/>
  <c r="N171" i="16"/>
  <c r="O171" i="16" s="1"/>
  <c r="Q171" i="16" s="1"/>
  <c r="O172" i="16"/>
  <c r="Q172" i="16" s="1"/>
  <c r="M174" i="16"/>
  <c r="I174" i="16"/>
  <c r="N174" i="16"/>
  <c r="O174" i="16" s="1"/>
  <c r="Q174" i="16" s="1"/>
  <c r="M179" i="16"/>
  <c r="I179" i="16"/>
  <c r="N179" i="16"/>
  <c r="O180" i="16"/>
  <c r="M182" i="16"/>
  <c r="I182" i="16"/>
  <c r="N182" i="16"/>
  <c r="P154" i="16"/>
  <c r="M189" i="16"/>
  <c r="N189" i="16"/>
  <c r="O189" i="16" s="1"/>
  <c r="I189" i="16"/>
  <c r="P189" i="16" s="1"/>
  <c r="Q190" i="16"/>
  <c r="M193" i="16"/>
  <c r="N193" i="16"/>
  <c r="O193" i="16" s="1"/>
  <c r="I193" i="16"/>
  <c r="P193" i="16" s="1"/>
  <c r="P212" i="16"/>
  <c r="N53" i="16"/>
  <c r="O53" i="16" s="1"/>
  <c r="I53" i="16"/>
  <c r="M64" i="16"/>
  <c r="M69" i="16" s="1"/>
  <c r="N66" i="16"/>
  <c r="O66" i="16" s="1"/>
  <c r="I66" i="16"/>
  <c r="M72" i="16"/>
  <c r="M76" i="16" s="1"/>
  <c r="N74" i="16"/>
  <c r="O74" i="16" s="1"/>
  <c r="Q74" i="16" s="1"/>
  <c r="I74" i="16"/>
  <c r="I76" i="16" s="1"/>
  <c r="M79" i="16"/>
  <c r="O79" i="16" s="1"/>
  <c r="M83" i="16"/>
  <c r="O83" i="16" s="1"/>
  <c r="Q83" i="16" s="1"/>
  <c r="M87" i="16"/>
  <c r="O87" i="16" s="1"/>
  <c r="M91" i="16"/>
  <c r="O91" i="16" s="1"/>
  <c r="Q91" i="16" s="1"/>
  <c r="N117" i="16"/>
  <c r="O117" i="16" s="1"/>
  <c r="P117" i="16" s="1"/>
  <c r="M159" i="16"/>
  <c r="I159" i="16"/>
  <c r="N159" i="16"/>
  <c r="M162" i="16"/>
  <c r="I162" i="16"/>
  <c r="N162" i="16"/>
  <c r="M167" i="16"/>
  <c r="I167" i="16"/>
  <c r="N167" i="16"/>
  <c r="M170" i="16"/>
  <c r="I170" i="16"/>
  <c r="N170" i="16"/>
  <c r="M175" i="16"/>
  <c r="I175" i="16"/>
  <c r="N175" i="16"/>
  <c r="O175" i="16" s="1"/>
  <c r="Q175" i="16" s="1"/>
  <c r="M178" i="16"/>
  <c r="I178" i="16"/>
  <c r="N178" i="16"/>
  <c r="O178" i="16" s="1"/>
  <c r="Q178" i="16" s="1"/>
  <c r="M183" i="16"/>
  <c r="I183" i="16"/>
  <c r="N183" i="16"/>
  <c r="O183" i="16" s="1"/>
  <c r="Q183" i="16" s="1"/>
  <c r="N57" i="16"/>
  <c r="O57" i="16" s="1"/>
  <c r="I57" i="16"/>
  <c r="O65" i="16"/>
  <c r="P84" i="16"/>
  <c r="P88" i="16"/>
  <c r="P116" i="16"/>
  <c r="O165" i="16"/>
  <c r="Q165" i="16" s="1"/>
  <c r="O173" i="16"/>
  <c r="Q173" i="16" s="1"/>
  <c r="M205" i="16"/>
  <c r="N205" i="16"/>
  <c r="I205" i="16"/>
  <c r="Q206" i="16"/>
  <c r="M209" i="16"/>
  <c r="N209" i="16"/>
  <c r="I209" i="16"/>
  <c r="M118" i="16"/>
  <c r="M119" i="16"/>
  <c r="O119" i="16" s="1"/>
  <c r="M120" i="16"/>
  <c r="O120" i="16" s="1"/>
  <c r="Q120" i="16" s="1"/>
  <c r="M121" i="16"/>
  <c r="O121" i="16" s="1"/>
  <c r="M122" i="16"/>
  <c r="M123" i="16"/>
  <c r="O123" i="16" s="1"/>
  <c r="M124" i="16"/>
  <c r="O124" i="16" s="1"/>
  <c r="Q124" i="16" s="1"/>
  <c r="M125" i="16"/>
  <c r="O125" i="16" s="1"/>
  <c r="M126" i="16"/>
  <c r="O126" i="16" s="1"/>
  <c r="M127" i="16"/>
  <c r="O127" i="16" s="1"/>
  <c r="M128" i="16"/>
  <c r="O128" i="16" s="1"/>
  <c r="Q128" i="16" s="1"/>
  <c r="M129" i="16"/>
  <c r="M130" i="16"/>
  <c r="O130" i="16" s="1"/>
  <c r="M131" i="16"/>
  <c r="O131" i="16" s="1"/>
  <c r="M132" i="16"/>
  <c r="O132" i="16" s="1"/>
  <c r="Q132" i="16" s="1"/>
  <c r="M133" i="16"/>
  <c r="O133" i="16" s="1"/>
  <c r="M134" i="16"/>
  <c r="O134" i="16" s="1"/>
  <c r="M135" i="16"/>
  <c r="O135" i="16" s="1"/>
  <c r="M136" i="16"/>
  <c r="O136" i="16" s="1"/>
  <c r="Q136" i="16" s="1"/>
  <c r="M137" i="16"/>
  <c r="O137" i="16" s="1"/>
  <c r="M138" i="16"/>
  <c r="M139" i="16"/>
  <c r="O139" i="16" s="1"/>
  <c r="M140" i="16"/>
  <c r="O140" i="16" s="1"/>
  <c r="Q140" i="16" s="1"/>
  <c r="M141" i="16"/>
  <c r="O141" i="16" s="1"/>
  <c r="M142" i="16"/>
  <c r="O142" i="16" s="1"/>
  <c r="M143" i="16"/>
  <c r="O143" i="16" s="1"/>
  <c r="M144" i="16"/>
  <c r="O144" i="16" s="1"/>
  <c r="Q144" i="16" s="1"/>
  <c r="M145" i="16"/>
  <c r="M146" i="16"/>
  <c r="O146" i="16" s="1"/>
  <c r="M147" i="16"/>
  <c r="O147" i="16" s="1"/>
  <c r="M148" i="16"/>
  <c r="O148" i="16" s="1"/>
  <c r="Q148" i="16" s="1"/>
  <c r="M149" i="16"/>
  <c r="O149" i="16" s="1"/>
  <c r="M150" i="16"/>
  <c r="M151" i="16"/>
  <c r="O151" i="16" s="1"/>
  <c r="M157" i="16"/>
  <c r="O157" i="16" s="1"/>
  <c r="Q157" i="16" s="1"/>
  <c r="I157" i="16"/>
  <c r="M161" i="16"/>
  <c r="O161" i="16" s="1"/>
  <c r="Q161" i="16" s="1"/>
  <c r="I161" i="16"/>
  <c r="M165" i="16"/>
  <c r="I165" i="16"/>
  <c r="M169" i="16"/>
  <c r="O169" i="16" s="1"/>
  <c r="Q169" i="16" s="1"/>
  <c r="I169" i="16"/>
  <c r="M173" i="16"/>
  <c r="I173" i="16"/>
  <c r="M177" i="16"/>
  <c r="O177" i="16" s="1"/>
  <c r="Q177" i="16" s="1"/>
  <c r="I177" i="16"/>
  <c r="M181" i="16"/>
  <c r="O181" i="16" s="1"/>
  <c r="Q181" i="16" s="1"/>
  <c r="I181" i="16"/>
  <c r="P188" i="16"/>
  <c r="M197" i="16"/>
  <c r="N197" i="16"/>
  <c r="O197" i="16" s="1"/>
  <c r="I197" i="16"/>
  <c r="P197" i="16" s="1"/>
  <c r="P204" i="16"/>
  <c r="M213" i="16"/>
  <c r="N213" i="16"/>
  <c r="O213" i="16" s="1"/>
  <c r="I213" i="16"/>
  <c r="P213" i="16" s="1"/>
  <c r="M227" i="16"/>
  <c r="M229" i="16" s="1"/>
  <c r="N227" i="16"/>
  <c r="I227" i="16"/>
  <c r="M156" i="16"/>
  <c r="M214" i="16" s="1"/>
  <c r="I156" i="16"/>
  <c r="M160" i="16"/>
  <c r="O160" i="16" s="1"/>
  <c r="Q160" i="16" s="1"/>
  <c r="I160" i="16"/>
  <c r="M164" i="16"/>
  <c r="O164" i="16" s="1"/>
  <c r="Q164" i="16" s="1"/>
  <c r="I164" i="16"/>
  <c r="M168" i="16"/>
  <c r="O168" i="16" s="1"/>
  <c r="Q168" i="16" s="1"/>
  <c r="I168" i="16"/>
  <c r="M172" i="16"/>
  <c r="I172" i="16"/>
  <c r="M176" i="16"/>
  <c r="O176" i="16" s="1"/>
  <c r="Q176" i="16" s="1"/>
  <c r="I176" i="16"/>
  <c r="M180" i="16"/>
  <c r="I180" i="16"/>
  <c r="P180" i="16" s="1"/>
  <c r="M184" i="16"/>
  <c r="O184" i="16" s="1"/>
  <c r="Q184" i="16" s="1"/>
  <c r="I184" i="16"/>
  <c r="Q198" i="16"/>
  <c r="M201" i="16"/>
  <c r="N201" i="16"/>
  <c r="O201" i="16" s="1"/>
  <c r="I201" i="16"/>
  <c r="P201" i="16" s="1"/>
  <c r="P208" i="16"/>
  <c r="I225" i="16"/>
  <c r="M185" i="16"/>
  <c r="O185" i="16" s="1"/>
  <c r="Q185" i="16" s="1"/>
  <c r="I186" i="16"/>
  <c r="P186" i="16" s="1"/>
  <c r="N188" i="16"/>
  <c r="O188" i="16" s="1"/>
  <c r="Q188" i="16" s="1"/>
  <c r="I190" i="16"/>
  <c r="P190" i="16" s="1"/>
  <c r="N192" i="16"/>
  <c r="O192" i="16" s="1"/>
  <c r="Q192" i="16" s="1"/>
  <c r="I194" i="16"/>
  <c r="P194" i="16" s="1"/>
  <c r="N196" i="16"/>
  <c r="O196" i="16" s="1"/>
  <c r="Q196" i="16" s="1"/>
  <c r="I198" i="16"/>
  <c r="P198" i="16" s="1"/>
  <c r="N200" i="16"/>
  <c r="O200" i="16" s="1"/>
  <c r="Q200" i="16" s="1"/>
  <c r="I202" i="16"/>
  <c r="P202" i="16" s="1"/>
  <c r="N204" i="16"/>
  <c r="O204" i="16" s="1"/>
  <c r="Q204" i="16" s="1"/>
  <c r="I206" i="16"/>
  <c r="P206" i="16" s="1"/>
  <c r="N208" i="16"/>
  <c r="O208" i="16" s="1"/>
  <c r="Q208" i="16" s="1"/>
  <c r="I210" i="16"/>
  <c r="P210" i="16" s="1"/>
  <c r="N212" i="16"/>
  <c r="O212" i="16" s="1"/>
  <c r="Q212" i="16" s="1"/>
  <c r="I228" i="16"/>
  <c r="P228" i="16" s="1"/>
  <c r="P187" i="16"/>
  <c r="P191" i="16"/>
  <c r="P195" i="16"/>
  <c r="P199" i="16"/>
  <c r="P203" i="16"/>
  <c r="P207" i="16"/>
  <c r="P211" i="16"/>
  <c r="M225" i="16"/>
  <c r="N216" i="16"/>
  <c r="N217" i="16"/>
  <c r="O217" i="16" s="1"/>
  <c r="N218" i="16"/>
  <c r="O218" i="16" s="1"/>
  <c r="N219" i="16"/>
  <c r="O219" i="16" s="1"/>
  <c r="Q219" i="16" s="1"/>
  <c r="N220" i="16"/>
  <c r="O220" i="16" s="1"/>
  <c r="N221" i="16"/>
  <c r="O221" i="16" s="1"/>
  <c r="N222" i="16"/>
  <c r="O222" i="16" s="1"/>
  <c r="N223" i="16"/>
  <c r="O223" i="16" s="1"/>
  <c r="Q223" i="16" s="1"/>
  <c r="N224" i="16"/>
  <c r="O224" i="16" s="1"/>
  <c r="N81" i="17" l="1"/>
  <c r="P52" i="16"/>
  <c r="N74" i="17"/>
  <c r="O74" i="17" s="1"/>
  <c r="N30" i="15"/>
  <c r="P57" i="16"/>
  <c r="P26" i="16"/>
  <c r="N93" i="17"/>
  <c r="O93" i="17" s="1"/>
  <c r="Q108" i="16"/>
  <c r="P108" i="16"/>
  <c r="N59" i="16"/>
  <c r="O166" i="17"/>
  <c r="O187" i="17"/>
  <c r="O245" i="17"/>
  <c r="K126" i="17"/>
  <c r="N126" i="17" s="1"/>
  <c r="O126" i="17" s="1"/>
  <c r="N123" i="17"/>
  <c r="O123" i="17" s="1"/>
  <c r="N202" i="17"/>
  <c r="O202" i="17" s="1"/>
  <c r="N262" i="17"/>
  <c r="O262" i="17" s="1"/>
  <c r="O160" i="17"/>
  <c r="O188" i="17"/>
  <c r="N220" i="17"/>
  <c r="O220" i="17" s="1"/>
  <c r="M36" i="17"/>
  <c r="O249" i="17"/>
  <c r="O172" i="17"/>
  <c r="N146" i="17"/>
  <c r="O146" i="17" s="1"/>
  <c r="O122" i="17"/>
  <c r="O87" i="17"/>
  <c r="O185" i="17"/>
  <c r="O156" i="17"/>
  <c r="N56" i="17"/>
  <c r="O56" i="17" s="1"/>
  <c r="N246" i="17"/>
  <c r="O246" i="17" s="1"/>
  <c r="N85" i="17"/>
  <c r="O85" i="17" s="1"/>
  <c r="O39" i="17"/>
  <c r="O165" i="17"/>
  <c r="O205" i="17"/>
  <c r="O138" i="17"/>
  <c r="N30" i="17"/>
  <c r="O30" i="17" s="1"/>
  <c r="O111" i="17"/>
  <c r="O104" i="17"/>
  <c r="O118" i="17"/>
  <c r="N237" i="17"/>
  <c r="O237" i="17" s="1"/>
  <c r="N28" i="17"/>
  <c r="O28" i="17" s="1"/>
  <c r="K114" i="17"/>
  <c r="N114" i="17" s="1"/>
  <c r="N238" i="17"/>
  <c r="O238" i="17" s="1"/>
  <c r="O192" i="17"/>
  <c r="O193" i="17"/>
  <c r="N35" i="17"/>
  <c r="O148" i="17"/>
  <c r="N136" i="17"/>
  <c r="O20" i="17"/>
  <c r="N101" i="17"/>
  <c r="O101" i="17" s="1"/>
  <c r="M24" i="17"/>
  <c r="O71" i="17"/>
  <c r="O233" i="17"/>
  <c r="O174" i="17"/>
  <c r="O201" i="17"/>
  <c r="N59" i="17"/>
  <c r="O59" i="17" s="1"/>
  <c r="O61" i="17"/>
  <c r="N103" i="17"/>
  <c r="O103" i="17" s="1"/>
  <c r="O53" i="17"/>
  <c r="O81" i="17"/>
  <c r="N32" i="17"/>
  <c r="O32" i="17" s="1"/>
  <c r="O219" i="17"/>
  <c r="O69" i="17"/>
  <c r="O247" i="17"/>
  <c r="O231" i="17"/>
  <c r="O223" i="17"/>
  <c r="O215" i="17"/>
  <c r="O199" i="17"/>
  <c r="O191" i="17"/>
  <c r="O95" i="17"/>
  <c r="O11" i="17"/>
  <c r="O210" i="17"/>
  <c r="N254" i="17"/>
  <c r="O254" i="17" s="1"/>
  <c r="O140" i="17"/>
  <c r="O196" i="17"/>
  <c r="N154" i="17"/>
  <c r="O154" i="17" s="1"/>
  <c r="N84" i="17"/>
  <c r="O84" i="17" s="1"/>
  <c r="N168" i="17"/>
  <c r="O168" i="17" s="1"/>
  <c r="N63" i="17"/>
  <c r="O63" i="17" s="1"/>
  <c r="N62" i="17"/>
  <c r="O62" i="17" s="1"/>
  <c r="N256" i="17"/>
  <c r="O256" i="17" s="1"/>
  <c r="O161" i="17"/>
  <c r="N170" i="17"/>
  <c r="O170" i="17" s="1"/>
  <c r="N260" i="17"/>
  <c r="O260" i="17" s="1"/>
  <c r="N150" i="17"/>
  <c r="O150" i="17" s="1"/>
  <c r="N60" i="17"/>
  <c r="O60" i="17" s="1"/>
  <c r="O35" i="17"/>
  <c r="N133" i="17"/>
  <c r="O133" i="17" s="1"/>
  <c r="N162" i="17"/>
  <c r="O162" i="17" s="1"/>
  <c r="N108" i="17"/>
  <c r="O108" i="17" s="1"/>
  <c r="N157" i="17"/>
  <c r="O157" i="17" s="1"/>
  <c r="N58" i="17"/>
  <c r="O58" i="17" s="1"/>
  <c r="Q114" i="16"/>
  <c r="P114" i="16"/>
  <c r="Q95" i="16"/>
  <c r="P95" i="16"/>
  <c r="L34" i="15"/>
  <c r="M34" i="15" s="1"/>
  <c r="N34" i="15"/>
  <c r="J86" i="15"/>
  <c r="J86" i="17"/>
  <c r="K86" i="17" s="1"/>
  <c r="N86" i="17" s="1"/>
  <c r="O86" i="17" s="1"/>
  <c r="J40" i="15"/>
  <c r="J40" i="17"/>
  <c r="L13" i="15"/>
  <c r="M13" i="15" s="1"/>
  <c r="L87" i="15"/>
  <c r="M87" i="15" s="1"/>
  <c r="N87" i="15"/>
  <c r="J73" i="17"/>
  <c r="K73" i="17" s="1"/>
  <c r="N73" i="17" s="1"/>
  <c r="O73" i="17" s="1"/>
  <c r="J73" i="15"/>
  <c r="N31" i="15"/>
  <c r="L83" i="15"/>
  <c r="M83" i="15" s="1"/>
  <c r="P17" i="16"/>
  <c r="L80" i="15"/>
  <c r="M80" i="15" s="1"/>
  <c r="O17" i="17"/>
  <c r="L32" i="15"/>
  <c r="M32" i="15" s="1"/>
  <c r="N32" i="15"/>
  <c r="J72" i="17"/>
  <c r="K72" i="17" s="1"/>
  <c r="N72" i="17" s="1"/>
  <c r="O72" i="17" s="1"/>
  <c r="J72" i="15"/>
  <c r="J82" i="17"/>
  <c r="J82" i="15"/>
  <c r="P53" i="16"/>
  <c r="P32" i="16"/>
  <c r="N96" i="16"/>
  <c r="K14" i="17"/>
  <c r="N14" i="17" s="1"/>
  <c r="N12" i="17"/>
  <c r="O12" i="17" s="1"/>
  <c r="K80" i="17"/>
  <c r="N80" i="17" s="1"/>
  <c r="O80" i="17" s="1"/>
  <c r="J36" i="17"/>
  <c r="N95" i="15"/>
  <c r="N71" i="15"/>
  <c r="J67" i="17"/>
  <c r="J67" i="15"/>
  <c r="L17" i="15"/>
  <c r="M17" i="15" s="1"/>
  <c r="M39" i="15"/>
  <c r="N39" i="15"/>
  <c r="J68" i="17"/>
  <c r="K68" i="17" s="1"/>
  <c r="N68" i="17" s="1"/>
  <c r="O68" i="17" s="1"/>
  <c r="J68" i="15"/>
  <c r="L28" i="15"/>
  <c r="M28" i="15" s="1"/>
  <c r="M36" i="15" s="1"/>
  <c r="J19" i="17"/>
  <c r="K19" i="17" s="1"/>
  <c r="N19" i="17" s="1"/>
  <c r="O19" i="17" s="1"/>
  <c r="J19" i="15"/>
  <c r="L69" i="15"/>
  <c r="M69" i="15" s="1"/>
  <c r="P66" i="16"/>
  <c r="P109" i="16"/>
  <c r="P55" i="16"/>
  <c r="K36" i="17"/>
  <c r="N27" i="17"/>
  <c r="O27" i="17" s="1"/>
  <c r="M10" i="15"/>
  <c r="N10" i="15"/>
  <c r="J94" i="17"/>
  <c r="J94" i="15"/>
  <c r="L70" i="15"/>
  <c r="M70" i="15" s="1"/>
  <c r="N70" i="15"/>
  <c r="N18" i="15"/>
  <c r="J92" i="17"/>
  <c r="J92" i="15"/>
  <c r="L85" i="15"/>
  <c r="M85" i="15" s="1"/>
  <c r="L81" i="15"/>
  <c r="M81" i="15" s="1"/>
  <c r="M77" i="17"/>
  <c r="N70" i="17"/>
  <c r="O70" i="17" s="1"/>
  <c r="M43" i="17"/>
  <c r="N42" i="17"/>
  <c r="O42" i="17" s="1"/>
  <c r="M64" i="17"/>
  <c r="N64" i="17" s="1"/>
  <c r="K266" i="17"/>
  <c r="K176" i="17"/>
  <c r="N176" i="17" s="1"/>
  <c r="O176" i="17" s="1"/>
  <c r="I268" i="17"/>
  <c r="M266" i="17"/>
  <c r="K239" i="17"/>
  <c r="N239" i="17" s="1"/>
  <c r="O239" i="17" s="1"/>
  <c r="O251" i="17"/>
  <c r="Q142" i="16"/>
  <c r="P142" i="16"/>
  <c r="Q126" i="16"/>
  <c r="P126" i="16"/>
  <c r="Q87" i="16"/>
  <c r="P87" i="16"/>
  <c r="Q141" i="16"/>
  <c r="P141" i="16"/>
  <c r="Q133" i="16"/>
  <c r="P133" i="16"/>
  <c r="Q125" i="16"/>
  <c r="P125" i="16"/>
  <c r="Q121" i="16"/>
  <c r="P121" i="16"/>
  <c r="Q79" i="16"/>
  <c r="O92" i="16"/>
  <c r="P79" i="16"/>
  <c r="Q146" i="16"/>
  <c r="P146" i="16"/>
  <c r="Q134" i="16"/>
  <c r="P134" i="16"/>
  <c r="Q130" i="16"/>
  <c r="P130" i="16"/>
  <c r="Q149" i="16"/>
  <c r="P149" i="16"/>
  <c r="Q137" i="16"/>
  <c r="P137" i="16"/>
  <c r="Q127" i="16"/>
  <c r="P127" i="16"/>
  <c r="Q119" i="16"/>
  <c r="P119" i="16"/>
  <c r="P24" i="16"/>
  <c r="P91" i="16"/>
  <c r="P83" i="16"/>
  <c r="Q54" i="16"/>
  <c r="P54" i="16"/>
  <c r="Q32" i="16"/>
  <c r="Q109" i="16"/>
  <c r="Q98" i="16"/>
  <c r="O103" i="16"/>
  <c r="P98" i="16"/>
  <c r="M92" i="16"/>
  <c r="M230" i="16" s="1"/>
  <c r="Q39" i="16"/>
  <c r="P27" i="16"/>
  <c r="N28" i="16"/>
  <c r="O20" i="16"/>
  <c r="P145" i="16"/>
  <c r="M28" i="16"/>
  <c r="O15" i="16"/>
  <c r="Q10" i="16"/>
  <c r="O51" i="16"/>
  <c r="P51" i="16" s="1"/>
  <c r="Q217" i="16"/>
  <c r="P217" i="16"/>
  <c r="P177" i="16"/>
  <c r="Q151" i="16"/>
  <c r="P151" i="16"/>
  <c r="Q143" i="16"/>
  <c r="P143" i="16"/>
  <c r="Q135" i="16"/>
  <c r="P135" i="16"/>
  <c r="P170" i="16"/>
  <c r="Q186" i="16"/>
  <c r="I152" i="16"/>
  <c r="Q138" i="16"/>
  <c r="P138" i="16"/>
  <c r="I28" i="16"/>
  <c r="P20" i="16"/>
  <c r="P129" i="16"/>
  <c r="Q224" i="16"/>
  <c r="P224" i="16"/>
  <c r="O216" i="16"/>
  <c r="N225" i="16"/>
  <c r="P192" i="16"/>
  <c r="P164" i="16"/>
  <c r="Q213" i="16"/>
  <c r="P175" i="16"/>
  <c r="P166" i="16"/>
  <c r="Q201" i="16"/>
  <c r="P185" i="16"/>
  <c r="Q197" i="16"/>
  <c r="P181" i="16"/>
  <c r="P173" i="16"/>
  <c r="P165" i="16"/>
  <c r="P157" i="16"/>
  <c r="P209" i="16"/>
  <c r="P205" i="16"/>
  <c r="P196" i="16"/>
  <c r="P80" i="16"/>
  <c r="Q57" i="16"/>
  <c r="P183" i="16"/>
  <c r="O162" i="16"/>
  <c r="Q162" i="16" s="1"/>
  <c r="O159" i="16"/>
  <c r="Q159" i="16" s="1"/>
  <c r="Q53" i="16"/>
  <c r="Q193" i="16"/>
  <c r="Q189" i="16"/>
  <c r="O182" i="16"/>
  <c r="Q182" i="16" s="1"/>
  <c r="O179" i="16"/>
  <c r="Q179" i="16" s="1"/>
  <c r="P174" i="16"/>
  <c r="P171" i="16"/>
  <c r="O156" i="16"/>
  <c r="Q156" i="16" s="1"/>
  <c r="Q100" i="16"/>
  <c r="P100" i="16"/>
  <c r="P85" i="16"/>
  <c r="I47" i="16"/>
  <c r="O64" i="16"/>
  <c r="P144" i="16"/>
  <c r="P128" i="16"/>
  <c r="Q115" i="16"/>
  <c r="N76" i="16"/>
  <c r="O72" i="16"/>
  <c r="P46" i="16"/>
  <c r="P37" i="16"/>
  <c r="Q154" i="16"/>
  <c r="O96" i="16"/>
  <c r="Q96" i="16" s="1"/>
  <c r="Q94" i="16"/>
  <c r="P94" i="16"/>
  <c r="I13" i="16"/>
  <c r="P56" i="16"/>
  <c r="O12" i="16"/>
  <c r="Q12" i="16" s="1"/>
  <c r="Q221" i="16"/>
  <c r="P221" i="16"/>
  <c r="I229" i="16"/>
  <c r="Q194" i="16"/>
  <c r="P169" i="16"/>
  <c r="P161" i="16"/>
  <c r="Q147" i="16"/>
  <c r="P147" i="16"/>
  <c r="Q139" i="16"/>
  <c r="P139" i="16"/>
  <c r="Q131" i="16"/>
  <c r="P131" i="16"/>
  <c r="Q123" i="16"/>
  <c r="P123" i="16"/>
  <c r="P65" i="16"/>
  <c r="Q65" i="16"/>
  <c r="P167" i="16"/>
  <c r="Q118" i="16"/>
  <c r="P118" i="16"/>
  <c r="Q122" i="16"/>
  <c r="P122" i="16"/>
  <c r="N69" i="16"/>
  <c r="O61" i="16"/>
  <c r="P81" i="16"/>
  <c r="O30" i="16"/>
  <c r="N33" i="16"/>
  <c r="Q150" i="16"/>
  <c r="P150" i="16"/>
  <c r="N18" i="16"/>
  <c r="Q220" i="16"/>
  <c r="P220" i="16"/>
  <c r="P172" i="16"/>
  <c r="N229" i="16"/>
  <c r="O227" i="16"/>
  <c r="Q202" i="16"/>
  <c r="P178" i="16"/>
  <c r="I214" i="16"/>
  <c r="Q180" i="16"/>
  <c r="P163" i="16"/>
  <c r="N152" i="16"/>
  <c r="O105" i="16"/>
  <c r="P105" i="16" s="1"/>
  <c r="Q67" i="16"/>
  <c r="P67" i="16"/>
  <c r="Q222" i="16"/>
  <c r="P222" i="16"/>
  <c r="Q218" i="16"/>
  <c r="P218" i="16"/>
  <c r="Q228" i="16"/>
  <c r="P184" i="16"/>
  <c r="P176" i="16"/>
  <c r="P168" i="16"/>
  <c r="P160" i="16"/>
  <c r="P223" i="16"/>
  <c r="Q210" i="16"/>
  <c r="O209" i="16"/>
  <c r="Q209" i="16" s="1"/>
  <c r="O205" i="16"/>
  <c r="Q205" i="16" s="1"/>
  <c r="P73" i="16"/>
  <c r="Q73" i="16"/>
  <c r="I59" i="16"/>
  <c r="O170" i="16"/>
  <c r="Q170" i="16" s="1"/>
  <c r="O167" i="16"/>
  <c r="Q167" i="16" s="1"/>
  <c r="P162" i="16"/>
  <c r="P74" i="16"/>
  <c r="Q66" i="16"/>
  <c r="P219" i="16"/>
  <c r="O158" i="16"/>
  <c r="Q158" i="16" s="1"/>
  <c r="P148" i="16"/>
  <c r="P132" i="16"/>
  <c r="O106" i="16"/>
  <c r="Q106" i="16" s="1"/>
  <c r="Q82" i="16"/>
  <c r="P62" i="16"/>
  <c r="Q52" i="16"/>
  <c r="Q41" i="16"/>
  <c r="I18" i="16"/>
  <c r="N92" i="16"/>
  <c r="P89" i="16"/>
  <c r="I92" i="16"/>
  <c r="P92" i="16" s="1"/>
  <c r="I69" i="16"/>
  <c r="P16" i="16"/>
  <c r="P58" i="16"/>
  <c r="O110" i="16"/>
  <c r="Q110" i="16" s="1"/>
  <c r="Q102" i="16"/>
  <c r="P102" i="16"/>
  <c r="Q90" i="16"/>
  <c r="P68" i="16"/>
  <c r="Q43" i="16"/>
  <c r="N47" i="16"/>
  <c r="O35" i="16"/>
  <c r="P23" i="16"/>
  <c r="N214" i="16"/>
  <c r="O9" i="16"/>
  <c r="N13" i="16"/>
  <c r="O14" i="17" l="1"/>
  <c r="N13" i="15"/>
  <c r="N85" i="15"/>
  <c r="N17" i="15"/>
  <c r="N80" i="15"/>
  <c r="O13" i="16"/>
  <c r="Q13" i="16" s="1"/>
  <c r="N81" i="15"/>
  <c r="J24" i="17"/>
  <c r="N36" i="17"/>
  <c r="O36" i="17" s="1"/>
  <c r="O114" i="17"/>
  <c r="O64" i="17"/>
  <c r="K67" i="17"/>
  <c r="J77" i="17"/>
  <c r="K40" i="17"/>
  <c r="J43" i="17"/>
  <c r="J97" i="17"/>
  <c r="L92" i="17"/>
  <c r="M92" i="17" s="1"/>
  <c r="K92" i="17"/>
  <c r="M14" i="15"/>
  <c r="L19" i="15"/>
  <c r="M19" i="15" s="1"/>
  <c r="M24" i="15" s="1"/>
  <c r="N19" i="15"/>
  <c r="L68" i="15"/>
  <c r="M68" i="15" s="1"/>
  <c r="J89" i="17"/>
  <c r="L82" i="17"/>
  <c r="M82" i="17" s="1"/>
  <c r="K82" i="17"/>
  <c r="K89" i="17" s="1"/>
  <c r="L40" i="15"/>
  <c r="M40" i="15" s="1"/>
  <c r="L92" i="15"/>
  <c r="M92" i="15" s="1"/>
  <c r="M97" i="15" s="1"/>
  <c r="P9" i="16"/>
  <c r="N94" i="15"/>
  <c r="L94" i="15"/>
  <c r="M94" i="15" s="1"/>
  <c r="K24" i="17"/>
  <c r="L72" i="15"/>
  <c r="M72" i="15" s="1"/>
  <c r="L73" i="15"/>
  <c r="M73" i="15" s="1"/>
  <c r="N73" i="15"/>
  <c r="M43" i="15"/>
  <c r="L82" i="15"/>
  <c r="M82" i="15" s="1"/>
  <c r="P106" i="16"/>
  <c r="L94" i="17"/>
  <c r="M94" i="17" s="1"/>
  <c r="K94" i="17"/>
  <c r="N69" i="15"/>
  <c r="N28" i="15"/>
  <c r="L67" i="15"/>
  <c r="M67" i="15" s="1"/>
  <c r="N24" i="17"/>
  <c r="O24" i="17" s="1"/>
  <c r="N83" i="15"/>
  <c r="L86" i="15"/>
  <c r="M86" i="15" s="1"/>
  <c r="O47" i="16"/>
  <c r="Q47" i="16" s="1"/>
  <c r="Q35" i="16"/>
  <c r="O225" i="16"/>
  <c r="Q216" i="16"/>
  <c r="P216" i="16"/>
  <c r="Q20" i="16"/>
  <c r="O28" i="16"/>
  <c r="Q28" i="16" s="1"/>
  <c r="Q92" i="16"/>
  <c r="O69" i="16"/>
  <c r="Q69" i="16" s="1"/>
  <c r="Q61" i="16"/>
  <c r="P13" i="16"/>
  <c r="P35" i="16"/>
  <c r="O18" i="16"/>
  <c r="Q18" i="16" s="1"/>
  <c r="Q15" i="16"/>
  <c r="P96" i="16"/>
  <c r="O229" i="16"/>
  <c r="P229" i="16" s="1"/>
  <c r="Q227" i="16"/>
  <c r="P179" i="16"/>
  <c r="O152" i="16"/>
  <c r="Q152" i="16" s="1"/>
  <c r="Q105" i="16"/>
  <c r="N230" i="16"/>
  <c r="N4" i="16" s="1"/>
  <c r="J230" i="16"/>
  <c r="P47" i="16"/>
  <c r="Q72" i="16"/>
  <c r="O76" i="16"/>
  <c r="P72" i="16"/>
  <c r="P61" i="16"/>
  <c r="O214" i="16"/>
  <c r="Q214" i="16" s="1"/>
  <c r="P12" i="16"/>
  <c r="P15" i="16"/>
  <c r="P182" i="16"/>
  <c r="P159" i="16"/>
  <c r="P156" i="16"/>
  <c r="Q30" i="16"/>
  <c r="O33" i="16"/>
  <c r="P30" i="16"/>
  <c r="P158" i="16"/>
  <c r="P227" i="16"/>
  <c r="P110" i="16"/>
  <c r="Q64" i="16"/>
  <c r="P64" i="16"/>
  <c r="Q51" i="16"/>
  <c r="O59" i="16"/>
  <c r="Q59" i="16" s="1"/>
  <c r="Q103" i="16"/>
  <c r="P103" i="16"/>
  <c r="N94" i="17" l="1"/>
  <c r="O94" i="17" s="1"/>
  <c r="M77" i="15"/>
  <c r="M89" i="15"/>
  <c r="M268" i="15" s="1"/>
  <c r="N82" i="15"/>
  <c r="N40" i="15"/>
  <c r="N82" i="17"/>
  <c r="O82" i="17" s="1"/>
  <c r="M89" i="17"/>
  <c r="N89" i="17" s="1"/>
  <c r="O89" i="17" s="1"/>
  <c r="P152" i="16"/>
  <c r="K97" i="17"/>
  <c r="N40" i="17"/>
  <c r="O40" i="17" s="1"/>
  <c r="K43" i="17"/>
  <c r="P28" i="16"/>
  <c r="N86" i="15"/>
  <c r="N67" i="15"/>
  <c r="N72" i="15"/>
  <c r="N92" i="15"/>
  <c r="N92" i="17"/>
  <c r="O92" i="17" s="1"/>
  <c r="M97" i="17"/>
  <c r="N97" i="17" s="1"/>
  <c r="O97" i="17" s="1"/>
  <c r="N68" i="15"/>
  <c r="N67" i="17"/>
  <c r="O67" i="17" s="1"/>
  <c r="K77" i="17"/>
  <c r="N77" i="17" s="1"/>
  <c r="O77" i="17"/>
  <c r="Q76" i="16"/>
  <c r="P76" i="16"/>
  <c r="Q225" i="16"/>
  <c r="P225" i="16"/>
  <c r="O230" i="16"/>
  <c r="Q229" i="16"/>
  <c r="P59" i="16"/>
  <c r="P69" i="16"/>
  <c r="P214" i="16"/>
  <c r="P18" i="16"/>
  <c r="Q33" i="16"/>
  <c r="P33" i="16"/>
  <c r="M268" i="17" l="1"/>
  <c r="M270" i="17" s="1"/>
  <c r="N43" i="17"/>
  <c r="K268" i="17"/>
  <c r="P230" i="16"/>
  <c r="Q230" i="16" s="1"/>
  <c r="H264" i="15"/>
  <c r="K264" i="15" s="1"/>
  <c r="H263" i="15"/>
  <c r="H262" i="15"/>
  <c r="K262" i="15" s="1"/>
  <c r="H261" i="15"/>
  <c r="K261" i="15" s="1"/>
  <c r="H260" i="15"/>
  <c r="H259" i="15"/>
  <c r="H258" i="15"/>
  <c r="K258" i="15" s="1"/>
  <c r="H257" i="15"/>
  <c r="K257" i="15" s="1"/>
  <c r="H256" i="15"/>
  <c r="K256" i="15" s="1"/>
  <c r="H255" i="15"/>
  <c r="K255" i="15" s="1"/>
  <c r="H254" i="15"/>
  <c r="K254" i="15" s="1"/>
  <c r="H250" i="15"/>
  <c r="H249" i="15"/>
  <c r="K249" i="15" s="1"/>
  <c r="H248" i="15"/>
  <c r="H247" i="15"/>
  <c r="K247" i="15" s="1"/>
  <c r="H246" i="15"/>
  <c r="K246" i="15" s="1"/>
  <c r="H245" i="15"/>
  <c r="K245" i="15" s="1"/>
  <c r="H244" i="15"/>
  <c r="K244" i="15" s="1"/>
  <c r="H243" i="15"/>
  <c r="H242" i="15"/>
  <c r="K242" i="15" s="1"/>
  <c r="H238" i="15"/>
  <c r="K238" i="15" s="1"/>
  <c r="H237" i="15"/>
  <c r="H236" i="15"/>
  <c r="K236" i="15" s="1"/>
  <c r="H235" i="15"/>
  <c r="H234" i="15"/>
  <c r="K234" i="15" s="1"/>
  <c r="H233" i="15"/>
  <c r="H232" i="15"/>
  <c r="K232" i="15" s="1"/>
  <c r="H231" i="15"/>
  <c r="H230" i="15"/>
  <c r="K230" i="15" s="1"/>
  <c r="H229" i="15"/>
  <c r="H228" i="15"/>
  <c r="K228" i="15" s="1"/>
  <c r="H227" i="15"/>
  <c r="H226" i="15"/>
  <c r="K226" i="15" s="1"/>
  <c r="H225" i="15"/>
  <c r="H224" i="15"/>
  <c r="K224" i="15" s="1"/>
  <c r="H223" i="15"/>
  <c r="H222" i="15"/>
  <c r="K222" i="15" s="1"/>
  <c r="H221" i="15"/>
  <c r="H220" i="15"/>
  <c r="K220" i="15" s="1"/>
  <c r="H219" i="15"/>
  <c r="H218" i="15"/>
  <c r="K218" i="15" s="1"/>
  <c r="H217" i="15"/>
  <c r="H216" i="15"/>
  <c r="K216" i="15" s="1"/>
  <c r="H215" i="15"/>
  <c r="H214" i="15"/>
  <c r="K214" i="15" s="1"/>
  <c r="H213" i="15"/>
  <c r="H212" i="15"/>
  <c r="K212" i="15" s="1"/>
  <c r="H211" i="15"/>
  <c r="H210" i="15"/>
  <c r="K210" i="15" s="1"/>
  <c r="H209" i="15"/>
  <c r="H208" i="15"/>
  <c r="K208" i="15" s="1"/>
  <c r="H207" i="15"/>
  <c r="H206" i="15"/>
  <c r="K206" i="15" s="1"/>
  <c r="H205" i="15"/>
  <c r="H204" i="15"/>
  <c r="K204" i="15" s="1"/>
  <c r="H203" i="15"/>
  <c r="H202" i="15"/>
  <c r="K202" i="15" s="1"/>
  <c r="H201" i="15"/>
  <c r="H200" i="15"/>
  <c r="K200" i="15" s="1"/>
  <c r="H199" i="15"/>
  <c r="H198" i="15"/>
  <c r="K198" i="15" s="1"/>
  <c r="H197" i="15"/>
  <c r="H196" i="15"/>
  <c r="K196" i="15" s="1"/>
  <c r="H195" i="15"/>
  <c r="H194" i="15"/>
  <c r="K194" i="15" s="1"/>
  <c r="H193" i="15"/>
  <c r="H192" i="15"/>
  <c r="K192" i="15" s="1"/>
  <c r="H191" i="15"/>
  <c r="H190" i="15"/>
  <c r="K190" i="15" s="1"/>
  <c r="H189" i="15"/>
  <c r="H188" i="15"/>
  <c r="K188" i="15" s="1"/>
  <c r="H187" i="15"/>
  <c r="H186" i="15"/>
  <c r="K186" i="15" s="1"/>
  <c r="H185" i="15"/>
  <c r="H184" i="15"/>
  <c r="K184" i="15" s="1"/>
  <c r="H183" i="15"/>
  <c r="H182" i="15"/>
  <c r="K182" i="15" s="1"/>
  <c r="H181" i="15"/>
  <c r="H180" i="15"/>
  <c r="K180" i="15" s="1"/>
  <c r="H179" i="15"/>
  <c r="H175" i="15"/>
  <c r="K175" i="15" s="1"/>
  <c r="H174" i="15"/>
  <c r="K174" i="15" s="1"/>
  <c r="H173" i="15"/>
  <c r="K173" i="15" s="1"/>
  <c r="H172" i="15"/>
  <c r="K172" i="15" s="1"/>
  <c r="H171" i="15"/>
  <c r="K171" i="15" s="1"/>
  <c r="H170" i="15"/>
  <c r="K170" i="15" s="1"/>
  <c r="H169" i="15"/>
  <c r="K169" i="15" s="1"/>
  <c r="H168" i="15"/>
  <c r="K168" i="15" s="1"/>
  <c r="H167" i="15"/>
  <c r="K167" i="15" s="1"/>
  <c r="H166" i="15"/>
  <c r="K166" i="15" s="1"/>
  <c r="H165" i="15"/>
  <c r="K165" i="15" s="1"/>
  <c r="H164" i="15"/>
  <c r="K164" i="15" s="1"/>
  <c r="H163" i="15"/>
  <c r="K163" i="15" s="1"/>
  <c r="H162" i="15"/>
  <c r="K162" i="15" s="1"/>
  <c r="H161" i="15"/>
  <c r="K161" i="15" s="1"/>
  <c r="H160" i="15"/>
  <c r="K160" i="15" s="1"/>
  <c r="H159" i="15"/>
  <c r="K159" i="15" s="1"/>
  <c r="H158" i="15"/>
  <c r="K158" i="15" s="1"/>
  <c r="H157" i="15"/>
  <c r="K157" i="15" s="1"/>
  <c r="H156" i="15"/>
  <c r="K156" i="15" s="1"/>
  <c r="H155" i="15"/>
  <c r="K155" i="15" s="1"/>
  <c r="H154" i="15"/>
  <c r="K154" i="15" s="1"/>
  <c r="H153" i="15"/>
  <c r="K153" i="15" s="1"/>
  <c r="H152" i="15"/>
  <c r="K152" i="15" s="1"/>
  <c r="H151" i="15"/>
  <c r="K151" i="15" s="1"/>
  <c r="H150" i="15"/>
  <c r="K150" i="15" s="1"/>
  <c r="H149" i="15"/>
  <c r="K149" i="15" s="1"/>
  <c r="H148" i="15"/>
  <c r="K148" i="15" s="1"/>
  <c r="H147" i="15"/>
  <c r="K147" i="15" s="1"/>
  <c r="H146" i="15"/>
  <c r="K146" i="15" s="1"/>
  <c r="H145" i="15"/>
  <c r="K145" i="15" s="1"/>
  <c r="H144" i="15"/>
  <c r="K144" i="15" s="1"/>
  <c r="H143" i="15"/>
  <c r="K143" i="15" s="1"/>
  <c r="H142" i="15"/>
  <c r="K142" i="15" s="1"/>
  <c r="H141" i="15"/>
  <c r="K141" i="15" s="1"/>
  <c r="H140" i="15"/>
  <c r="K140" i="15" s="1"/>
  <c r="H139" i="15"/>
  <c r="K139" i="15" s="1"/>
  <c r="H138" i="15"/>
  <c r="K138" i="15" s="1"/>
  <c r="H137" i="15"/>
  <c r="K137" i="15" s="1"/>
  <c r="H136" i="15"/>
  <c r="K136" i="15" s="1"/>
  <c r="H135" i="15"/>
  <c r="K135" i="15" s="1"/>
  <c r="H134" i="15"/>
  <c r="K134" i="15" s="1"/>
  <c r="H133" i="15"/>
  <c r="K133" i="15" s="1"/>
  <c r="H132" i="15"/>
  <c r="K132" i="15" s="1"/>
  <c r="H131" i="15"/>
  <c r="K131" i="15" s="1"/>
  <c r="H130" i="15"/>
  <c r="K130" i="15" s="1"/>
  <c r="H129" i="15"/>
  <c r="K129" i="15" s="1"/>
  <c r="K176" i="15" s="1"/>
  <c r="H125" i="15"/>
  <c r="K125" i="15" s="1"/>
  <c r="H124" i="15"/>
  <c r="K124" i="15" s="1"/>
  <c r="H123" i="15"/>
  <c r="K123" i="15" s="1"/>
  <c r="H122" i="15"/>
  <c r="K122" i="15" s="1"/>
  <c r="H121" i="15"/>
  <c r="K121" i="15" s="1"/>
  <c r="H117" i="15"/>
  <c r="K117" i="15" s="1"/>
  <c r="K118" i="15" s="1"/>
  <c r="H113" i="15"/>
  <c r="H112" i="15"/>
  <c r="K112" i="15" s="1"/>
  <c r="H111" i="15"/>
  <c r="H110" i="15"/>
  <c r="K110" i="15" s="1"/>
  <c r="H109" i="15"/>
  <c r="K109" i="15" s="1"/>
  <c r="H108" i="15"/>
  <c r="K108" i="15" s="1"/>
  <c r="H107" i="15"/>
  <c r="H106" i="15"/>
  <c r="K106" i="15" s="1"/>
  <c r="H105" i="15"/>
  <c r="H104" i="15"/>
  <c r="K104" i="15" s="1"/>
  <c r="H103" i="15"/>
  <c r="H102" i="15"/>
  <c r="K102" i="15" s="1"/>
  <c r="H101" i="15"/>
  <c r="K101" i="15" s="1"/>
  <c r="H100" i="15"/>
  <c r="K100" i="15" s="1"/>
  <c r="H96" i="15"/>
  <c r="K96" i="15" s="1"/>
  <c r="H95" i="15"/>
  <c r="K95" i="15" s="1"/>
  <c r="H94" i="15"/>
  <c r="H93" i="15"/>
  <c r="H92" i="15"/>
  <c r="K92" i="15" s="1"/>
  <c r="H88" i="15"/>
  <c r="K88" i="15" s="1"/>
  <c r="H87" i="15"/>
  <c r="H86" i="15"/>
  <c r="K86" i="15" s="1"/>
  <c r="H85" i="15"/>
  <c r="K85" i="15" s="1"/>
  <c r="H84" i="15"/>
  <c r="K84" i="15" s="1"/>
  <c r="H83" i="15"/>
  <c r="K83" i="15" s="1"/>
  <c r="H82" i="15"/>
  <c r="H81" i="15"/>
  <c r="K81" i="15" s="1"/>
  <c r="H80" i="15"/>
  <c r="K80" i="15" s="1"/>
  <c r="H76" i="15"/>
  <c r="K76" i="15" s="1"/>
  <c r="H75" i="15"/>
  <c r="K75" i="15" s="1"/>
  <c r="H74" i="15"/>
  <c r="K74" i="15" s="1"/>
  <c r="H73" i="15"/>
  <c r="K73" i="15" s="1"/>
  <c r="H72" i="15"/>
  <c r="K72" i="15" s="1"/>
  <c r="H71" i="15"/>
  <c r="H70" i="15"/>
  <c r="K70" i="15" s="1"/>
  <c r="H69" i="15"/>
  <c r="K69" i="15" s="1"/>
  <c r="H68" i="15"/>
  <c r="K68" i="15" s="1"/>
  <c r="H67" i="15"/>
  <c r="H63" i="15"/>
  <c r="H62" i="15"/>
  <c r="H61" i="15"/>
  <c r="G60" i="15"/>
  <c r="H60" i="15" s="1"/>
  <c r="K60" i="15" s="1"/>
  <c r="E60" i="15"/>
  <c r="D60" i="15"/>
  <c r="C60" i="15"/>
  <c r="G59" i="15"/>
  <c r="H59" i="15" s="1"/>
  <c r="E59" i="15"/>
  <c r="D59" i="15"/>
  <c r="C59" i="15"/>
  <c r="H58" i="15"/>
  <c r="H56" i="15"/>
  <c r="H55" i="15"/>
  <c r="H54" i="15"/>
  <c r="H53" i="15"/>
  <c r="H52" i="15"/>
  <c r="H51" i="15"/>
  <c r="H50" i="15"/>
  <c r="H49" i="15"/>
  <c r="H48" i="15"/>
  <c r="H47" i="15"/>
  <c r="H46" i="15"/>
  <c r="H42" i="15"/>
  <c r="H41" i="15"/>
  <c r="K41" i="15" s="1"/>
  <c r="H40" i="15"/>
  <c r="K40" i="15" s="1"/>
  <c r="H39" i="15"/>
  <c r="K39" i="15" s="1"/>
  <c r="H35" i="15"/>
  <c r="K35" i="15" s="1"/>
  <c r="H34" i="15"/>
  <c r="K34" i="15" s="1"/>
  <c r="H33" i="15"/>
  <c r="H32" i="15"/>
  <c r="H31" i="15"/>
  <c r="K31" i="15" s="1"/>
  <c r="H30" i="15"/>
  <c r="H29" i="15"/>
  <c r="K29" i="15" s="1"/>
  <c r="H28" i="15"/>
  <c r="H27" i="15"/>
  <c r="H22" i="15"/>
  <c r="H21" i="15"/>
  <c r="K21" i="15" s="1"/>
  <c r="R20" i="15"/>
  <c r="H20" i="15"/>
  <c r="H19" i="15"/>
  <c r="H18" i="15"/>
  <c r="H17" i="15"/>
  <c r="K17" i="15" s="1"/>
  <c r="G13" i="15"/>
  <c r="H13" i="15" s="1"/>
  <c r="G12" i="15"/>
  <c r="H12" i="15" s="1"/>
  <c r="G11" i="15"/>
  <c r="H11" i="15" s="1"/>
  <c r="G10" i="15"/>
  <c r="H10" i="15" s="1"/>
  <c r="T6" i="15"/>
  <c r="G17" i="1"/>
  <c r="G46" i="1"/>
  <c r="H22" i="7"/>
  <c r="O43" i="17" l="1"/>
  <c r="N268" i="17"/>
  <c r="O268" i="17" s="1"/>
  <c r="K126" i="15"/>
  <c r="K13" i="15"/>
  <c r="K22" i="15"/>
  <c r="K30" i="15"/>
  <c r="K52" i="15"/>
  <c r="K56" i="15"/>
  <c r="K63" i="15"/>
  <c r="K103" i="15"/>
  <c r="K114" i="15" s="1"/>
  <c r="K107" i="15"/>
  <c r="K111" i="15"/>
  <c r="K179" i="15"/>
  <c r="K187" i="15"/>
  <c r="K195" i="15"/>
  <c r="K203" i="15"/>
  <c r="K207" i="15"/>
  <c r="K215" i="15"/>
  <c r="K223" i="15"/>
  <c r="K231" i="15"/>
  <c r="K235" i="15"/>
  <c r="K27" i="15"/>
  <c r="K49" i="15"/>
  <c r="K58" i="15"/>
  <c r="K67" i="15"/>
  <c r="K71" i="15"/>
  <c r="K82" i="15"/>
  <c r="K89" i="15" s="1"/>
  <c r="K243" i="15"/>
  <c r="K11" i="15"/>
  <c r="K18" i="15"/>
  <c r="K28" i="15"/>
  <c r="K32" i="15"/>
  <c r="K46" i="15"/>
  <c r="K50" i="15"/>
  <c r="K54" i="15"/>
  <c r="K61" i="15"/>
  <c r="K87" i="15"/>
  <c r="K94" i="15"/>
  <c r="K105" i="15"/>
  <c r="K113" i="15"/>
  <c r="K181" i="15"/>
  <c r="K185" i="15"/>
  <c r="K189" i="15"/>
  <c r="K193" i="15"/>
  <c r="K197" i="15"/>
  <c r="K201" i="15"/>
  <c r="K205" i="15"/>
  <c r="K209" i="15"/>
  <c r="K213" i="15"/>
  <c r="K217" i="15"/>
  <c r="K221" i="15"/>
  <c r="K225" i="15"/>
  <c r="K229" i="15"/>
  <c r="K233" i="15"/>
  <c r="K237" i="15"/>
  <c r="K248" i="15"/>
  <c r="K251" i="15" s="1"/>
  <c r="K259" i="15"/>
  <c r="K263" i="15"/>
  <c r="K20" i="15"/>
  <c r="K48" i="15"/>
  <c r="K183" i="15"/>
  <c r="K191" i="15"/>
  <c r="K199" i="15"/>
  <c r="K211" i="15"/>
  <c r="K219" i="15"/>
  <c r="K227" i="15"/>
  <c r="K250" i="15"/>
  <c r="K10" i="15"/>
  <c r="K42" i="15"/>
  <c r="K43" i="15" s="1"/>
  <c r="K53" i="15"/>
  <c r="K59" i="15"/>
  <c r="K93" i="15"/>
  <c r="K12" i="15"/>
  <c r="K19" i="15"/>
  <c r="K33" i="15"/>
  <c r="K47" i="15"/>
  <c r="K51" i="15"/>
  <c r="K55" i="15"/>
  <c r="K62" i="15"/>
  <c r="K260" i="15"/>
  <c r="J20" i="1"/>
  <c r="J21" i="1"/>
  <c r="L21" i="1" s="1"/>
  <c r="K21" i="1"/>
  <c r="N21" i="1" s="1"/>
  <c r="K97" i="15" l="1"/>
  <c r="K77" i="15"/>
  <c r="K24" i="15"/>
  <c r="K64" i="15"/>
  <c r="K239" i="15"/>
  <c r="K14" i="15"/>
  <c r="K36" i="15"/>
  <c r="E6" i="7"/>
  <c r="E7" i="13"/>
  <c r="E3" i="13"/>
  <c r="C3" i="13"/>
  <c r="F6" i="7"/>
  <c r="G6" i="7"/>
  <c r="G27" i="1"/>
  <c r="L14" i="1" l="1"/>
  <c r="L25" i="1"/>
  <c r="L37" i="1"/>
  <c r="L44" i="1"/>
  <c r="L65" i="1"/>
  <c r="L78" i="1"/>
  <c r="L90" i="1"/>
  <c r="L98" i="1"/>
  <c r="L115" i="1"/>
  <c r="L120" i="1"/>
  <c r="L128" i="1"/>
  <c r="L178" i="1"/>
  <c r="L241" i="1"/>
  <c r="L253" i="1"/>
  <c r="L266" i="1"/>
  <c r="N266" i="1" s="1"/>
  <c r="H117" i="1"/>
  <c r="J265" i="1"/>
  <c r="J264" i="1"/>
  <c r="J263" i="1"/>
  <c r="J262" i="1"/>
  <c r="J261" i="1"/>
  <c r="J260" i="1"/>
  <c r="J259" i="1"/>
  <c r="J258" i="1"/>
  <c r="J257" i="1"/>
  <c r="J88" i="1"/>
  <c r="J63" i="1"/>
  <c r="J62" i="1"/>
  <c r="J61" i="1"/>
  <c r="J56" i="1"/>
  <c r="J42" i="1"/>
  <c r="J35" i="1"/>
  <c r="J22" i="1"/>
  <c r="R20" i="1"/>
  <c r="T6" i="1"/>
  <c r="E7" i="7" l="1"/>
  <c r="K257" i="1" l="1"/>
  <c r="K258" i="1"/>
  <c r="K259" i="1"/>
  <c r="K260" i="1"/>
  <c r="K261" i="1"/>
  <c r="K262" i="1"/>
  <c r="K263" i="1"/>
  <c r="K264" i="1"/>
  <c r="K265" i="1"/>
  <c r="K88" i="1"/>
  <c r="K61" i="1"/>
  <c r="K62" i="1"/>
  <c r="N62" i="1" s="1"/>
  <c r="K63" i="1"/>
  <c r="K56" i="1"/>
  <c r="K42" i="1"/>
  <c r="K20" i="1"/>
  <c r="K22" i="1"/>
  <c r="G30" i="1"/>
  <c r="H258" i="1"/>
  <c r="L258" i="1" s="1"/>
  <c r="H259" i="1"/>
  <c r="L259" i="1" s="1"/>
  <c r="H260" i="1"/>
  <c r="L260" i="1" s="1"/>
  <c r="H261" i="1"/>
  <c r="L261" i="1" s="1"/>
  <c r="H262" i="1"/>
  <c r="L262" i="1" s="1"/>
  <c r="H263" i="1"/>
  <c r="L263" i="1" s="1"/>
  <c r="H264" i="1"/>
  <c r="L264" i="1" s="1"/>
  <c r="H265" i="1"/>
  <c r="L265" i="1" s="1"/>
  <c r="H257" i="1"/>
  <c r="L257" i="1" s="1"/>
  <c r="L88" i="1"/>
  <c r="H63" i="1"/>
  <c r="L63" i="1" s="1"/>
  <c r="H62" i="1"/>
  <c r="L62" i="1" s="1"/>
  <c r="H61" i="1"/>
  <c r="L61" i="1" s="1"/>
  <c r="H60" i="1"/>
  <c r="H59" i="1"/>
  <c r="H56" i="1"/>
  <c r="L56" i="1" s="1"/>
  <c r="H42" i="1"/>
  <c r="L42" i="1" s="1"/>
  <c r="H35" i="1"/>
  <c r="L35" i="1" s="1"/>
  <c r="N35" i="1" s="1"/>
  <c r="H30" i="1"/>
  <c r="H22" i="1"/>
  <c r="L22" i="1" s="1"/>
  <c r="H20" i="1"/>
  <c r="L20" i="1" s="1"/>
  <c r="H27" i="1"/>
  <c r="G28" i="1"/>
  <c r="H28" i="1" s="1"/>
  <c r="N22" i="1" l="1"/>
  <c r="N56" i="1"/>
  <c r="N262" i="1"/>
  <c r="N258" i="1"/>
  <c r="N265" i="1"/>
  <c r="N261" i="1"/>
  <c r="N257" i="1"/>
  <c r="N63" i="1"/>
  <c r="N264" i="1"/>
  <c r="N260" i="1"/>
  <c r="N42" i="1"/>
  <c r="N61" i="1"/>
  <c r="N263" i="1"/>
  <c r="N259" i="1"/>
  <c r="N88" i="1"/>
  <c r="N20" i="1"/>
  <c r="I170" i="12"/>
  <c r="A3" i="10" l="1"/>
  <c r="B3" i="10" s="1"/>
  <c r="C3" i="10" s="1"/>
  <c r="F35" i="9" l="1"/>
  <c r="F34" i="9"/>
  <c r="F33" i="9"/>
  <c r="F32" i="9"/>
  <c r="F36" i="9" s="1"/>
  <c r="F28" i="9"/>
  <c r="F27" i="9"/>
  <c r="F26" i="9"/>
  <c r="F25" i="9"/>
  <c r="F29" i="9" s="1"/>
  <c r="F21" i="9"/>
  <c r="F20" i="9"/>
  <c r="F19" i="9"/>
  <c r="F18" i="9"/>
  <c r="F22" i="9" s="1"/>
  <c r="F14" i="9"/>
  <c r="F13" i="9"/>
  <c r="F12" i="9"/>
  <c r="F11" i="9"/>
  <c r="F15" i="9" s="1"/>
  <c r="F7" i="9"/>
  <c r="F6" i="9"/>
  <c r="F5" i="9"/>
  <c r="F4" i="9"/>
  <c r="F8" i="9" s="1"/>
  <c r="W40" i="8"/>
  <c r="Z40" i="8" s="1"/>
  <c r="W39" i="8"/>
  <c r="Z39" i="8" s="1"/>
  <c r="W38" i="8"/>
  <c r="Z38" i="8" s="1"/>
  <c r="W37" i="8"/>
  <c r="Z37" i="8" s="1"/>
  <c r="W36" i="8"/>
  <c r="Z36" i="8" s="1"/>
  <c r="W35" i="8"/>
  <c r="Z35" i="8" s="1"/>
  <c r="W34" i="8"/>
  <c r="Z34" i="8" s="1"/>
  <c r="W33" i="8"/>
  <c r="Z33" i="8" s="1"/>
  <c r="W32" i="8"/>
  <c r="Z32" i="8" s="1"/>
  <c r="W31" i="8"/>
  <c r="Z31" i="8" s="1"/>
  <c r="W30" i="8"/>
  <c r="Z30" i="8" s="1"/>
  <c r="W29" i="8"/>
  <c r="Z29" i="8" s="1"/>
  <c r="W28" i="8"/>
  <c r="Z28" i="8" s="1"/>
  <c r="W27" i="8"/>
  <c r="Z27" i="8" s="1"/>
  <c r="W26" i="8"/>
  <c r="Z26" i="8" s="1"/>
  <c r="W25" i="8"/>
  <c r="Z25" i="8" s="1"/>
  <c r="W24" i="8"/>
  <c r="Z24" i="8" s="1"/>
  <c r="W23" i="8"/>
  <c r="Z23" i="8" s="1"/>
  <c r="W22" i="8"/>
  <c r="Z22" i="8" s="1"/>
  <c r="W21" i="8"/>
  <c r="Z21" i="8" s="1"/>
  <c r="W20" i="8"/>
  <c r="Z20" i="8" s="1"/>
  <c r="W19" i="8"/>
  <c r="Z19" i="8" s="1"/>
  <c r="W18" i="8"/>
  <c r="Z18" i="8" s="1"/>
  <c r="W17" i="8"/>
  <c r="Z17" i="8" s="1"/>
  <c r="W16" i="8"/>
  <c r="Z16" i="8" s="1"/>
  <c r="E45" i="7"/>
  <c r="C45" i="7"/>
  <c r="B45" i="7"/>
  <c r="A45" i="7"/>
  <c r="E44" i="7"/>
  <c r="C44" i="7"/>
  <c r="B44" i="7"/>
  <c r="A44" i="7"/>
  <c r="E43" i="7"/>
  <c r="C43" i="7"/>
  <c r="B43" i="7"/>
  <c r="A43" i="7"/>
  <c r="E42" i="7"/>
  <c r="C42" i="7"/>
  <c r="B42" i="7"/>
  <c r="A42" i="7"/>
  <c r="E41" i="7"/>
  <c r="C41" i="7"/>
  <c r="B41" i="7"/>
  <c r="A41" i="7"/>
  <c r="E40" i="7"/>
  <c r="C40" i="7"/>
  <c r="B40" i="7"/>
  <c r="A40" i="7"/>
  <c r="E39" i="7"/>
  <c r="C39" i="7"/>
  <c r="B39" i="7"/>
  <c r="A39" i="7"/>
  <c r="E38" i="7"/>
  <c r="C38" i="7"/>
  <c r="B38" i="7"/>
  <c r="A38" i="7"/>
  <c r="E37" i="7"/>
  <c r="C37" i="7"/>
  <c r="B37" i="7"/>
  <c r="A37" i="7"/>
  <c r="E36" i="7"/>
  <c r="C36" i="7"/>
  <c r="B36" i="7"/>
  <c r="A36" i="7"/>
  <c r="B35" i="7"/>
  <c r="A35" i="7"/>
  <c r="E34" i="7"/>
  <c r="C34" i="7"/>
  <c r="B34" i="7"/>
  <c r="E33" i="7"/>
  <c r="C33" i="7"/>
  <c r="B33" i="7"/>
  <c r="E32" i="7"/>
  <c r="C32" i="7"/>
  <c r="B32" i="7"/>
  <c r="E31" i="7"/>
  <c r="C31" i="7"/>
  <c r="B31" i="7"/>
  <c r="E30" i="7"/>
  <c r="C30" i="7"/>
  <c r="B30" i="7"/>
  <c r="B29" i="7"/>
  <c r="C28" i="7"/>
  <c r="B28" i="7"/>
  <c r="C27" i="7"/>
  <c r="B27" i="7"/>
  <c r="E26" i="7"/>
  <c r="C26" i="7"/>
  <c r="B26" i="7"/>
  <c r="E25" i="7"/>
  <c r="C25" i="7"/>
  <c r="B25" i="7"/>
  <c r="E24" i="7"/>
  <c r="C24" i="7"/>
  <c r="B24" i="7"/>
  <c r="C22" i="7"/>
  <c r="B22" i="7"/>
  <c r="E23" i="7"/>
  <c r="C23" i="7"/>
  <c r="B23" i="7"/>
  <c r="B21" i="7"/>
  <c r="E20" i="7"/>
  <c r="C20" i="7"/>
  <c r="B20" i="7"/>
  <c r="B19" i="7"/>
  <c r="E18" i="7"/>
  <c r="C18" i="7"/>
  <c r="B18" i="7"/>
  <c r="E17" i="7"/>
  <c r="C17" i="7"/>
  <c r="B17" i="7"/>
  <c r="E16" i="7"/>
  <c r="C16" i="7"/>
  <c r="B16" i="7"/>
  <c r="E15" i="7"/>
  <c r="C15" i="7"/>
  <c r="B15" i="7"/>
  <c r="E14" i="7"/>
  <c r="C14" i="7"/>
  <c r="B14" i="7"/>
  <c r="E13" i="7"/>
  <c r="C13" i="7"/>
  <c r="B13" i="7"/>
  <c r="F12" i="7"/>
  <c r="C12" i="7"/>
  <c r="B12" i="7"/>
  <c r="B11" i="7"/>
  <c r="E10" i="7"/>
  <c r="C10" i="7"/>
  <c r="B10" i="7"/>
  <c r="E9" i="7"/>
  <c r="C9" i="7"/>
  <c r="B9" i="7"/>
  <c r="E8" i="7"/>
  <c r="C8" i="7"/>
  <c r="B8" i="7"/>
  <c r="F7" i="7"/>
  <c r="C7" i="7"/>
  <c r="B7" i="7"/>
  <c r="C6" i="7"/>
  <c r="B6" i="7"/>
  <c r="B5" i="7"/>
  <c r="AC15" i="8" l="1"/>
  <c r="AI15" i="8" s="1"/>
  <c r="I60" i="1" l="1"/>
  <c r="E60" i="1"/>
  <c r="D60" i="1"/>
  <c r="C60" i="1"/>
  <c r="I59" i="1"/>
  <c r="E59" i="1"/>
  <c r="D59" i="1"/>
  <c r="C59" i="1"/>
  <c r="G52" i="1"/>
  <c r="H52" i="1" s="1"/>
  <c r="G51" i="1"/>
  <c r="H51" i="1" s="1"/>
  <c r="G50" i="1"/>
  <c r="H50" i="1" s="1"/>
  <c r="G49" i="1"/>
  <c r="H49" i="1" s="1"/>
  <c r="G48" i="1"/>
  <c r="H48" i="1" s="1"/>
  <c r="H46" i="1"/>
  <c r="G34" i="1"/>
  <c r="H34" i="1" s="1"/>
  <c r="G33" i="1"/>
  <c r="H33" i="1" s="1"/>
  <c r="G32" i="1"/>
  <c r="H32" i="1" s="1"/>
  <c r="G18" i="1"/>
  <c r="H18" i="1" s="1"/>
  <c r="H17" i="1"/>
  <c r="J59" i="1" l="1"/>
  <c r="J60" i="1"/>
  <c r="I101" i="12"/>
  <c r="I13" i="12"/>
  <c r="I41" i="12"/>
  <c r="I90" i="12"/>
  <c r="I33" i="12"/>
  <c r="I57" i="12"/>
  <c r="I152" i="12"/>
  <c r="I117" i="12"/>
  <c r="I135" i="12"/>
  <c r="I74" i="12"/>
  <c r="K60" i="1" l="1"/>
  <c r="L60" i="1"/>
  <c r="K59" i="1"/>
  <c r="L59" i="1"/>
  <c r="J256" i="1"/>
  <c r="L256" i="1" s="1"/>
  <c r="J255" i="1"/>
  <c r="L255" i="1" s="1"/>
  <c r="J251" i="1"/>
  <c r="L251" i="1" s="1"/>
  <c r="J250" i="1"/>
  <c r="L250" i="1" s="1"/>
  <c r="J249" i="1"/>
  <c r="L249" i="1" s="1"/>
  <c r="J248" i="1"/>
  <c r="L248" i="1" s="1"/>
  <c r="J247" i="1"/>
  <c r="L247" i="1" s="1"/>
  <c r="J246" i="1"/>
  <c r="L246" i="1" s="1"/>
  <c r="J245" i="1"/>
  <c r="L245" i="1" s="1"/>
  <c r="J244" i="1"/>
  <c r="L244" i="1" s="1"/>
  <c r="J243" i="1"/>
  <c r="L243" i="1" s="1"/>
  <c r="J239" i="1"/>
  <c r="L239" i="1" s="1"/>
  <c r="J238" i="1"/>
  <c r="L238" i="1" s="1"/>
  <c r="J237" i="1"/>
  <c r="L237" i="1" s="1"/>
  <c r="J236" i="1"/>
  <c r="L236" i="1" s="1"/>
  <c r="J235" i="1"/>
  <c r="L235" i="1" s="1"/>
  <c r="J234" i="1"/>
  <c r="L234" i="1" s="1"/>
  <c r="J233" i="1"/>
  <c r="L233" i="1" s="1"/>
  <c r="J232" i="1"/>
  <c r="L232" i="1" s="1"/>
  <c r="J231" i="1"/>
  <c r="L231" i="1" s="1"/>
  <c r="J230" i="1"/>
  <c r="L230" i="1" s="1"/>
  <c r="J229" i="1"/>
  <c r="L229" i="1" s="1"/>
  <c r="J228" i="1"/>
  <c r="L228" i="1" s="1"/>
  <c r="J227" i="1"/>
  <c r="L227" i="1" s="1"/>
  <c r="J226" i="1"/>
  <c r="L226" i="1" s="1"/>
  <c r="J225" i="1"/>
  <c r="L225" i="1" s="1"/>
  <c r="J224" i="1"/>
  <c r="L224" i="1" s="1"/>
  <c r="J223" i="1"/>
  <c r="L223" i="1" s="1"/>
  <c r="J222" i="1"/>
  <c r="L222" i="1" s="1"/>
  <c r="J221" i="1"/>
  <c r="L221" i="1" s="1"/>
  <c r="J220" i="1"/>
  <c r="L220" i="1" s="1"/>
  <c r="J219" i="1"/>
  <c r="L219" i="1" s="1"/>
  <c r="J218" i="1"/>
  <c r="L218" i="1" s="1"/>
  <c r="J217" i="1"/>
  <c r="L217" i="1" s="1"/>
  <c r="J216" i="1"/>
  <c r="L216" i="1" s="1"/>
  <c r="J215" i="1"/>
  <c r="L215" i="1" s="1"/>
  <c r="J214" i="1"/>
  <c r="L214" i="1" s="1"/>
  <c r="J213" i="1"/>
  <c r="L213" i="1" s="1"/>
  <c r="J212" i="1"/>
  <c r="L212" i="1" s="1"/>
  <c r="J211" i="1"/>
  <c r="L211" i="1" s="1"/>
  <c r="J210" i="1"/>
  <c r="L210" i="1" s="1"/>
  <c r="J209" i="1"/>
  <c r="L209" i="1" s="1"/>
  <c r="J208" i="1"/>
  <c r="L208" i="1" s="1"/>
  <c r="J207" i="1"/>
  <c r="L207" i="1" s="1"/>
  <c r="J206" i="1"/>
  <c r="L206" i="1" s="1"/>
  <c r="J205" i="1"/>
  <c r="L205" i="1" s="1"/>
  <c r="J204" i="1"/>
  <c r="L204" i="1" s="1"/>
  <c r="J203" i="1"/>
  <c r="L203" i="1" s="1"/>
  <c r="J202" i="1"/>
  <c r="L202" i="1" s="1"/>
  <c r="J201" i="1"/>
  <c r="L201" i="1" s="1"/>
  <c r="J200" i="1"/>
  <c r="L200" i="1" s="1"/>
  <c r="J199" i="1"/>
  <c r="L199" i="1" s="1"/>
  <c r="J198" i="1"/>
  <c r="L198" i="1" s="1"/>
  <c r="J197" i="1"/>
  <c r="L197" i="1" s="1"/>
  <c r="J196" i="1"/>
  <c r="L196" i="1" s="1"/>
  <c r="J195" i="1"/>
  <c r="L195" i="1" s="1"/>
  <c r="J194" i="1"/>
  <c r="L194" i="1" s="1"/>
  <c r="J193" i="1"/>
  <c r="L193" i="1" s="1"/>
  <c r="J192" i="1"/>
  <c r="L192" i="1" s="1"/>
  <c r="J191" i="1"/>
  <c r="L191" i="1" s="1"/>
  <c r="J190" i="1"/>
  <c r="L190" i="1" s="1"/>
  <c r="J189" i="1"/>
  <c r="L189" i="1" s="1"/>
  <c r="J188" i="1"/>
  <c r="L188" i="1" s="1"/>
  <c r="J187" i="1"/>
  <c r="L187" i="1" s="1"/>
  <c r="J186" i="1"/>
  <c r="L186" i="1" s="1"/>
  <c r="J185" i="1"/>
  <c r="L185" i="1" s="1"/>
  <c r="J184" i="1"/>
  <c r="L184" i="1" s="1"/>
  <c r="J183" i="1"/>
  <c r="L183" i="1" s="1"/>
  <c r="J182" i="1"/>
  <c r="L182" i="1" s="1"/>
  <c r="J181" i="1"/>
  <c r="J180" i="1"/>
  <c r="L180" i="1" s="1"/>
  <c r="J176" i="1"/>
  <c r="L176" i="1" s="1"/>
  <c r="J175" i="1"/>
  <c r="L175" i="1" s="1"/>
  <c r="J174" i="1"/>
  <c r="L174" i="1" s="1"/>
  <c r="J173" i="1"/>
  <c r="L173" i="1" s="1"/>
  <c r="J172" i="1"/>
  <c r="L172" i="1" s="1"/>
  <c r="J171" i="1"/>
  <c r="L171" i="1" s="1"/>
  <c r="J170" i="1"/>
  <c r="L170" i="1" s="1"/>
  <c r="J169" i="1"/>
  <c r="L169" i="1" s="1"/>
  <c r="J168" i="1"/>
  <c r="L168" i="1" s="1"/>
  <c r="J167" i="1"/>
  <c r="L167" i="1" s="1"/>
  <c r="J166" i="1"/>
  <c r="L166" i="1" s="1"/>
  <c r="J165" i="1"/>
  <c r="L165" i="1" s="1"/>
  <c r="J164" i="1"/>
  <c r="L164" i="1" s="1"/>
  <c r="J163" i="1"/>
  <c r="L163" i="1" s="1"/>
  <c r="J162" i="1"/>
  <c r="L162" i="1" s="1"/>
  <c r="J161" i="1"/>
  <c r="L161" i="1" s="1"/>
  <c r="J160" i="1"/>
  <c r="L160" i="1" s="1"/>
  <c r="J159" i="1"/>
  <c r="L159" i="1" s="1"/>
  <c r="J158" i="1"/>
  <c r="L158" i="1" s="1"/>
  <c r="J157" i="1"/>
  <c r="L157" i="1" s="1"/>
  <c r="J156" i="1"/>
  <c r="L156" i="1" s="1"/>
  <c r="J155" i="1"/>
  <c r="L155" i="1" s="1"/>
  <c r="J154" i="1"/>
  <c r="L154" i="1" s="1"/>
  <c r="J153" i="1"/>
  <c r="L153" i="1" s="1"/>
  <c r="J152" i="1"/>
  <c r="L152" i="1" s="1"/>
  <c r="J151" i="1"/>
  <c r="L151" i="1" s="1"/>
  <c r="J150" i="1"/>
  <c r="L150" i="1" s="1"/>
  <c r="J149" i="1"/>
  <c r="L149" i="1" s="1"/>
  <c r="J148" i="1"/>
  <c r="L148" i="1" s="1"/>
  <c r="J147" i="1"/>
  <c r="L147" i="1" s="1"/>
  <c r="J146" i="1"/>
  <c r="L146" i="1" s="1"/>
  <c r="J145" i="1"/>
  <c r="L145" i="1" s="1"/>
  <c r="J144" i="1"/>
  <c r="L144" i="1" s="1"/>
  <c r="J143" i="1"/>
  <c r="L143" i="1" s="1"/>
  <c r="J142" i="1"/>
  <c r="L142" i="1" s="1"/>
  <c r="J141" i="1"/>
  <c r="L141" i="1" s="1"/>
  <c r="J140" i="1"/>
  <c r="L140" i="1" s="1"/>
  <c r="J139" i="1"/>
  <c r="L139" i="1" s="1"/>
  <c r="J138" i="1"/>
  <c r="L138" i="1" s="1"/>
  <c r="J137" i="1"/>
  <c r="L137" i="1" s="1"/>
  <c r="J136" i="1"/>
  <c r="L136" i="1" s="1"/>
  <c r="J135" i="1"/>
  <c r="L135" i="1" s="1"/>
  <c r="J134" i="1"/>
  <c r="L134" i="1" s="1"/>
  <c r="J133" i="1"/>
  <c r="L133" i="1" s="1"/>
  <c r="J132" i="1"/>
  <c r="L132" i="1" s="1"/>
  <c r="J131" i="1"/>
  <c r="L131" i="1" s="1"/>
  <c r="J130" i="1"/>
  <c r="L130" i="1" s="1"/>
  <c r="J126" i="1"/>
  <c r="L126" i="1" s="1"/>
  <c r="J125" i="1"/>
  <c r="L125" i="1" s="1"/>
  <c r="J124" i="1"/>
  <c r="L124" i="1" s="1"/>
  <c r="J123" i="1"/>
  <c r="L123" i="1" s="1"/>
  <c r="J122" i="1"/>
  <c r="L122" i="1" s="1"/>
  <c r="J118" i="1"/>
  <c r="L118" i="1" s="1"/>
  <c r="J117" i="1"/>
  <c r="J113" i="1"/>
  <c r="L113" i="1" s="1"/>
  <c r="J112" i="1"/>
  <c r="L112" i="1" s="1"/>
  <c r="J111" i="1"/>
  <c r="L111" i="1" s="1"/>
  <c r="J110" i="1"/>
  <c r="L110" i="1" s="1"/>
  <c r="J109" i="1"/>
  <c r="L109" i="1" s="1"/>
  <c r="J108" i="1"/>
  <c r="L108" i="1" s="1"/>
  <c r="J107" i="1"/>
  <c r="L107" i="1" s="1"/>
  <c r="J106" i="1"/>
  <c r="L106" i="1" s="1"/>
  <c r="J105" i="1"/>
  <c r="L105" i="1" s="1"/>
  <c r="J104" i="1"/>
  <c r="L104" i="1" s="1"/>
  <c r="J103" i="1"/>
  <c r="L103" i="1" s="1"/>
  <c r="J102" i="1"/>
  <c r="L102" i="1" s="1"/>
  <c r="J101" i="1"/>
  <c r="L101" i="1" s="1"/>
  <c r="J100" i="1"/>
  <c r="L100" i="1" s="1"/>
  <c r="J96" i="1"/>
  <c r="L96" i="1" s="1"/>
  <c r="J95" i="1"/>
  <c r="L95" i="1" s="1"/>
  <c r="J94" i="1"/>
  <c r="L94" i="1" s="1"/>
  <c r="J93" i="1"/>
  <c r="L93" i="1" s="1"/>
  <c r="J92" i="1"/>
  <c r="L92" i="1" s="1"/>
  <c r="L97" i="1" s="1"/>
  <c r="J87" i="1"/>
  <c r="L87" i="1" s="1"/>
  <c r="J86" i="1"/>
  <c r="L86" i="1" s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L89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L68" i="1" s="1"/>
  <c r="J67" i="1"/>
  <c r="L67" i="1" s="1"/>
  <c r="J58" i="1"/>
  <c r="L58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1" i="1"/>
  <c r="L41" i="1" s="1"/>
  <c r="J40" i="1"/>
  <c r="L40" i="1" s="1"/>
  <c r="J39" i="1"/>
  <c r="L39" i="1" s="1"/>
  <c r="L43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19" i="1"/>
  <c r="L19" i="1" s="1"/>
  <c r="J18" i="1"/>
  <c r="L18" i="1" s="1"/>
  <c r="J17" i="1"/>
  <c r="L17" i="1" s="1"/>
  <c r="I10" i="1"/>
  <c r="I11" i="1"/>
  <c r="I12" i="1"/>
  <c r="I13" i="1"/>
  <c r="L36" i="1" l="1"/>
  <c r="L252" i="1"/>
  <c r="N59" i="1"/>
  <c r="N60" i="1"/>
  <c r="L114" i="1"/>
  <c r="L127" i="1"/>
  <c r="L24" i="1"/>
  <c r="L77" i="1"/>
  <c r="L177" i="1"/>
  <c r="K181" i="1"/>
  <c r="L181" i="1"/>
  <c r="L240" i="1" s="1"/>
  <c r="L267" i="1"/>
  <c r="L64" i="1"/>
  <c r="L117" i="1"/>
  <c r="L119" i="1" s="1"/>
  <c r="M117" i="1"/>
  <c r="M119" i="1" s="1"/>
  <c r="M269" i="1" s="1"/>
  <c r="K274" i="1" s="1"/>
  <c r="K29" i="1"/>
  <c r="N29" i="1" s="1"/>
  <c r="K49" i="1"/>
  <c r="N49" i="1" s="1"/>
  <c r="K67" i="1"/>
  <c r="N67" i="1" s="1"/>
  <c r="K75" i="1"/>
  <c r="N75" i="1" s="1"/>
  <c r="K86" i="1"/>
  <c r="N86" i="1" s="1"/>
  <c r="K101" i="1"/>
  <c r="N101" i="1" s="1"/>
  <c r="K109" i="1"/>
  <c r="N109" i="1" s="1"/>
  <c r="K113" i="1"/>
  <c r="N113" i="1" s="1"/>
  <c r="K130" i="1"/>
  <c r="N130" i="1" s="1"/>
  <c r="K138" i="1"/>
  <c r="N138" i="1" s="1"/>
  <c r="K146" i="1"/>
  <c r="N146" i="1" s="1"/>
  <c r="K154" i="1"/>
  <c r="N154" i="1" s="1"/>
  <c r="K162" i="1"/>
  <c r="N162" i="1" s="1"/>
  <c r="K170" i="1"/>
  <c r="N170" i="1" s="1"/>
  <c r="K185" i="1"/>
  <c r="N185" i="1" s="1"/>
  <c r="K189" i="1"/>
  <c r="N189" i="1" s="1"/>
  <c r="K193" i="1"/>
  <c r="N193" i="1" s="1"/>
  <c r="K197" i="1"/>
  <c r="N197" i="1" s="1"/>
  <c r="K201" i="1"/>
  <c r="N201" i="1" s="1"/>
  <c r="K205" i="1"/>
  <c r="N205" i="1" s="1"/>
  <c r="K209" i="1"/>
  <c r="N209" i="1" s="1"/>
  <c r="K213" i="1"/>
  <c r="N213" i="1" s="1"/>
  <c r="K217" i="1"/>
  <c r="N217" i="1" s="1"/>
  <c r="K221" i="1"/>
  <c r="N221" i="1" s="1"/>
  <c r="K225" i="1"/>
  <c r="N225" i="1" s="1"/>
  <c r="K229" i="1"/>
  <c r="N229" i="1" s="1"/>
  <c r="K233" i="1"/>
  <c r="N233" i="1" s="1"/>
  <c r="K237" i="1"/>
  <c r="N237" i="1" s="1"/>
  <c r="K244" i="1"/>
  <c r="N244" i="1" s="1"/>
  <c r="K248" i="1"/>
  <c r="N248" i="1" s="1"/>
  <c r="K255" i="1"/>
  <c r="K19" i="1"/>
  <c r="N19" i="1" s="1"/>
  <c r="K30" i="1"/>
  <c r="N30" i="1" s="1"/>
  <c r="K34" i="1"/>
  <c r="N34" i="1" s="1"/>
  <c r="K46" i="1"/>
  <c r="K50" i="1"/>
  <c r="N50" i="1" s="1"/>
  <c r="K54" i="1"/>
  <c r="N54" i="1" s="1"/>
  <c r="K68" i="1"/>
  <c r="N68" i="1" s="1"/>
  <c r="K72" i="1"/>
  <c r="N72" i="1" s="1"/>
  <c r="K76" i="1"/>
  <c r="N76" i="1" s="1"/>
  <c r="K83" i="1"/>
  <c r="N83" i="1" s="1"/>
  <c r="K87" i="1"/>
  <c r="N87" i="1" s="1"/>
  <c r="K95" i="1"/>
  <c r="N95" i="1" s="1"/>
  <c r="K102" i="1"/>
  <c r="N102" i="1" s="1"/>
  <c r="K106" i="1"/>
  <c r="N106" i="1" s="1"/>
  <c r="K110" i="1"/>
  <c r="N110" i="1" s="1"/>
  <c r="K117" i="1"/>
  <c r="K124" i="1"/>
  <c r="N124" i="1" s="1"/>
  <c r="K131" i="1"/>
  <c r="N131" i="1" s="1"/>
  <c r="K135" i="1"/>
  <c r="N135" i="1" s="1"/>
  <c r="K139" i="1"/>
  <c r="N139" i="1" s="1"/>
  <c r="K143" i="1"/>
  <c r="N143" i="1" s="1"/>
  <c r="K147" i="1"/>
  <c r="N147" i="1" s="1"/>
  <c r="K151" i="1"/>
  <c r="N151" i="1" s="1"/>
  <c r="K155" i="1"/>
  <c r="N155" i="1" s="1"/>
  <c r="K159" i="1"/>
  <c r="N159" i="1" s="1"/>
  <c r="K163" i="1"/>
  <c r="N163" i="1" s="1"/>
  <c r="K167" i="1"/>
  <c r="N167" i="1" s="1"/>
  <c r="K171" i="1"/>
  <c r="N171" i="1" s="1"/>
  <c r="K175" i="1"/>
  <c r="N175" i="1" s="1"/>
  <c r="K182" i="1"/>
  <c r="N182" i="1" s="1"/>
  <c r="K186" i="1"/>
  <c r="N186" i="1" s="1"/>
  <c r="K190" i="1"/>
  <c r="N190" i="1" s="1"/>
  <c r="K194" i="1"/>
  <c r="N194" i="1" s="1"/>
  <c r="K198" i="1"/>
  <c r="N198" i="1" s="1"/>
  <c r="K202" i="1"/>
  <c r="N202" i="1" s="1"/>
  <c r="K206" i="1"/>
  <c r="N206" i="1" s="1"/>
  <c r="K210" i="1"/>
  <c r="N210" i="1" s="1"/>
  <c r="K214" i="1"/>
  <c r="N214" i="1" s="1"/>
  <c r="K218" i="1"/>
  <c r="N218" i="1" s="1"/>
  <c r="K222" i="1"/>
  <c r="N222" i="1" s="1"/>
  <c r="K226" i="1"/>
  <c r="N226" i="1" s="1"/>
  <c r="K230" i="1"/>
  <c r="N230" i="1" s="1"/>
  <c r="K234" i="1"/>
  <c r="N234" i="1" s="1"/>
  <c r="K238" i="1"/>
  <c r="N238" i="1" s="1"/>
  <c r="K245" i="1"/>
  <c r="N245" i="1" s="1"/>
  <c r="K249" i="1"/>
  <c r="N249" i="1" s="1"/>
  <c r="K256" i="1"/>
  <c r="N256" i="1" s="1"/>
  <c r="K33" i="1"/>
  <c r="N33" i="1" s="1"/>
  <c r="K31" i="1"/>
  <c r="N31" i="1" s="1"/>
  <c r="K172" i="1"/>
  <c r="N172" i="1" s="1"/>
  <c r="K176" i="1"/>
  <c r="N176" i="1" s="1"/>
  <c r="K183" i="1"/>
  <c r="N183" i="1" s="1"/>
  <c r="K187" i="1"/>
  <c r="N187" i="1" s="1"/>
  <c r="K191" i="1"/>
  <c r="N191" i="1" s="1"/>
  <c r="K195" i="1"/>
  <c r="N195" i="1" s="1"/>
  <c r="K199" i="1"/>
  <c r="N199" i="1" s="1"/>
  <c r="K203" i="1"/>
  <c r="N203" i="1" s="1"/>
  <c r="K207" i="1"/>
  <c r="N207" i="1" s="1"/>
  <c r="K211" i="1"/>
  <c r="N211" i="1" s="1"/>
  <c r="K215" i="1"/>
  <c r="N215" i="1" s="1"/>
  <c r="K219" i="1"/>
  <c r="N219" i="1" s="1"/>
  <c r="K223" i="1"/>
  <c r="N223" i="1" s="1"/>
  <c r="K227" i="1"/>
  <c r="N227" i="1" s="1"/>
  <c r="K231" i="1"/>
  <c r="N231" i="1" s="1"/>
  <c r="K235" i="1"/>
  <c r="N235" i="1" s="1"/>
  <c r="K239" i="1"/>
  <c r="N239" i="1" s="1"/>
  <c r="K246" i="1"/>
  <c r="N246" i="1" s="1"/>
  <c r="K250" i="1"/>
  <c r="N250" i="1" s="1"/>
  <c r="K18" i="1"/>
  <c r="N18" i="1" s="1"/>
  <c r="K41" i="1"/>
  <c r="N41" i="1" s="1"/>
  <c r="K53" i="1"/>
  <c r="N53" i="1" s="1"/>
  <c r="K71" i="1"/>
  <c r="N71" i="1" s="1"/>
  <c r="K82" i="1"/>
  <c r="N82" i="1" s="1"/>
  <c r="K94" i="1"/>
  <c r="N94" i="1" s="1"/>
  <c r="K105" i="1"/>
  <c r="N105" i="1" s="1"/>
  <c r="K123" i="1"/>
  <c r="N123" i="1" s="1"/>
  <c r="K134" i="1"/>
  <c r="N134" i="1" s="1"/>
  <c r="K142" i="1"/>
  <c r="N142" i="1" s="1"/>
  <c r="K150" i="1"/>
  <c r="N150" i="1" s="1"/>
  <c r="K158" i="1"/>
  <c r="N158" i="1" s="1"/>
  <c r="K166" i="1"/>
  <c r="N166" i="1" s="1"/>
  <c r="K174" i="1"/>
  <c r="N174" i="1" s="1"/>
  <c r="K27" i="1"/>
  <c r="K39" i="1"/>
  <c r="K47" i="1"/>
  <c r="N47" i="1" s="1"/>
  <c r="K51" i="1"/>
  <c r="N51" i="1" s="1"/>
  <c r="K55" i="1"/>
  <c r="N55" i="1" s="1"/>
  <c r="K69" i="1"/>
  <c r="N69" i="1" s="1"/>
  <c r="K73" i="1"/>
  <c r="N73" i="1" s="1"/>
  <c r="K80" i="1"/>
  <c r="K84" i="1"/>
  <c r="N84" i="1" s="1"/>
  <c r="K92" i="1"/>
  <c r="N92" i="1" s="1"/>
  <c r="K96" i="1"/>
  <c r="N96" i="1" s="1"/>
  <c r="K103" i="1"/>
  <c r="N103" i="1" s="1"/>
  <c r="K107" i="1"/>
  <c r="N107" i="1" s="1"/>
  <c r="K111" i="1"/>
  <c r="N111" i="1" s="1"/>
  <c r="K118" i="1"/>
  <c r="N118" i="1" s="1"/>
  <c r="K125" i="1"/>
  <c r="N125" i="1" s="1"/>
  <c r="K132" i="1"/>
  <c r="N132" i="1" s="1"/>
  <c r="K136" i="1"/>
  <c r="N136" i="1" s="1"/>
  <c r="K140" i="1"/>
  <c r="N140" i="1" s="1"/>
  <c r="K144" i="1"/>
  <c r="N144" i="1" s="1"/>
  <c r="K148" i="1"/>
  <c r="N148" i="1" s="1"/>
  <c r="K152" i="1"/>
  <c r="N152" i="1" s="1"/>
  <c r="K156" i="1"/>
  <c r="N156" i="1" s="1"/>
  <c r="K160" i="1"/>
  <c r="N160" i="1" s="1"/>
  <c r="K164" i="1"/>
  <c r="N164" i="1" s="1"/>
  <c r="K168" i="1"/>
  <c r="N168" i="1" s="1"/>
  <c r="K17" i="1"/>
  <c r="K28" i="1"/>
  <c r="N28" i="1" s="1"/>
  <c r="K32" i="1"/>
  <c r="N32" i="1" s="1"/>
  <c r="K40" i="1"/>
  <c r="N40" i="1" s="1"/>
  <c r="K48" i="1"/>
  <c r="N48" i="1" s="1"/>
  <c r="K52" i="1"/>
  <c r="N52" i="1" s="1"/>
  <c r="K58" i="1"/>
  <c r="N58" i="1" s="1"/>
  <c r="K70" i="1"/>
  <c r="N70" i="1" s="1"/>
  <c r="K74" i="1"/>
  <c r="N74" i="1" s="1"/>
  <c r="K81" i="1"/>
  <c r="N81" i="1" s="1"/>
  <c r="K85" i="1"/>
  <c r="N85" i="1" s="1"/>
  <c r="K93" i="1"/>
  <c r="N93" i="1" s="1"/>
  <c r="K100" i="1"/>
  <c r="N100" i="1" s="1"/>
  <c r="K104" i="1"/>
  <c r="N104" i="1" s="1"/>
  <c r="K108" i="1"/>
  <c r="N108" i="1" s="1"/>
  <c r="K112" i="1"/>
  <c r="N112" i="1" s="1"/>
  <c r="K122" i="1"/>
  <c r="N122" i="1" s="1"/>
  <c r="K126" i="1"/>
  <c r="N126" i="1" s="1"/>
  <c r="K133" i="1"/>
  <c r="N133" i="1" s="1"/>
  <c r="K137" i="1"/>
  <c r="N137" i="1" s="1"/>
  <c r="K141" i="1"/>
  <c r="N141" i="1" s="1"/>
  <c r="K145" i="1"/>
  <c r="N145" i="1" s="1"/>
  <c r="K149" i="1"/>
  <c r="N149" i="1" s="1"/>
  <c r="K153" i="1"/>
  <c r="N153" i="1" s="1"/>
  <c r="K157" i="1"/>
  <c r="N157" i="1" s="1"/>
  <c r="K161" i="1"/>
  <c r="N161" i="1" s="1"/>
  <c r="K165" i="1"/>
  <c r="N165" i="1" s="1"/>
  <c r="K169" i="1"/>
  <c r="N169" i="1" s="1"/>
  <c r="K173" i="1"/>
  <c r="N173" i="1" s="1"/>
  <c r="K180" i="1"/>
  <c r="N180" i="1" s="1"/>
  <c r="K184" i="1"/>
  <c r="N184" i="1" s="1"/>
  <c r="K188" i="1"/>
  <c r="N188" i="1" s="1"/>
  <c r="K192" i="1"/>
  <c r="N192" i="1" s="1"/>
  <c r="K196" i="1"/>
  <c r="N196" i="1" s="1"/>
  <c r="K200" i="1"/>
  <c r="N200" i="1" s="1"/>
  <c r="K204" i="1"/>
  <c r="N204" i="1" s="1"/>
  <c r="K208" i="1"/>
  <c r="N208" i="1" s="1"/>
  <c r="K212" i="1"/>
  <c r="N212" i="1" s="1"/>
  <c r="K216" i="1"/>
  <c r="N216" i="1" s="1"/>
  <c r="K220" i="1"/>
  <c r="N220" i="1" s="1"/>
  <c r="K224" i="1"/>
  <c r="N224" i="1" s="1"/>
  <c r="K228" i="1"/>
  <c r="N228" i="1" s="1"/>
  <c r="K232" i="1"/>
  <c r="N232" i="1" s="1"/>
  <c r="K236" i="1"/>
  <c r="N236" i="1" s="1"/>
  <c r="K243" i="1"/>
  <c r="N243" i="1" s="1"/>
  <c r="K247" i="1"/>
  <c r="N247" i="1" s="1"/>
  <c r="K251" i="1"/>
  <c r="N251" i="1" s="1"/>
  <c r="J10" i="1"/>
  <c r="K10" i="1" s="1"/>
  <c r="N10" i="1" s="1"/>
  <c r="J11" i="1"/>
  <c r="J13" i="1"/>
  <c r="J12" i="1"/>
  <c r="E52" i="2"/>
  <c r="E40" i="2"/>
  <c r="K43" i="1" l="1"/>
  <c r="N39" i="1"/>
  <c r="N80" i="1"/>
  <c r="K89" i="1"/>
  <c r="L269" i="1"/>
  <c r="K273" i="1" s="1"/>
  <c r="N27" i="1"/>
  <c r="K36" i="1"/>
  <c r="N117" i="1"/>
  <c r="N46" i="1"/>
  <c r="N64" i="1" s="1"/>
  <c r="K64" i="1"/>
  <c r="N255" i="1"/>
  <c r="N267" i="1" s="1"/>
  <c r="K267" i="1"/>
  <c r="N181" i="1"/>
  <c r="K24" i="1"/>
  <c r="N17" i="1"/>
  <c r="N24" i="1" s="1"/>
  <c r="N119" i="1"/>
  <c r="N114" i="1"/>
  <c r="N97" i="1"/>
  <c r="N89" i="1"/>
  <c r="N127" i="1"/>
  <c r="N177" i="1"/>
  <c r="N36" i="1"/>
  <c r="N252" i="1"/>
  <c r="N240" i="1"/>
  <c r="N77" i="1"/>
  <c r="K13" i="1"/>
  <c r="N13" i="1" s="1"/>
  <c r="K11" i="1"/>
  <c r="N11" i="1" s="1"/>
  <c r="N43" i="1"/>
  <c r="K12" i="1"/>
  <c r="N12" i="1" s="1"/>
  <c r="E39" i="2"/>
  <c r="E38" i="2"/>
  <c r="E37" i="2"/>
  <c r="E36" i="2"/>
  <c r="E35" i="2"/>
  <c r="E34" i="2"/>
  <c r="E33" i="2"/>
  <c r="W155" i="6"/>
  <c r="Z155" i="6" s="1"/>
  <c r="S155" i="6"/>
  <c r="W154" i="6"/>
  <c r="S154" i="6"/>
  <c r="W153" i="6"/>
  <c r="S153" i="6"/>
  <c r="W152" i="6"/>
  <c r="Z152" i="6" s="1"/>
  <c r="W151" i="6"/>
  <c r="Z151" i="6" s="1"/>
  <c r="W150" i="6"/>
  <c r="S150" i="6"/>
  <c r="W149" i="6"/>
  <c r="S149" i="6"/>
  <c r="W148" i="6"/>
  <c r="Z148" i="6" s="1"/>
  <c r="S148" i="6"/>
  <c r="W147" i="6"/>
  <c r="S147" i="6"/>
  <c r="W146" i="6"/>
  <c r="Z146" i="6" s="1"/>
  <c r="S146" i="6"/>
  <c r="W145" i="6"/>
  <c r="Z145" i="6" s="1"/>
  <c r="W144" i="6"/>
  <c r="S144" i="6"/>
  <c r="W143" i="6"/>
  <c r="S143" i="6"/>
  <c r="W142" i="6"/>
  <c r="S142" i="6"/>
  <c r="W141" i="6"/>
  <c r="Z141" i="6" s="1"/>
  <c r="W140" i="6"/>
  <c r="Z140" i="6" s="1"/>
  <c r="W139" i="6"/>
  <c r="S139" i="6"/>
  <c r="W138" i="6"/>
  <c r="Z138" i="6" s="1"/>
  <c r="W137" i="6"/>
  <c r="Z137" i="6" s="1"/>
  <c r="W136" i="6"/>
  <c r="S136" i="6"/>
  <c r="W135" i="6"/>
  <c r="Z135" i="6" s="1"/>
  <c r="W134" i="6"/>
  <c r="Z134" i="6" s="1"/>
  <c r="W133" i="6"/>
  <c r="Z133" i="6" s="1"/>
  <c r="W132" i="6"/>
  <c r="Z132" i="6" s="1"/>
  <c r="W131" i="6"/>
  <c r="Z131" i="6" s="1"/>
  <c r="W130" i="6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 s="1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N14" i="1" l="1"/>
  <c r="N269" i="1" s="1"/>
  <c r="Z139" i="6"/>
  <c r="Z149" i="6"/>
  <c r="Z130" i="6"/>
  <c r="Z136" i="6"/>
  <c r="Z143" i="6"/>
  <c r="Z154" i="6"/>
  <c r="Z142" i="6"/>
  <c r="Z144" i="6"/>
  <c r="Z150" i="6"/>
  <c r="Z147" i="6"/>
  <c r="Z153" i="6"/>
  <c r="AC42" i="6"/>
  <c r="S39" i="6"/>
  <c r="Z39" i="6" s="1"/>
  <c r="S36" i="6"/>
  <c r="Z36" i="6" s="1"/>
  <c r="S35" i="6"/>
  <c r="Z35" i="6" s="1"/>
  <c r="S34" i="6"/>
  <c r="Z34" i="6" s="1"/>
  <c r="S33" i="6"/>
  <c r="Z33" i="6" s="1"/>
  <c r="S32" i="6"/>
  <c r="Z32" i="6" s="1"/>
  <c r="S30" i="6"/>
  <c r="Z30" i="6" s="1"/>
  <c r="S29" i="6"/>
  <c r="Z29" i="6" s="1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31" i="6"/>
  <c r="Z37" i="6"/>
  <c r="Z38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S406" i="5"/>
  <c r="W405" i="5"/>
  <c r="S405" i="5"/>
  <c r="W404" i="5"/>
  <c r="S404" i="5"/>
  <c r="W403" i="5"/>
  <c r="S403" i="5"/>
  <c r="W402" i="5"/>
  <c r="S402" i="5"/>
  <c r="W401" i="5"/>
  <c r="S401" i="5"/>
  <c r="W400" i="5"/>
  <c r="S400" i="5"/>
  <c r="W399" i="5"/>
  <c r="S399" i="5"/>
  <c r="S312" i="5"/>
  <c r="S311" i="5"/>
  <c r="S310" i="5"/>
  <c r="S309" i="5"/>
  <c r="S308" i="5"/>
  <c r="S307" i="5"/>
  <c r="S306" i="5"/>
  <c r="S305" i="5"/>
  <c r="W305" i="5"/>
  <c r="Z305" i="5" s="1"/>
  <c r="W397" i="5"/>
  <c r="Z397" i="5" s="1"/>
  <c r="W396" i="5"/>
  <c r="Z396" i="5" s="1"/>
  <c r="W395" i="5"/>
  <c r="Z395" i="5" s="1"/>
  <c r="W394" i="5"/>
  <c r="Z394" i="5" s="1"/>
  <c r="W393" i="5"/>
  <c r="Z393" i="5" s="1"/>
  <c r="W392" i="5"/>
  <c r="Z392" i="5" s="1"/>
  <c r="W391" i="5"/>
  <c r="Z391" i="5" s="1"/>
  <c r="W390" i="5"/>
  <c r="Z390" i="5" s="1"/>
  <c r="W389" i="5"/>
  <c r="Z389" i="5" s="1"/>
  <c r="W388" i="5"/>
  <c r="Z388" i="5" s="1"/>
  <c r="W387" i="5"/>
  <c r="Z387" i="5" s="1"/>
  <c r="W386" i="5"/>
  <c r="Z386" i="5" s="1"/>
  <c r="W385" i="5"/>
  <c r="Z385" i="5" s="1"/>
  <c r="W384" i="5"/>
  <c r="Z384" i="5" s="1"/>
  <c r="W383" i="5"/>
  <c r="Z383" i="5" s="1"/>
  <c r="W382" i="5"/>
  <c r="Z382" i="5" s="1"/>
  <c r="W381" i="5"/>
  <c r="Z381" i="5" s="1"/>
  <c r="W380" i="5"/>
  <c r="Z380" i="5" s="1"/>
  <c r="W379" i="5"/>
  <c r="Z379" i="5" s="1"/>
  <c r="W378" i="5"/>
  <c r="Z378" i="5" s="1"/>
  <c r="W377" i="5"/>
  <c r="Z377" i="5" s="1"/>
  <c r="W376" i="5"/>
  <c r="Z376" i="5" s="1"/>
  <c r="W375" i="5"/>
  <c r="Z375" i="5" s="1"/>
  <c r="W374" i="5"/>
  <c r="Z374" i="5" s="1"/>
  <c r="W373" i="5"/>
  <c r="Z373" i="5" s="1"/>
  <c r="W372" i="5"/>
  <c r="Z372" i="5" s="1"/>
  <c r="W371" i="5"/>
  <c r="Z371" i="5" s="1"/>
  <c r="W370" i="5"/>
  <c r="Z370" i="5" s="1"/>
  <c r="W369" i="5"/>
  <c r="Z369" i="5" s="1"/>
  <c r="W368" i="5"/>
  <c r="Z368" i="5" s="1"/>
  <c r="W367" i="5"/>
  <c r="Z367" i="5" s="1"/>
  <c r="W366" i="5"/>
  <c r="Z366" i="5" s="1"/>
  <c r="W365" i="5"/>
  <c r="Z365" i="5" s="1"/>
  <c r="W364" i="5"/>
  <c r="Z364" i="5" s="1"/>
  <c r="W363" i="5"/>
  <c r="Z363" i="5" s="1"/>
  <c r="W362" i="5"/>
  <c r="Z362" i="5" s="1"/>
  <c r="W361" i="5"/>
  <c r="Z361" i="5" s="1"/>
  <c r="W360" i="5"/>
  <c r="Z360" i="5" s="1"/>
  <c r="W359" i="5"/>
  <c r="Z359" i="5" s="1"/>
  <c r="W358" i="5"/>
  <c r="Z358" i="5" s="1"/>
  <c r="W357" i="5"/>
  <c r="Z357" i="5" s="1"/>
  <c r="W356" i="5"/>
  <c r="Z356" i="5" s="1"/>
  <c r="W355" i="5"/>
  <c r="Z355" i="5" s="1"/>
  <c r="W354" i="5"/>
  <c r="Z354" i="5" s="1"/>
  <c r="W353" i="5"/>
  <c r="Z353" i="5" s="1"/>
  <c r="W352" i="5"/>
  <c r="Z352" i="5" s="1"/>
  <c r="W351" i="5"/>
  <c r="Z351" i="5" s="1"/>
  <c r="W350" i="5"/>
  <c r="Z350" i="5" s="1"/>
  <c r="W349" i="5"/>
  <c r="Z349" i="5" s="1"/>
  <c r="W348" i="5"/>
  <c r="Z348" i="5" s="1"/>
  <c r="W347" i="5"/>
  <c r="Z347" i="5" s="1"/>
  <c r="W346" i="5"/>
  <c r="Z346" i="5" s="1"/>
  <c r="W345" i="5"/>
  <c r="Z345" i="5" s="1"/>
  <c r="W344" i="5"/>
  <c r="Z344" i="5" s="1"/>
  <c r="W343" i="5"/>
  <c r="Z343" i="5" s="1"/>
  <c r="W342" i="5"/>
  <c r="Z342" i="5" s="1"/>
  <c r="W341" i="5"/>
  <c r="Z341" i="5" s="1"/>
  <c r="W340" i="5"/>
  <c r="Z340" i="5" s="1"/>
  <c r="W339" i="5"/>
  <c r="Z339" i="5" s="1"/>
  <c r="W338" i="5"/>
  <c r="Z338" i="5" s="1"/>
  <c r="W337" i="5"/>
  <c r="Z337" i="5" s="1"/>
  <c r="W336" i="5"/>
  <c r="Z336" i="5" s="1"/>
  <c r="W335" i="5"/>
  <c r="Z335" i="5" s="1"/>
  <c r="W334" i="5"/>
  <c r="Z334" i="5" s="1"/>
  <c r="W333" i="5"/>
  <c r="Z333" i="5" s="1"/>
  <c r="W332" i="5"/>
  <c r="Z332" i="5" s="1"/>
  <c r="W331" i="5"/>
  <c r="Z331" i="5" s="1"/>
  <c r="W330" i="5"/>
  <c r="Z330" i="5" s="1"/>
  <c r="W329" i="5"/>
  <c r="Z329" i="5" s="1"/>
  <c r="W328" i="5"/>
  <c r="Z328" i="5" s="1"/>
  <c r="W327" i="5"/>
  <c r="Z327" i="5" s="1"/>
  <c r="W326" i="5"/>
  <c r="Z326" i="5" s="1"/>
  <c r="W325" i="5"/>
  <c r="Z325" i="5" s="1"/>
  <c r="W324" i="5"/>
  <c r="Z324" i="5" s="1"/>
  <c r="W323" i="5"/>
  <c r="Z323" i="5" s="1"/>
  <c r="W322" i="5"/>
  <c r="Z322" i="5" s="1"/>
  <c r="W321" i="5"/>
  <c r="Z321" i="5" s="1"/>
  <c r="W320" i="5"/>
  <c r="Z320" i="5" s="1"/>
  <c r="W319" i="5"/>
  <c r="Z319" i="5" s="1"/>
  <c r="W318" i="5"/>
  <c r="Z318" i="5" s="1"/>
  <c r="W317" i="5"/>
  <c r="Z317" i="5" s="1"/>
  <c r="W316" i="5"/>
  <c r="Z316" i="5" s="1"/>
  <c r="W315" i="5"/>
  <c r="Z315" i="5" s="1"/>
  <c r="W314" i="5"/>
  <c r="Z314" i="5" s="1"/>
  <c r="W313" i="5"/>
  <c r="Z313" i="5" s="1"/>
  <c r="W312" i="5"/>
  <c r="W311" i="5"/>
  <c r="W310" i="5"/>
  <c r="Z310" i="5" s="1"/>
  <c r="W309" i="5"/>
  <c r="W308" i="5"/>
  <c r="W307" i="5"/>
  <c r="W306" i="5"/>
  <c r="Z306" i="5" s="1"/>
  <c r="Z222" i="5"/>
  <c r="Z250" i="5"/>
  <c r="Z258" i="5"/>
  <c r="K303" i="5"/>
  <c r="W303" i="5" s="1"/>
  <c r="Z303" i="5" s="1"/>
  <c r="K302" i="5"/>
  <c r="K301" i="5"/>
  <c r="K300" i="5"/>
  <c r="W300" i="5" s="1"/>
  <c r="Z300" i="5" s="1"/>
  <c r="K299" i="5"/>
  <c r="K298" i="5"/>
  <c r="K296" i="5"/>
  <c r="W296" i="5" s="1"/>
  <c r="Z296" i="5" s="1"/>
  <c r="K295" i="5"/>
  <c r="W295" i="5" s="1"/>
  <c r="Z295" i="5" s="1"/>
  <c r="K294" i="5"/>
  <c r="W294" i="5" s="1"/>
  <c r="Z294" i="5" s="1"/>
  <c r="K293" i="5"/>
  <c r="K297" i="5"/>
  <c r="W297" i="5" s="1"/>
  <c r="Z297" i="5" s="1"/>
  <c r="K292" i="5"/>
  <c r="W292" i="5" s="1"/>
  <c r="Z292" i="5" s="1"/>
  <c r="K291" i="5"/>
  <c r="W291" i="5" s="1"/>
  <c r="Z291" i="5" s="1"/>
  <c r="K290" i="5"/>
  <c r="K289" i="5"/>
  <c r="W289" i="5" s="1"/>
  <c r="Z289" i="5" s="1"/>
  <c r="K288" i="5"/>
  <c r="W288" i="5" s="1"/>
  <c r="Z288" i="5" s="1"/>
  <c r="K285" i="5"/>
  <c r="W285" i="5" s="1"/>
  <c r="Z285" i="5" s="1"/>
  <c r="K286" i="5"/>
  <c r="K287" i="5"/>
  <c r="W287" i="5" s="1"/>
  <c r="Z287" i="5" s="1"/>
  <c r="K284" i="5"/>
  <c r="W284" i="5" s="1"/>
  <c r="Z284" i="5" s="1"/>
  <c r="K283" i="5"/>
  <c r="W283" i="5" s="1"/>
  <c r="Z283" i="5" s="1"/>
  <c r="K282" i="5"/>
  <c r="K281" i="5"/>
  <c r="K280" i="5"/>
  <c r="W280" i="5" s="1"/>
  <c r="Z280" i="5" s="1"/>
  <c r="K279" i="5"/>
  <c r="W279" i="5" s="1"/>
  <c r="Z279" i="5" s="1"/>
  <c r="K278" i="5"/>
  <c r="K277" i="5"/>
  <c r="W277" i="5" s="1"/>
  <c r="Z277" i="5" s="1"/>
  <c r="K276" i="5"/>
  <c r="W276" i="5" s="1"/>
  <c r="Z276" i="5" s="1"/>
  <c r="K275" i="5"/>
  <c r="K274" i="5"/>
  <c r="K273" i="5"/>
  <c r="W273" i="5" s="1"/>
  <c r="Z273" i="5" s="1"/>
  <c r="K272" i="5"/>
  <c r="W272" i="5" s="1"/>
  <c r="Z272" i="5" s="1"/>
  <c r="K271" i="5"/>
  <c r="W271" i="5" s="1"/>
  <c r="Z271" i="5" s="1"/>
  <c r="K270" i="5"/>
  <c r="K269" i="5"/>
  <c r="K268" i="5"/>
  <c r="W268" i="5" s="1"/>
  <c r="Z268" i="5" s="1"/>
  <c r="K267" i="5"/>
  <c r="W267" i="5" s="1"/>
  <c r="Z267" i="5" s="1"/>
  <c r="K266" i="5"/>
  <c r="K265" i="5"/>
  <c r="W265" i="5" s="1"/>
  <c r="Z265" i="5" s="1"/>
  <c r="K264" i="5"/>
  <c r="W264" i="5" s="1"/>
  <c r="Z264" i="5" s="1"/>
  <c r="K263" i="5"/>
  <c r="W263" i="5" s="1"/>
  <c r="Z263" i="5" s="1"/>
  <c r="K262" i="5"/>
  <c r="K261" i="5"/>
  <c r="W261" i="5" s="1"/>
  <c r="Z261" i="5" s="1"/>
  <c r="K260" i="5"/>
  <c r="W260" i="5" s="1"/>
  <c r="Z260" i="5" s="1"/>
  <c r="K259" i="5"/>
  <c r="K258" i="5"/>
  <c r="K257" i="5"/>
  <c r="W257" i="5" s="1"/>
  <c r="Z257" i="5" s="1"/>
  <c r="K256" i="5"/>
  <c r="W256" i="5" s="1"/>
  <c r="Z256" i="5" s="1"/>
  <c r="K255" i="5"/>
  <c r="K254" i="5"/>
  <c r="K253" i="5"/>
  <c r="W253" i="5" s="1"/>
  <c r="Z253" i="5" s="1"/>
  <c r="K252" i="5"/>
  <c r="W252" i="5" s="1"/>
  <c r="Z252" i="5" s="1"/>
  <c r="K251" i="5"/>
  <c r="K234" i="5"/>
  <c r="K235" i="5"/>
  <c r="W235" i="5" s="1"/>
  <c r="Z235" i="5" s="1"/>
  <c r="K236" i="5"/>
  <c r="W236" i="5" s="1"/>
  <c r="Z236" i="5" s="1"/>
  <c r="K237" i="5"/>
  <c r="W237" i="5" s="1"/>
  <c r="Z237" i="5" s="1"/>
  <c r="K238" i="5"/>
  <c r="K239" i="5"/>
  <c r="W239" i="5" s="1"/>
  <c r="Z239" i="5" s="1"/>
  <c r="K240" i="5"/>
  <c r="W240" i="5" s="1"/>
  <c r="Z240" i="5" s="1"/>
  <c r="K241" i="5"/>
  <c r="K242" i="5"/>
  <c r="K243" i="5"/>
  <c r="W243" i="5" s="1"/>
  <c r="Z243" i="5" s="1"/>
  <c r="K244" i="5"/>
  <c r="K245" i="5"/>
  <c r="W245" i="5" s="1"/>
  <c r="Z245" i="5" s="1"/>
  <c r="K246" i="5"/>
  <c r="K247" i="5"/>
  <c r="W247" i="5" s="1"/>
  <c r="Z247" i="5" s="1"/>
  <c r="K248" i="5"/>
  <c r="W248" i="5" s="1"/>
  <c r="Z248" i="5" s="1"/>
  <c r="K249" i="5"/>
  <c r="W249" i="5" s="1"/>
  <c r="Z249" i="5" s="1"/>
  <c r="K250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W218" i="5" s="1"/>
  <c r="Z218" i="5" s="1"/>
  <c r="K217" i="5"/>
  <c r="W217" i="5" s="1"/>
  <c r="Z217" i="5" s="1"/>
  <c r="K216" i="5"/>
  <c r="W216" i="5" s="1"/>
  <c r="Z216" i="5" s="1"/>
  <c r="K215" i="5"/>
  <c r="W215" i="5" s="1"/>
  <c r="Z215" i="5" s="1"/>
  <c r="K214" i="5"/>
  <c r="K213" i="5"/>
  <c r="W213" i="5" s="1"/>
  <c r="Z213" i="5" s="1"/>
  <c r="K212" i="5"/>
  <c r="W212" i="5" s="1"/>
  <c r="Z212" i="5" s="1"/>
  <c r="K211" i="5"/>
  <c r="W211" i="5" s="1"/>
  <c r="Z211" i="5" s="1"/>
  <c r="W302" i="5"/>
  <c r="Z302" i="5" s="1"/>
  <c r="W301" i="5"/>
  <c r="Z301" i="5" s="1"/>
  <c r="W299" i="5"/>
  <c r="Z299" i="5" s="1"/>
  <c r="W298" i="5"/>
  <c r="Z298" i="5" s="1"/>
  <c r="W293" i="5"/>
  <c r="Z293" i="5" s="1"/>
  <c r="W290" i="5"/>
  <c r="Z290" i="5" s="1"/>
  <c r="W286" i="5"/>
  <c r="Z286" i="5" s="1"/>
  <c r="W282" i="5"/>
  <c r="Z282" i="5" s="1"/>
  <c r="W281" i="5"/>
  <c r="Z281" i="5" s="1"/>
  <c r="W278" i="5"/>
  <c r="Z278" i="5" s="1"/>
  <c r="W275" i="5"/>
  <c r="Z275" i="5" s="1"/>
  <c r="W274" i="5"/>
  <c r="Z274" i="5" s="1"/>
  <c r="W270" i="5"/>
  <c r="Z270" i="5" s="1"/>
  <c r="W269" i="5"/>
  <c r="Z269" i="5" s="1"/>
  <c r="W266" i="5"/>
  <c r="Z266" i="5" s="1"/>
  <c r="W262" i="5"/>
  <c r="Z262" i="5" s="1"/>
  <c r="W259" i="5"/>
  <c r="Z259" i="5" s="1"/>
  <c r="W258" i="5"/>
  <c r="W255" i="5"/>
  <c r="Z255" i="5" s="1"/>
  <c r="W254" i="5"/>
  <c r="Z254" i="5" s="1"/>
  <c r="W251" i="5"/>
  <c r="Z251" i="5" s="1"/>
  <c r="W250" i="5"/>
  <c r="W246" i="5"/>
  <c r="Z246" i="5" s="1"/>
  <c r="W244" i="5"/>
  <c r="Z244" i="5" s="1"/>
  <c r="W242" i="5"/>
  <c r="Z242" i="5" s="1"/>
  <c r="W241" i="5"/>
  <c r="Z241" i="5" s="1"/>
  <c r="W238" i="5"/>
  <c r="Z238" i="5" s="1"/>
  <c r="W234" i="5"/>
  <c r="Z234" i="5" s="1"/>
  <c r="W233" i="5"/>
  <c r="Z233" i="5" s="1"/>
  <c r="W232" i="5"/>
  <c r="Z232" i="5" s="1"/>
  <c r="W231" i="5"/>
  <c r="Z231" i="5" s="1"/>
  <c r="W230" i="5"/>
  <c r="Z230" i="5" s="1"/>
  <c r="W229" i="5"/>
  <c r="Z229" i="5" s="1"/>
  <c r="W228" i="5"/>
  <c r="Z228" i="5" s="1"/>
  <c r="W227" i="5"/>
  <c r="Z227" i="5" s="1"/>
  <c r="W226" i="5"/>
  <c r="Z226" i="5" s="1"/>
  <c r="W225" i="5"/>
  <c r="Z225" i="5" s="1"/>
  <c r="W224" i="5"/>
  <c r="Z224" i="5" s="1"/>
  <c r="W223" i="5"/>
  <c r="Z223" i="5" s="1"/>
  <c r="W222" i="5"/>
  <c r="W221" i="5"/>
  <c r="Z221" i="5" s="1"/>
  <c r="W220" i="5"/>
  <c r="Z220" i="5" s="1"/>
  <c r="W219" i="5"/>
  <c r="Z219" i="5" s="1"/>
  <c r="W214" i="5"/>
  <c r="Z214" i="5" s="1"/>
  <c r="K209" i="5"/>
  <c r="W209" i="5" s="1"/>
  <c r="Z209" i="5" s="1"/>
  <c r="K208" i="5"/>
  <c r="W208" i="5" s="1"/>
  <c r="Z208" i="5" s="1"/>
  <c r="K207" i="5"/>
  <c r="W207" i="5" s="1"/>
  <c r="Z207" i="5" s="1"/>
  <c r="K206" i="5"/>
  <c r="K205" i="5"/>
  <c r="W205" i="5" s="1"/>
  <c r="Z205" i="5" s="1"/>
  <c r="K204" i="5"/>
  <c r="W204" i="5" s="1"/>
  <c r="Z204" i="5" s="1"/>
  <c r="W206" i="5"/>
  <c r="Z206" i="5" s="1"/>
  <c r="K202" i="5"/>
  <c r="W202" i="5" s="1"/>
  <c r="Z202" i="5" s="1"/>
  <c r="K201" i="5"/>
  <c r="W201" i="5" s="1"/>
  <c r="Z201" i="5" s="1"/>
  <c r="K200" i="5"/>
  <c r="W200" i="5" s="1"/>
  <c r="Z200" i="5" s="1"/>
  <c r="K199" i="5"/>
  <c r="W199" i="5" s="1"/>
  <c r="Z199" i="5" s="1"/>
  <c r="K198" i="5"/>
  <c r="K197" i="5"/>
  <c r="W197" i="5" s="1"/>
  <c r="Z197" i="5" s="1"/>
  <c r="K196" i="5"/>
  <c r="W196" i="5" s="1"/>
  <c r="Z196" i="5" s="1"/>
  <c r="K195" i="5"/>
  <c r="W195" i="5" s="1"/>
  <c r="Z195" i="5" s="1"/>
  <c r="K194" i="5"/>
  <c r="K193" i="5"/>
  <c r="W193" i="5" s="1"/>
  <c r="Z193" i="5" s="1"/>
  <c r="K191" i="5"/>
  <c r="K192" i="5"/>
  <c r="W192" i="5" s="1"/>
  <c r="Z192" i="5" s="1"/>
  <c r="K190" i="5"/>
  <c r="W190" i="5" s="1"/>
  <c r="Z190" i="5" s="1"/>
  <c r="K189" i="5"/>
  <c r="W189" i="5" s="1"/>
  <c r="Z189" i="5" s="1"/>
  <c r="K188" i="5"/>
  <c r="W188" i="5" s="1"/>
  <c r="Z188" i="5" s="1"/>
  <c r="K187" i="5"/>
  <c r="W187" i="5" s="1"/>
  <c r="Z187" i="5" s="1"/>
  <c r="K186" i="5"/>
  <c r="W186" i="5" s="1"/>
  <c r="Z186" i="5" s="1"/>
  <c r="K185" i="5"/>
  <c r="W185" i="5" s="1"/>
  <c r="Z185" i="5" s="1"/>
  <c r="K184" i="5"/>
  <c r="W184" i="5" s="1"/>
  <c r="Z184" i="5" s="1"/>
  <c r="K183" i="5"/>
  <c r="W183" i="5" s="1"/>
  <c r="Z183" i="5" s="1"/>
  <c r="K182" i="5"/>
  <c r="W182" i="5" s="1"/>
  <c r="Z182" i="5" s="1"/>
  <c r="K181" i="5"/>
  <c r="W181" i="5" s="1"/>
  <c r="Z181" i="5" s="1"/>
  <c r="K180" i="5"/>
  <c r="W180" i="5" s="1"/>
  <c r="Z180" i="5" s="1"/>
  <c r="K179" i="5"/>
  <c r="W179" i="5" s="1"/>
  <c r="Z179" i="5" s="1"/>
  <c r="K178" i="5"/>
  <c r="W178" i="5" s="1"/>
  <c r="Z178" i="5" s="1"/>
  <c r="K177" i="5"/>
  <c r="W177" i="5" s="1"/>
  <c r="Z177" i="5" s="1"/>
  <c r="K173" i="5"/>
  <c r="W173" i="5" s="1"/>
  <c r="Z173" i="5" s="1"/>
  <c r="K172" i="5"/>
  <c r="W172" i="5" s="1"/>
  <c r="Z172" i="5" s="1"/>
  <c r="K171" i="5"/>
  <c r="W171" i="5" s="1"/>
  <c r="Z171" i="5" s="1"/>
  <c r="K170" i="5"/>
  <c r="W170" i="5" s="1"/>
  <c r="Z170" i="5" s="1"/>
  <c r="K169" i="5"/>
  <c r="W169" i="5" s="1"/>
  <c r="Z169" i="5" s="1"/>
  <c r="K168" i="5"/>
  <c r="W168" i="5" s="1"/>
  <c r="Z168" i="5" s="1"/>
  <c r="K167" i="5"/>
  <c r="W167" i="5" s="1"/>
  <c r="Z167" i="5" s="1"/>
  <c r="K166" i="5"/>
  <c r="W166" i="5" s="1"/>
  <c r="Z166" i="5" s="1"/>
  <c r="K165" i="5"/>
  <c r="W165" i="5" s="1"/>
  <c r="Z165" i="5" s="1"/>
  <c r="K164" i="5"/>
  <c r="K163" i="5"/>
  <c r="W163" i="5" s="1"/>
  <c r="Z163" i="5" s="1"/>
  <c r="K162" i="5"/>
  <c r="W162" i="5" s="1"/>
  <c r="Z162" i="5" s="1"/>
  <c r="K161" i="5"/>
  <c r="W161" i="5" s="1"/>
  <c r="Z161" i="5" s="1"/>
  <c r="K160" i="5"/>
  <c r="W160" i="5" s="1"/>
  <c r="Z160" i="5" s="1"/>
  <c r="K159" i="5"/>
  <c r="W159" i="5" s="1"/>
  <c r="Z159" i="5" s="1"/>
  <c r="K158" i="5"/>
  <c r="W158" i="5" s="1"/>
  <c r="Z158" i="5" s="1"/>
  <c r="K156" i="5"/>
  <c r="W156" i="5" s="1"/>
  <c r="Z156" i="5" s="1"/>
  <c r="K155" i="5"/>
  <c r="W155" i="5" s="1"/>
  <c r="Z155" i="5" s="1"/>
  <c r="K154" i="5"/>
  <c r="W154" i="5" s="1"/>
  <c r="Z154" i="5" s="1"/>
  <c r="K153" i="5"/>
  <c r="W153" i="5" s="1"/>
  <c r="Z153" i="5" s="1"/>
  <c r="K152" i="5"/>
  <c r="W152" i="5" s="1"/>
  <c r="Z152" i="5" s="1"/>
  <c r="K151" i="5"/>
  <c r="W151" i="5" s="1"/>
  <c r="Z151" i="5" s="1"/>
  <c r="K150" i="5"/>
  <c r="W150" i="5" s="1"/>
  <c r="Z150" i="5" s="1"/>
  <c r="K149" i="5"/>
  <c r="W149" i="5" s="1"/>
  <c r="Z149" i="5" s="1"/>
  <c r="K148" i="5"/>
  <c r="W148" i="5" s="1"/>
  <c r="Z148" i="5" s="1"/>
  <c r="K147" i="5"/>
  <c r="W147" i="5" s="1"/>
  <c r="Z147" i="5" s="1"/>
  <c r="K146" i="5"/>
  <c r="W146" i="5" s="1"/>
  <c r="Z146" i="5" s="1"/>
  <c r="K145" i="5"/>
  <c r="W145" i="5" s="1"/>
  <c r="Z145" i="5" s="1"/>
  <c r="K144" i="5"/>
  <c r="W144" i="5" s="1"/>
  <c r="Z144" i="5" s="1"/>
  <c r="K143" i="5"/>
  <c r="K142" i="5"/>
  <c r="W142" i="5" s="1"/>
  <c r="Z142" i="5" s="1"/>
  <c r="K141" i="5"/>
  <c r="K140" i="5"/>
  <c r="K139" i="5"/>
  <c r="W139" i="5" s="1"/>
  <c r="Z139" i="5" s="1"/>
  <c r="K138" i="5"/>
  <c r="W138" i="5" s="1"/>
  <c r="Z138" i="5" s="1"/>
  <c r="K137" i="5"/>
  <c r="W137" i="5" s="1"/>
  <c r="Z137" i="5" s="1"/>
  <c r="K136" i="5"/>
  <c r="W136" i="5" s="1"/>
  <c r="Z136" i="5" s="1"/>
  <c r="K135" i="5"/>
  <c r="W135" i="5" s="1"/>
  <c r="Z135" i="5" s="1"/>
  <c r="K134" i="5"/>
  <c r="W134" i="5" s="1"/>
  <c r="Z134" i="5" s="1"/>
  <c r="K133" i="5"/>
  <c r="W133" i="5" s="1"/>
  <c r="Z133" i="5" s="1"/>
  <c r="K132" i="5"/>
  <c r="W132" i="5" s="1"/>
  <c r="Z132" i="5" s="1"/>
  <c r="K130" i="5"/>
  <c r="W130" i="5" s="1"/>
  <c r="Z130" i="5" s="1"/>
  <c r="K129" i="5"/>
  <c r="W129" i="5" s="1"/>
  <c r="Z129" i="5" s="1"/>
  <c r="K128" i="5"/>
  <c r="W128" i="5" s="1"/>
  <c r="Z128" i="5" s="1"/>
  <c r="K127" i="5"/>
  <c r="W127" i="5" s="1"/>
  <c r="Z127" i="5" s="1"/>
  <c r="K126" i="5"/>
  <c r="W126" i="5" s="1"/>
  <c r="Z126" i="5" s="1"/>
  <c r="K125" i="5"/>
  <c r="W125" i="5" s="1"/>
  <c r="Z125" i="5" s="1"/>
  <c r="K124" i="5"/>
  <c r="W124" i="5" s="1"/>
  <c r="Z124" i="5" s="1"/>
  <c r="K123" i="5"/>
  <c r="W123" i="5" s="1"/>
  <c r="Z123" i="5" s="1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W115" i="5" s="1"/>
  <c r="Z115" i="5" s="1"/>
  <c r="K114" i="5"/>
  <c r="W114" i="5" s="1"/>
  <c r="Z114" i="5" s="1"/>
  <c r="K113" i="5"/>
  <c r="W113" i="5" s="1"/>
  <c r="Z113" i="5" s="1"/>
  <c r="K112" i="5"/>
  <c r="W112" i="5" s="1"/>
  <c r="Z112" i="5" s="1"/>
  <c r="K111" i="5"/>
  <c r="W111" i="5" s="1"/>
  <c r="Z111" i="5" s="1"/>
  <c r="K110" i="5"/>
  <c r="W110" i="5" s="1"/>
  <c r="Z110" i="5" s="1"/>
  <c r="W164" i="5"/>
  <c r="Z164" i="5" s="1"/>
  <c r="W174" i="5"/>
  <c r="Z174" i="5" s="1"/>
  <c r="W176" i="5"/>
  <c r="Z176" i="5" s="1"/>
  <c r="W198" i="5"/>
  <c r="Z198" i="5" s="1"/>
  <c r="W131" i="5"/>
  <c r="Z131" i="5" s="1"/>
  <c r="W143" i="5"/>
  <c r="Z143" i="5" s="1"/>
  <c r="W175" i="5"/>
  <c r="Z175" i="5" s="1"/>
  <c r="W191" i="5"/>
  <c r="Z191" i="5" s="1"/>
  <c r="W157" i="5"/>
  <c r="Z157" i="5" s="1"/>
  <c r="W141" i="5"/>
  <c r="Z141" i="5" s="1"/>
  <c r="W140" i="5"/>
  <c r="Z140" i="5" s="1"/>
  <c r="W194" i="5"/>
  <c r="Z194" i="5" s="1"/>
  <c r="Z399" i="5" l="1"/>
  <c r="Z307" i="5"/>
  <c r="Z311" i="5"/>
  <c r="Z403" i="5"/>
  <c r="Z309" i="5"/>
  <c r="Z401" i="5"/>
  <c r="AC210" i="5"/>
  <c r="Z308" i="5"/>
  <c r="Z312" i="5"/>
  <c r="Z400" i="5"/>
  <c r="Z404" i="5"/>
  <c r="Z406" i="5"/>
  <c r="Z402" i="5"/>
  <c r="Z405" i="5"/>
  <c r="Z103" i="6"/>
  <c r="AC45" i="6"/>
  <c r="AC15" i="6"/>
  <c r="AC72" i="6"/>
  <c r="AC75" i="6"/>
  <c r="AC203" i="5"/>
  <c r="AC304" i="5" l="1"/>
  <c r="AC398" i="5"/>
  <c r="AC102" i="6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W42" i="5"/>
  <c r="Z42" i="5" s="1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W37" i="5"/>
  <c r="Z37" i="5" s="1"/>
  <c r="W38" i="5"/>
  <c r="W39" i="5"/>
  <c r="Z39" i="5" s="1"/>
  <c r="W40" i="5"/>
  <c r="S20" i="5"/>
  <c r="W20" i="5"/>
  <c r="W19" i="5"/>
  <c r="S19" i="5"/>
  <c r="W18" i="5"/>
  <c r="S18" i="5"/>
  <c r="W17" i="5"/>
  <c r="S17" i="5"/>
  <c r="W16" i="5"/>
  <c r="S16" i="5"/>
  <c r="Z93" i="5" l="1"/>
  <c r="Z62" i="5"/>
  <c r="Z50" i="5"/>
  <c r="Z73" i="5"/>
  <c r="Z41" i="5"/>
  <c r="Z36" i="5"/>
  <c r="Z54" i="5"/>
  <c r="Z46" i="5"/>
  <c r="Z20" i="5"/>
  <c r="Z83" i="5"/>
  <c r="Z16" i="5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E29" i="2"/>
  <c r="E42" i="2" l="1"/>
  <c r="E41" i="2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E18" i="2" s="1"/>
  <c r="E87" i="2" l="1"/>
  <c r="B222" i="2" l="1"/>
  <c r="B224" i="2"/>
  <c r="B221" i="2"/>
  <c r="B223" i="2" l="1"/>
  <c r="B219" i="2" s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A42" i="6" s="1"/>
  <c r="B34" i="2"/>
  <c r="D42" i="6" s="1"/>
  <c r="C34" i="2"/>
  <c r="AF42" i="6" s="1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B32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D15" i="6" l="1"/>
  <c r="D15" i="5"/>
  <c r="A102" i="6"/>
  <c r="A304" i="5"/>
  <c r="D109" i="5"/>
  <c r="D45" i="6"/>
  <c r="A13" i="6"/>
  <c r="A13" i="5"/>
  <c r="AF15" i="6"/>
  <c r="AF15" i="5"/>
  <c r="A398" i="5"/>
  <c r="A129" i="6"/>
  <c r="AF75" i="6"/>
  <c r="AF210" i="5"/>
  <c r="D72" i="6"/>
  <c r="D203" i="5"/>
  <c r="A45" i="6"/>
  <c r="A109" i="5"/>
  <c r="A15" i="6"/>
  <c r="A15" i="5"/>
  <c r="AF129" i="6"/>
  <c r="AF398" i="5"/>
  <c r="D304" i="5"/>
  <c r="D102" i="6"/>
  <c r="A75" i="6"/>
  <c r="A210" i="5"/>
  <c r="D398" i="5"/>
  <c r="D129" i="6"/>
  <c r="AF304" i="5"/>
  <c r="AF102" i="6"/>
  <c r="D75" i="6"/>
  <c r="D210" i="5"/>
  <c r="A72" i="6"/>
  <c r="A203" i="5"/>
  <c r="K119" i="1" l="1"/>
  <c r="K77" i="1"/>
  <c r="K252" i="1"/>
  <c r="K127" i="1"/>
  <c r="K97" i="1"/>
  <c r="K177" i="1"/>
  <c r="K114" i="1"/>
  <c r="K240" i="1"/>
  <c r="K14" i="1" l="1"/>
  <c r="K269" i="1" s="1"/>
  <c r="L274" i="1" l="1"/>
  <c r="L273" i="1"/>
  <c r="K268" i="15" l="1"/>
  <c r="I268" i="15"/>
  <c r="K273" i="15" l="1"/>
</calcChain>
</file>

<file path=xl/sharedStrings.xml><?xml version="1.0" encoding="utf-8"?>
<sst xmlns="http://schemas.openxmlformats.org/spreadsheetml/2006/main" count="5735" uniqueCount="1100">
  <si>
    <t>ITEM</t>
  </si>
  <si>
    <t>CÓDIGO</t>
  </si>
  <si>
    <t>DESCRIÇÃO</t>
  </si>
  <si>
    <t>FONTE</t>
  </si>
  <si>
    <t>UND</t>
  </si>
  <si>
    <t>PREÇO
UNITÁRIO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</si>
  <si>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</si>
  <si>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</si>
  <si>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</si>
  <si>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</si>
  <si>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</si>
  <si>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</si>
  <si>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</si>
  <si>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</si>
  <si>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</si>
  <si>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</si>
  <si>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</si>
  <si>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</si>
  <si>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</si>
  <si>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</si>
  <si>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</si>
  <si>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</si>
  <si>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</si>
  <si>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</si>
  <si>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</si>
  <si>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</si>
  <si>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</si>
  <si>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</si>
  <si>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</si>
  <si>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</si>
  <si>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</si>
  <si>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</si>
  <si>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</si>
  <si>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</si>
  <si>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</si>
  <si>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</si>
  <si>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</si>
  <si>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</si>
  <si>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</si>
  <si>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</si>
  <si>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</si>
  <si>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</si>
  <si>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</si>
  <si>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</si>
  <si>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</si>
  <si>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</si>
  <si>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</si>
  <si>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</si>
  <si>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</si>
  <si>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</si>
  <si>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</si>
  <si>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</si>
  <si>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</si>
  <si>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</si>
  <si>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</si>
  <si>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</si>
  <si>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</si>
  <si>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</si>
  <si>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</si>
  <si>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</si>
  <si>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</si>
  <si>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</si>
  <si>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</si>
  <si>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</si>
  <si>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</si>
  <si>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</si>
  <si>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</si>
  <si>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</si>
  <si>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</si>
  <si>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</si>
  <si>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</si>
  <si>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</si>
  <si>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</si>
  <si>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</si>
  <si>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</si>
  <si>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</si>
  <si>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</si>
  <si>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</si>
  <si>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</si>
  <si>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</si>
  <si>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</si>
  <si>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</si>
  <si>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</si>
  <si>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</si>
  <si>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</si>
  <si>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</si>
  <si>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</si>
  <si>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</si>
  <si>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</si>
  <si>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</si>
  <si>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</si>
  <si>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</si>
  <si>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</si>
  <si>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</si>
  <si>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</si>
  <si>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</si>
  <si>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</si>
  <si>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</si>
  <si>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</si>
  <si>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</si>
  <si>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</si>
  <si>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</si>
  <si>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</si>
  <si>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</si>
  <si>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</si>
  <si>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</si>
  <si>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</si>
  <si>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</si>
  <si>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</si>
  <si>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</si>
  <si>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</si>
  <si>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</si>
  <si>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</si>
  <si>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</si>
  <si>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</si>
  <si>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</si>
  <si>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</si>
  <si>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</si>
  <si>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</si>
  <si>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</si>
  <si>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</si>
  <si>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</si>
  <si>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</si>
  <si>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</si>
  <si>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</si>
  <si>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</si>
  <si>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</si>
  <si>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</si>
  <si>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</si>
  <si>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</si>
  <si>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</si>
  <si>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</si>
  <si>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</si>
  <si>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</si>
  <si>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</si>
  <si>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</si>
  <si>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</si>
  <si>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</si>
  <si>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</si>
  <si>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</si>
  <si>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</si>
  <si>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</si>
  <si>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</si>
  <si>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</si>
  <si>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</si>
  <si>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</si>
  <si>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</si>
  <si>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</si>
  <si>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</si>
  <si>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</si>
  <si>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</si>
  <si>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</si>
  <si>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</si>
  <si>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</si>
  <si>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</si>
  <si>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</si>
  <si>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</si>
  <si>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</si>
  <si>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</si>
  <si>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</si>
  <si>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</si>
  <si>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</si>
  <si>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</si>
  <si>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</si>
  <si>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</si>
  <si>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</si>
  <si>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</si>
  <si>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</si>
  <si>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</si>
  <si>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</si>
  <si>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</si>
  <si>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</si>
  <si>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</si>
  <si>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</si>
  <si>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</si>
  <si>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</si>
  <si>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</si>
  <si>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</si>
  <si>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</si>
  <si>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</si>
  <si>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</si>
  <si>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</si>
  <si>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</si>
  <si>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</si>
  <si>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</si>
  <si>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</si>
  <si>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</si>
  <si>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</si>
  <si>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</si>
  <si>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</si>
  <si>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</si>
  <si>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</si>
  <si>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</si>
  <si>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</si>
  <si>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</si>
  <si>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</si>
  <si>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</si>
  <si>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</si>
  <si>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</si>
  <si>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</si>
  <si>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</si>
  <si>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</si>
  <si>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</si>
  <si>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</si>
  <si>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</si>
  <si>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</si>
  <si>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</si>
  <si>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</si>
  <si>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</si>
  <si>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</si>
  <si>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</si>
  <si>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</si>
  <si>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</si>
  <si>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</si>
  <si>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</si>
  <si>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</si>
  <si>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</si>
  <si>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</si>
  <si>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</si>
  <si>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</si>
  <si>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</si>
  <si>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</si>
  <si>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</si>
  <si>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</si>
  <si>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</si>
  <si>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</si>
  <si>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</si>
  <si>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</si>
  <si>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</si>
  <si>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</si>
  <si>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</si>
  <si>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</si>
  <si>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</si>
  <si>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</si>
  <si>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</si>
  <si>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</si>
  <si>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</si>
  <si>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</si>
  <si>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</si>
  <si>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</si>
  <si>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</si>
  <si>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</si>
  <si>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</si>
  <si>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</si>
  <si>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</si>
  <si>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</si>
  <si>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</si>
  <si>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</si>
  <si>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</si>
  <si>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</si>
  <si>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</si>
  <si>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</si>
  <si>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</si>
  <si>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</si>
  <si>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</si>
  <si>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</si>
  <si>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</si>
  <si>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</si>
  <si>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</si>
  <si>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</si>
  <si>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</si>
  <si>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</si>
  <si>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</si>
  <si>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</si>
  <si>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</si>
  <si>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</si>
  <si>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</si>
  <si>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</si>
  <si>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</si>
  <si>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</si>
  <si>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</si>
  <si>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</si>
  <si>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</si>
  <si>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</si>
  <si>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</si>
  <si>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</si>
  <si>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</si>
  <si>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</si>
  <si>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</si>
  <si>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</si>
  <si>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</si>
  <si>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</si>
  <si>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</si>
  <si>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</si>
  <si>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</si>
  <si>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</si>
  <si>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</si>
  <si>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</si>
  <si>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</si>
  <si>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</si>
  <si>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</si>
  <si>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</si>
  <si>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</si>
  <si>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</si>
  <si>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</si>
  <si>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</si>
  <si>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</si>
  <si>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</si>
  <si>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</si>
  <si>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</si>
  <si>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</si>
  <si>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</si>
  <si>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</si>
  <si>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</si>
  <si>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</si>
  <si>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</si>
  <si>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</si>
  <si>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</si>
  <si>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</si>
  <si>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</si>
  <si>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</si>
  <si>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</si>
  <si>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</si>
  <si>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</si>
  <si>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</si>
  <si>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</si>
  <si>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</si>
  <si>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</si>
  <si>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</si>
  <si>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</si>
  <si>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</si>
  <si>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</si>
  <si>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</si>
  <si>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</si>
  <si>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</si>
  <si>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</si>
  <si>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</si>
  <si>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</si>
  <si>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</si>
  <si>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</si>
  <si>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</si>
  <si>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</si>
  <si>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</si>
  <si>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</si>
  <si>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</si>
  <si>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</si>
  <si>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</si>
  <si>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</si>
  <si>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</si>
  <si>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</si>
  <si>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</si>
  <si>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</si>
  <si>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</si>
  <si>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</si>
  <si>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</si>
  <si>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</si>
  <si>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</si>
  <si>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</si>
  <si>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</si>
  <si>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</si>
  <si>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</si>
  <si>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</si>
  <si>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</si>
  <si>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</si>
  <si>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</si>
  <si>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</si>
  <si>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</si>
  <si>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</si>
  <si>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</si>
  <si>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</si>
  <si>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</si>
  <si>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</si>
  <si>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</si>
  <si>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</si>
  <si>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</si>
  <si>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</si>
  <si>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</si>
  <si>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</si>
  <si>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</si>
  <si>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</si>
  <si>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</si>
  <si>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</si>
  <si>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</si>
  <si>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</si>
  <si>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</si>
  <si>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</si>
  <si>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</si>
  <si>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</si>
  <si>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</si>
  <si>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</si>
  <si>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</si>
  <si>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</si>
  <si>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</si>
  <si>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</si>
  <si>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</si>
  <si>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</si>
  <si>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</si>
  <si>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</si>
  <si>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</si>
  <si>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</si>
  <si>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</si>
  <si>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</si>
  <si>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</si>
  <si>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</si>
  <si>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</si>
  <si>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</si>
  <si>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</si>
  <si>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</si>
  <si>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</si>
  <si>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</si>
  <si>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</si>
  <si>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</si>
  <si>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</si>
  <si>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</si>
  <si>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</si>
  <si>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</si>
  <si>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</si>
  <si>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</si>
  <si>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</si>
  <si>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</si>
  <si>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</si>
  <si>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</si>
  <si>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</si>
  <si>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</si>
  <si>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</si>
  <si>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</si>
  <si>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</si>
  <si>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</si>
  <si>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</si>
  <si>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</si>
  <si>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</si>
  <si>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</si>
  <si>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</si>
  <si>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</si>
  <si>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</si>
  <si>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</si>
  <si>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</si>
  <si>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</si>
  <si>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</si>
  <si>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</si>
  <si>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</si>
  <si>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</si>
  <si>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</si>
  <si>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</si>
  <si>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</si>
  <si>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</si>
  <si>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</si>
  <si>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</si>
  <si>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</si>
  <si>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</si>
  <si>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</si>
  <si>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</si>
  <si>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</si>
  <si>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</si>
  <si>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</si>
  <si>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</si>
  <si>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</si>
  <si>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</si>
  <si>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</si>
  <si>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</si>
  <si>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</si>
  <si>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</si>
  <si>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</si>
  <si>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</si>
  <si>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</si>
  <si>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</si>
  <si>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</si>
  <si>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</si>
  <si>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</si>
  <si>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</si>
  <si>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</si>
  <si>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</si>
  <si>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</si>
  <si>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</si>
  <si>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</si>
  <si>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</si>
  <si>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</si>
  <si>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</si>
  <si>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</si>
  <si>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</si>
  <si>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</si>
  <si>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</si>
  <si>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</si>
  <si>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</si>
  <si>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</si>
  <si>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</si>
  <si>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</si>
  <si>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</si>
  <si>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</si>
  <si>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</si>
  <si>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</si>
  <si>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</si>
  <si>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</si>
  <si>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</si>
  <si>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</si>
  <si>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</si>
  <si>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</si>
  <si>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</si>
  <si>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</si>
  <si>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</si>
  <si>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</si>
  <si>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</si>
  <si>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</si>
  <si>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</si>
  <si>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</si>
  <si>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</si>
  <si>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</si>
  <si>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</si>
  <si>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</si>
  <si>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</si>
  <si>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</si>
  <si>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</si>
  <si>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</si>
  <si>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</si>
  <si>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</si>
  <si>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</si>
  <si>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</si>
  <si>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</si>
  <si>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</si>
  <si>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</si>
  <si>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</si>
  <si>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</si>
  <si>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</si>
  <si>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</si>
  <si>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</si>
  <si>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</si>
  <si>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</si>
  <si>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</si>
  <si>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</si>
  <si>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</si>
  <si>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</si>
  <si>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</si>
  <si>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</si>
  <si>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</si>
  <si>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</si>
  <si>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</si>
  <si>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</si>
  <si>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</si>
  <si>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</si>
  <si>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</si>
  <si>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</si>
  <si>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</si>
  <si>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</si>
  <si>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</si>
  <si>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</si>
  <si>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</si>
  <si>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</si>
  <si>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</si>
  <si>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</si>
  <si>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</si>
  <si>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</si>
  <si>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</si>
  <si>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</si>
  <si>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</si>
  <si>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</si>
  <si>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</si>
  <si>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</si>
  <si>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</si>
  <si>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</si>
  <si>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</si>
  <si>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</si>
  <si>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</si>
  <si>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</si>
  <si>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</si>
  <si>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</si>
  <si>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</si>
  <si>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</si>
  <si>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</si>
  <si>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</si>
  <si>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</si>
  <si>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</si>
  <si>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</si>
  <si>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</si>
  <si>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</si>
  <si>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</si>
  <si>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</si>
  <si>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</si>
  <si>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</si>
  <si>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</si>
  <si>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</si>
  <si>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</si>
  <si>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</si>
  <si>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</si>
  <si>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</si>
  <si>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</si>
  <si>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</si>
  <si>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</si>
  <si>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</si>
  <si>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</si>
  <si>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</si>
  <si>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</si>
  <si>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</si>
  <si>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</si>
  <si>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</si>
  <si>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</si>
  <si>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</si>
  <si>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</si>
  <si>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</si>
  <si>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</si>
  <si>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</si>
  <si>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</si>
  <si>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</si>
  <si>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</si>
  <si>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</si>
  <si>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</si>
  <si>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</si>
  <si>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</si>
  <si>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</si>
  <si>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</si>
  <si>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</si>
  <si>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</si>
  <si>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HAYA CONSTRUTORA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</si>
  <si>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</si>
  <si>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</si>
  <si>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</si>
  <si>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</si>
  <si>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</si>
  <si>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</si>
  <si>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</si>
  <si>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</si>
  <si>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</si>
  <si>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</si>
  <si>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</si>
  <si>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VIGA X = COMPRIMENTO DA VIGA X PERIMETRO IMPERMEABILIZADO = AREA DE IMPERMEABILIZAÇÃO DA VIGA
VIGA 01 = (11,89+11,850) * (0,15+0,3+0,3) = 17,805 m²
VIGA 02 = 3,39 * 0,75 = 2,55 m² 
VIGA 03 = 3,39 * 0,75 = 2,55 m² 
VIGA 04 = 3,26 * 0,75 = 2,445 m²
VIGA 07 = 6,40 * 0,75 = 4,8 m² 
VIGA 21 = 2,04 * 0,75 = 1,53 m²
VIGA 06 = (11,89+12+12+3,74) * 0,75 = 29,7225 m² 
VIGA 08 = 6,40 * 0,75 = 4,8 m²
VIGA 22 = 1,70 * 0,75 = 1,275 m²
VIGA 09 = (11,89+12+12+4,07) * 0,75 = 29,97 m²
VIGA 11 = 4,24 * 0,75 = 3,18 m²
VIGA 12 = 5,64 * 0,75 = 4,23 m²
VIGA 10 = (11,89+12+12+3,74) * 0,75 = 29,7225 m²
VIGA 20 = 8,26 * 0,75 = 6,195 m² 
VIGA 25 = 1,70 * 0,75 = 1,275 m²
VIGA 13 =  (11,89+12+12+4,07) * 0,75 = 29,97 m²
VIGA 23 = 10,62 * 0,75 = 7,965 m²
VIGA 14 = (12+7,43) * 0,75 = 14,5725 m²
VIGA 15 = (12+12+8,05) * 0,75 = 24,0375 m²
VIGA 16 = (12+7,23) * 0,75 = 14,4225 m²
VIGA 17 = (12+12+8,49) * 0,75 = 24,3675 m²
VIGA 18 = (12+12+8,49) * 0,75 = 24,3675 m² 
VIGA 24 = 9,74 * 0,75 = 7,305 m²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</si>
  <si>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</si>
  <si>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</si>
  <si>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</si>
  <si>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</si>
  <si>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</si>
  <si>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</si>
  <si>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</si>
  <si>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</si>
  <si>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</si>
  <si>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</si>
  <si>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</si>
  <si>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</si>
  <si>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</si>
  <si>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</si>
  <si>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</si>
  <si>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</si>
  <si>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</si>
  <si>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</si>
  <si>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</si>
  <si>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</si>
  <si>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</si>
  <si>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</si>
  <si>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</si>
  <si>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</si>
  <si>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</si>
  <si>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</si>
  <si>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</si>
  <si>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</si>
  <si>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</si>
  <si>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</si>
  <si>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</si>
  <si>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</si>
  <si>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</si>
  <si>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</si>
  <si>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</si>
  <si>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</si>
  <si>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</si>
  <si>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</si>
  <si>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</si>
  <si>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</si>
  <si>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MEMÓRIA DE CÁLCULO - BM 03</t>
  </si>
  <si>
    <t>MEMÓRIA DE CÁLCULO ATERRO - BM 03</t>
  </si>
  <si>
    <t>MEMORIA DE CALCULO - BM 03</t>
  </si>
  <si>
    <t>MEMÓRIA DE CÁLCULO SEPARADA DO ATERRO - PAGO NO BM 02 (477,87 m³)</t>
  </si>
  <si>
    <t>Pergolado = 1 * 2 * 2 = 4 m²
Corredor entre salas = 1 * 2 * 2 = 4 m²
Área de Serviço = 2 * 2 * 2 = 8 m²
Total = 4 + 4 + 8 = 16 m²</t>
  </si>
  <si>
    <t>ÁREA DE SERVIÇO = 2 * 2,5 m = 5,0 m 
WC = 2 * 2,5 m = 5,0 m
DESPENSA = 1 * 2,5 m = 2,5 m
DML = 1 * 2,5 m = 2,5 m
SALA 05 = 2*2,5m = 5,0 m
SALA 03 = 2*2,5m = 5,0 m
SALA 01 = 2*2,5m = 5,0 m
SALA 06 = 2*2,5m = 5,0 m
SALA 04 = 2*2,5m = 5,0 m
SALA 02 = 2*2,5m = 5,0 m
WC MASC = 1 * 2,5m = 2,5 m
WC FEM = 1 * 2,5m = 2,5 m
BIBLIOTECA = 3 * 2,5 m = 7,5 m
SECRETARIA = 1 * 2,5 m = 2,5 m
SALA DIRETORIA = 2 * 2,5 m = 5,0 m
WC DIRETORIA =  1 * 2,5 m = 2,5 m
SALA DOS PROFESSORES = 1 * 2,5 m = 2,5 m
WC = 1 * 2,5 m = 2,5 m
SALA DE INFORMÁTICA = 2 * 2,5 m = 5,0 m</t>
  </si>
  <si>
    <t>ÁREA DE SERVIÇO = 2 * 1,5 m = 3,0 m 
COZINHA = 1 * 1,5 m = 1,5 m 
WC = 2 * 1,5 m = 3,0 m
CIRCULAÇÃO = 1 * 1,5 m = 1,5 m
DESPENSA = 1 * 1,5 m = 1,5 m
DML = 1 * 1,5 m = 1,5 m
REFEITÓRIO = 1 * 1,5 = 1,5 m
SALA 05 = 1*1,5m = 1,5 m
SALA 03 = 1*1,5m = 1,5 m
SALA 01 = 1*1,5m = 1,5 m
SALA 06 = 1*1,5m = 1,5 m
SALA 04 = 1*1,5m = 1,5 m
SALA 02 = 1*1,5m = 1,5 m
WC MASC = 2 * 1,5m = 3,0 m
WC FEM = 2 * 1,5m = 3,0 m
BIBLIOTECA = 1 * 1,5 m = 1,5 m
SECRETARIA = 1 * 1,5 m = 1,5 m
SALA DIRETORIA = 1 * 1,5 m = 1,5 m
WC DIRETORIA = 1 * 1,5 m = 1,5 m
SALA DOS PROFESSORES = 1 * 1,5 m = 1,5 m
WC = 1 * 1,5 m = 1,5 m
SALA DE INFORMÁTICA = 1 * 1,5 m = 1,5 m</t>
  </si>
  <si>
    <t>Parede 01 = 18,82 m * 2,70 m = 50,814 m² / Parede 02 = ((38 m * 2,70 m) - (1,65+1,65+1,65+1,65+1,65+1,65+3,75+1,65+1,65+0,5+0,5+1,65+1,65+1,65)) = 79,7 m²
Parede 03 = 0,70 m * 2,70 m = 1,89 m² / Parede 04 = ((18,80 m * 2,70 m) - 4,6) = 46,16 m²
Parede 05 = ((5,94 m * 2,70 m) - (1,65+1,65)) = 12,738 m² / Parede 06 = ((23,25 m * 2,7 m)-(2,0*2,3)) = 58,175 m²
Parede 07 = ((9,77 m * 2,70 m) - ((2,0*2,3)+(0,5)) = 21,279 m² / Parede 08 = ((6,45 m * 2,70 m)-0,5) = 16,915 m²
Parede 09 = ((2,5 m * 2,7 m) - (0,9*2,10)) = 4,86 m² / Parede 10 = ((15,44 m * 2,7 m) - (0,5+0,5+1,65+1,65)) = 37,388 m²
Parede 11 = ((9,53 m * 2,70 m)-(0,76*2,10*2)) = 22,539 m² / Parede 12 = ((9,53 m * 2,70 m)-(0,76*2,1*2)) = 22,539 m²
Parede 13 = ((3,20 m * 2,70 m)-((0,66*0,3*2)+(0,76*2,1*2)) = 5,052 m² / Parede 14 = 3,20 m * 2,70 m = 8,64 m²
Parede 15 = 7,50 m * 2,70 m = 20,25 m²  / Parede 16 = 6,25 m * 2,70 m = 16,875 m²
Parede 17 = 8,19 m * 2,70 m = 22,113 m² / Parede 18 = ((6,20 m * 2,70m) - (0,96*1,8*2)) =  13,284 m²
Parede 19 = ((6,20 m * 2,70m)-(0,96*2,1*2)) = 12,708 m² / Parede 20 = ((9,15 m * 2,70 m)-(0,96*2,10)) = 22,689 m²
Parede 21 = ((15,45 m * 2,70 m)-((0,96*2,10)+(0,86*2,10))) = 37,893 m² / Parede 22 = ((8,15 m * 2,70 m)-((2*0,86*2,10)+1,65)) = 16,743 m²
Parede 23 = ((8,06 m * 2,70 m)-(0,96*2,10)) = 19,746 m² / Parede 24 = 8,06 m * 2,70 m = 21,762 m²
Parede 25 = 4,05 m * 2,70 m = 10,935 m² / Parede 26 = 1,85 m * 2,70 m = 4,995 m²
Parede 27 = 1,615 m * 2,70 m = 4,3605 m² / Parede 28 = ((1,83 m * 2,70 m) - (0,96*2,10)) = 2,925 m²
Parede 29 = 1,615 m * 2,70 m = 4,3605 m² / Parede 30 = 8,15 m * 2,70 m = 22,005 m²
Parede 31 = 8,0 m * 2,70 m = 21,6 m² / Parede 32 = 8,0 m * 2,70 m = 21,6 m²
Parede 33 = ((17,15 m * 2,70 m)-(3*0,86*2,10)) = 40,887 m² / Parede 34 =((17,15 m * 2,70 m)-(3*0,86*2,10)) = 40,887 m²
Parede 35 = 8,0 m * 2,70 m = 21,6 m² / Parede 36 = 8,0 m * 2,70 m = 21,6 m²
Parede 37 = 8,30 m * 2,70 m = 22,41 m² / Parede 38 = ((11,40 m * 2,70 m)-(4*1,65)) = 24,18 m²
Parede 39 = 1,80 m * 2,70 m = 4,86 m² / Parede 40 = 3 m * 2,70 m = 8,10 m²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</si>
  <si>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</si>
  <si>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</si>
  <si>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</si>
  <si>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</si>
  <si>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</si>
  <si>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</si>
  <si>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</si>
  <si>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</si>
  <si>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</si>
  <si>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</si>
  <si>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</si>
  <si>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</si>
  <si>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</si>
  <si>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</si>
  <si>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</si>
  <si>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</si>
  <si>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</si>
  <si>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</si>
  <si>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</si>
  <si>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</si>
  <si>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</si>
  <si>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</si>
  <si>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</si>
  <si>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</si>
  <si>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</si>
  <si>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</si>
  <si>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</si>
  <si>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</si>
  <si>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</si>
  <si>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</si>
  <si>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</si>
  <si>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</si>
  <si>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</si>
  <si>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</si>
  <si>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</si>
  <si>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</si>
  <si>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</si>
  <si>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</si>
  <si>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</si>
  <si>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</si>
  <si>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</si>
  <si>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</si>
  <si>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</si>
  <si>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</si>
  <si>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</si>
  <si>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</si>
  <si>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</si>
  <si>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</si>
  <si>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</si>
  <si>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</si>
  <si>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</si>
  <si>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</si>
  <si>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</si>
  <si>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</si>
  <si>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</si>
  <si>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</si>
  <si>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</si>
  <si>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</si>
  <si>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</si>
  <si>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</si>
  <si>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</si>
  <si>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</si>
  <si>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</si>
  <si>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</si>
  <si>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</si>
  <si>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</si>
  <si>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</si>
  <si>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</si>
  <si>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</si>
  <si>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</si>
  <si>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</si>
  <si>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</si>
  <si>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</si>
  <si>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</si>
  <si>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</si>
  <si>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</si>
  <si>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</si>
  <si>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</si>
  <si>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</si>
  <si>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</si>
  <si>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</si>
  <si>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</si>
  <si>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</si>
  <si>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</si>
  <si>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</si>
  <si>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</si>
  <si>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</si>
  <si>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</si>
  <si>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</si>
  <si>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</si>
  <si>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</si>
  <si>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</si>
  <si>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</si>
  <si>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MEMÓRIA DE CÁLCULO PILARES - BM 03</t>
  </si>
  <si>
    <t>MEMÓRIA DE CÁLCULO VIGAS - BM 03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</si>
  <si>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</si>
  <si>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</si>
  <si>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</si>
  <si>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</si>
  <si>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</si>
  <si>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</si>
  <si>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</si>
  <si>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</si>
  <si>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</si>
  <si>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</si>
  <si>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</si>
  <si>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</si>
  <si>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</si>
  <si>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</si>
  <si>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</si>
  <si>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</si>
  <si>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</si>
  <si>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</si>
  <si>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</si>
  <si>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</si>
  <si>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</si>
  <si>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</si>
  <si>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</si>
  <si>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</si>
  <si>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</si>
  <si>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</si>
  <si>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t>PILARETES
P8/P9/P10/P12/P14/P16/P31/P87/P92 = 9*((0,174*3,20*2)+(0,324*3,20*2)) = 28,6848 m²
P1/P2/P3/P4/P15/P18/P25/P26/P27/P29/P36/P37/P38/P82/P83/P85 = (13*((0,174*3,20*2)+(0,324*3,20*2)))+(3*((0,224*3,2)+(0,324*3,2))) = 46,6944 m²
P11/P17/P39/P40/P41/P42/P43/P44/P52/P54/P62/P64/P72/P73/P74/P75/P77/P80/P81/P93= 20*((0,174*3,20*2)+(0,324*3,20*2)) = 63,744 m²
P13/P46 = (1*((0,224*3,20*2)+(0,324*3,20*2)))+(1*((0,274*3,2)+(0,324*3,2))) = 5,4208 m²
P7/P19/P20/P30/P49/P50/P59/P60/P70/P71/P78/P84/P86 = 13*((0,174*3,20*2)+(0,324*3,20*2)) = 41,4336 m²
P45 = ((0,274*3,20*2)+(0,324*3,20*2)) = 3,8272 m²
P28/P35/P68/P76/P88 = (4*((0,174*3,20*2)+(0,324*3,20*2)))+(1*((0,224*3,2)+(0,324*3,2))) = 14,5024 m²
P5/P6S/P24/P51/P53/P58/P61/P63/P69/P79/P89/P90/P91 = (12*((0,174*3,20*2)+(0,324*3,20*2)))+(1*((0,224*3,2)+(0,324*3,2))) = 40,00 m² 
P23/P32/P57 = 3*((0,174*3,20*2)+(0,324*3,20*2)) = 9,5616 m²
P33/P34/P55 = 3*((0,174*3,20*2)+(0,324*3,20*2)) = 9,5616 m² 
P21 = ((0,174*3,20*2)+(0,424*3,20*2)) = 3,8272 m²
P65 = ((0,224*3,20*2)+(0,324*3,20*2)) = 3,5072 m²
P22 = ((0,224*3,20*2)+(0,424*3,20*2)) = 4,1472 m²
P47 = ((0,174*3,20*2)+(0,324*3,20*2)) = 3,1872 m²
P48 = ((0,174*3,20*2)+(0,324*3,20*2)) = 3,1872 m²
P56 = ((0,174*3,20*2)+(0,324*3,20*2)) = 3,1872 m²
P66/P67 = (1*((0,174*3,20*2)+(0,324*3,20*2)))+(1*((0,224*3,2)+(0,324*3,2))) = 4,9408 m²
Total = 289,414 m² - VALOR PAGO NO BM 02 (90,44) = 198,97 m² + PILARES (18,94 m²) = 217,91 m² + VIGAS (360,35 m²) = 578,26 m²
*OBSERVAÇÃO: TODOS OS PILARETES ESTÃO COM 3,00 M DE ALTURA</t>
  </si>
  <si>
    <t>VIGAS = 8,04 kg</t>
  </si>
  <si>
    <t>PILARETES
P8/P9/P10/P12/P14/P16/P31/P87/P92 = 9*3,2*4 = 115,2 m 
P1/P2/P3/P4/P15/P18/P25/P26/P27/P29/P36/P37/P38/P82/P83/P85 = ((13*3,20*4)+(3*3,2*6)) = 224,00 m
P11/P17/P39/P40/P41/P42/P43/P44/P52/P54/P62/P64/P72/P73/P74/P75/P77/P80/P81/P93= ((19*3,2*4)+(1*3,2*6)) = 262,4 m
P13/P46 = 2*3,2*6 = 38,4 m 
P7/P19/P20/P30/P49/P50/P59/P60/P70/P71/P78/P84/P86 = 13*3,2*4 = 166,4 m
P45 = 1*3,2*6 = 19,2 m
P28/P35/P68/P76/P88 = ((4*3,2*4)+(1*3,2*6)) = 70,4 m
P5/P6S/P24/P51/P53/P58/P61/P63/P69/P79/P89/P90/P91 = ((8*3,2*4)+(4*3,2*6)+(1*3,2*8)) = 204,8 m
P23/P32/P57 = ((2*3,2*4)+(1*3,2*6)) = 44,8 m
P33/P34/P55 = 2*3,2*4 = 25,6 m 
P21 = 1*3,2*6 = 19,2 m
P22 = 1*3,2*6 = 19,2 m
P47 = 1*3,2*8 = 25,6 m
P56 = 1*3,2*4 = 12,8 m
Total = 1248,00 m
Total em kg = 0,617 kg/m * 1248,00 m = 770,016 kg - VALOR PAGO NO BM 02 (290,53) = 479,49 kg + PILARES (1074,16 kg) = 1553,65 kg + VIGAS (2702,83 kg) = 2702,83 kg
*OBSERVAÇÃO: TODOS OS PILARETES ESTÃO COM 3,00 M DE ALTURA</t>
  </si>
  <si>
    <t>PILARETES
P33/P34/P55 = 1*3,20*8 = 25,60 m
P65 = 1*3,20*8 = 25,60 m 
P48 = 1*3,20*6 = 19,2 m
P66/P67 = 2*3,2*8 = 25,6 m
Total =  96,00 m
Total em kg = 0,963 kg/m * 96,00 m = 92,448 kg - VALOR PAGO NO BM 02 (75,92) = 16,53 kg + PILARES (270,47 kg) = 287,00 kg + VIGAS (84,43 kg) = 371,43 kg
*OBSERVAÇÃO: TODOS OS PILARETES ESTÃO COM 3,00 M DE ALTURA</t>
  </si>
  <si>
    <t>PILARETES
P8/P9/P10/P12/P14/P16/P31/P87/P92 = 9*0,77*25 = 173,25 m
P1/P2/P3/P4/P15/P18/P25/P26/P27/P29/P36/P37/P38/P82/P83/P85 = ((13*0,77*25)+(3*0,87*25)) = 315,50 m
P11/P17/P39/P40/P41/P42/P43/P44/P52/P54/P62/P64/P72/P73/P74/P75/P77/P80/P81/P93= 20*0,77*25 = 385,00 m
P13/P46 = (((0,97*25)+(0,34*25))+(0,87*25)) = 54,5 m
P7/P19/P20/P30/P49/P50/P59/P60/P70/P71/P78/P84/P86 = 13*0,77*25 = 250,25 m
P45 = ((0,97*25)+(0,34*25)) = 32,75 m
P28/P35/P68/P76/P88 = (((4*0,77*25)+((25*0,87)+(25*0,29))) = 106,00 m
P5/P6S/P24/P51/P53/P58/P61/P63/P69/P79/P89/P90/P91 = ((12*0,77*25)+(1*0,24*25)+(1*0,87*25)+(1*0,29*25)) = 266,00 m 
P23/P32/P57 = ((25*0,77)+(25*0,24)+(2*25*0,77)) = 63,75 m
P33/P34/P55 = ((2*25*0,77)+(0,77*22)) = 55,44 m 
P21 = 1*((25*0,97)+(25*0,24)) = 30,25 m
P65 = 1*22*0,87 = 19,14 m
P22 = 1*((25*1,07)+(25*0,29)) = 34 m
P47 = 1*((25*0,77)+(25*0,24)) = 25,25 m
P48 = 1*((22*0,77)+(22*0,24)) = 22,22 m
P56 = 0,77*25 = 19,25 m
P66/P67 = ((22*0,87)+(22*0,77)) = 36,08 m
Total = 1888,63 m
Total em kg = 0,154 kg/m * 1888,63 m = 290,849 kg - VALOR PAGO NO BM 02 (87,52) = 203,33 kg + PILARES (428,66 kg) = 631,99 kg + VIGAS (440,12 kg) = 1072,11 kg
*OBSERVAÇÃO: TODOS OS PILARETES ESTÃO COM 3,00 M DE ALTURA</t>
  </si>
  <si>
    <t>PILARETES
P8/P9/P10/P12/P14/P16/P31/P87/P92 = 9*0,15*0,3*3 = 1,215 m³
P1/P2/P3/P4/P15/P18/P25/P26/P27/P29/P36/P37/P38/P82/P83/P85 = ((13*0,15*0,3*3)+(3*0,2*0,3*3)) = 2,295 m³
P11/P17/P39/P40/P41/P42/P43/P44/P52/P54/P62/P64/P72/P73/P74/P75/P77/P80/P81/P93= 20*0,15*0,3*3 = 2,7 m³
P13/P46 = ((0,2*0,3*3)+(0,25*0,3*3)) = 0,405 m³
P7/P19/P20/P30/P49/P50/P59/P60/P70/P71/P78/P84/P86 = 13*0,15*0,3*3 = 1,755 m³
P45 = 0,25*0,3*3 = 0,225 m³
P28/P35/P68/P76/P88 = ((4*0,15*0,3*3)+(1*0,2*0,3*3)) = 0,72 m³
P5/P6S/P24/P51/P53/P58/P61/P63/P69/P79/P89/P90/P91 = ((12*0,15*0,3*3)+(1*0,2*0,3*3)) = 1,8 m³ 
P23/P32/P57 = 3*0,15*0,3*3 = 0,405 m³
P33/P34/P55 = 3*0,15*0,3*3 = 0,405 m³ 
P21 = 1*0,15*0,4*3 = 0,18 m³
P65 = 1*0,2*0,3*3 = 0,18 m³
P22 = 1*0,2*0,4*3 = 0,24 m³
P47 = 1*0,15*0,3*3 = 0,135 m³
P48 = 1*0,15*0,3*3 = 0,135 m³
P56 = 1*0,15*0,3*3 = 0,135 m³
P66/P67 = ((1*0,15*0,3*3)+(1*0,2*0,3*3)) = 0,315 m³
Total = 13,245 m³ - VALOR PAGO NO BM 02 (4,74) = 8,51 m³ + PILARES (18,99 m³) = 27,5 m³ + VIGAS (20,81 m³) = 48,31 m³
*OBSERVAÇÃO: TODOS OS PILARETES ESTÃO COM 3,00 M DE ALTURA</t>
  </si>
  <si>
    <t>LAJE 01 = 5,603 * 2,214 = 12,41 m²
LAJE 02 = 5,598 * 2,214 = 12,40 m²
LAJE 03 = 5,599 * 2,214 = 12,40 m²
LAJE 04 = 5,001 * 2,214 = 11,07 m²
LAJE 05 = 3,022 * 2,214 = 6,69 m²
LAJE 06 = 0,828 * 2,214 = 1,83 m²
LAJE 07 = 2,006 * 2,214 = 4,44 m²
LAJE 08 = 3,244 * 2,214 = 7,18 m²
LAJE 09 = 5,60 * 2,214 = 12,40 m²
TOTAL = 80,82 m²</t>
  </si>
  <si>
    <t>Comprimento da pérgola = 2,35 m 
Unidades = 39
Comprimento Total = 2,35 * 39 = 91,65 m</t>
  </si>
  <si>
    <t>PREÇO TOTAL READEQUADO R$</t>
  </si>
  <si>
    <t>READEQUAÇÃO</t>
  </si>
  <si>
    <t>ADITIVO</t>
  </si>
  <si>
    <t>7.9</t>
  </si>
  <si>
    <t>2.4</t>
  </si>
  <si>
    <t>2.6</t>
  </si>
  <si>
    <t>C2290</t>
  </si>
  <si>
    <t>H</t>
  </si>
  <si>
    <t>-</t>
  </si>
  <si>
    <t>4.4</t>
  </si>
  <si>
    <t>5.10.1</t>
  </si>
  <si>
    <t>5.11.2</t>
  </si>
  <si>
    <t>5.11.3</t>
  </si>
  <si>
    <t>5.11.4</t>
  </si>
  <si>
    <t>5.11.5</t>
  </si>
  <si>
    <t>5.11.6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</si>
  <si>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</si>
  <si>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</si>
  <si>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</si>
  <si>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</si>
  <si>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</si>
  <si>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</si>
  <si>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</si>
  <si>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</si>
  <si>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</si>
  <si>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S8/S9/S10/S12/S14/S16/S31/S87/S92 = 9*1,35m*1,5m*1,5m = 27,3375 m³
S1/S2/S3/S4/S15/S18/S25/S26/S27/S29/S36/S37/S38/S82/S83/S85 = 16*1,45m*1,55m*1,5m = 53,94 m³
S11/S17/S39/S40/S41/S42/S43/S44/S52/S54/S62/S64/S72/S73/S74/S75/S77/S80/S81/S93= 20*1,5m*1,65m*1,5m = 74,25m³
S13/S46 = 2*1,60m*1,65m*1,5m = 7,92 m³
S7/S19/S20/S30/S49/S50/S59/S60/S70/S71/S78/S84/S86 = 13*1,6m*1,75m*1,5m = 54,6 m³
S45 = 1*1,65m*1,70m*1,5m = 4,2075 m³
S28/S35/S68/S76/S88 = 5*1,70m*1,8m*1,5m = 22,95 m³
S5/S6S/S24/S51/S53/S58/S61/S63/S69/S79/S89/S90/S91 = 13*1,75m*1,90m*1,5m = 64,8375 m³
S23/S32/S57 = 3*1,80m*1,95m*1,5m = 15,795 m³
S33/S34/S55 = 3*1,90m*2,05m*1,5m = 17,5275 m³
S21 = 1*1,85m*2,10m*1,5m = 5,8275 m³
S65 = 1*1,95m*2,05m*1,5m = 5,99625 m³
S22 = 1*2,10m*2,3m*1,5m = 7,245 m³
S47 = 1*2,15m*2,3m*1,5m = 7,4175 m³
S48 = 1*2,25m*2,4m*1,5m = 8,1 m³
S56 = 1*2,3m*2,45m*1,5m = 8,4525 m³
S66/S67 = 2*2,45m*2,55m*1,5m = 18,7425 m³
*OBSERVAÇÃO: CADA SAPATA TEVE SUA ESCAVAÇÃO COM SOBRA DE 30 CM PARA CADA LADO, PERMITINDO ASSIM QUE PESSOAS PODESSEM TRABALHAR NO BURACO ESCAVADO, A PROFUNDIDADE DE TODAS AS ESCAVAÇÕES FOI DE 1,5 M, INDICADO POR MEIO DE SONDAGEM REALIZADA NO TERRENO DA EDIFICAÇÃO
* TOTAL ESCAVAÇÃO = 405,15 m³
* TOTAL EM PLANILHA = 139,8 m³
* TOTAL ADITIVO = 265,35 m³</t>
  </si>
  <si>
    <t>Parede 01 = 18,82 m * 0,40 m * 0,40 = 3,0112 m³ / Parede 02 = 38 m * 0,40 * 0,40 = 6,08 m³
Parede 03 = 0,70 m * 0,40 * 0,40 = 0,112 m³ / Parede 04 = 18,80 m * 0,40 * 0,40 = 3,008 m³
Parede 05 = 5,94 m * 0,40 * 0,40 = 0,9504 m³ / Parede 06 = 23,25 m * 0,40 * 0,40 = 3,72 m³
Parede 07 = 9,77 m * 0,40 * 0,40 = 1,5632 m³ / Parede 08 = 6,45 m * 0,40 * 0,40 = 1,032 m³
Parede 09 = 2,5 m * * 0,40 * 0,40 = 0,4 m³ / Parede 10 = 15,44 m * 0,40 * 0,40 = 2,4704 m³
Parede 11 = 9,53 m * 0,40 * 0,40  = 1,5248 m³ / Parede 12 = 9,53 m * 0,40 * 0,40 = 1,5248 m³
Parede 13 = 3,20 m * 0,40 * 0,40 = 0,512 m³ / Parede 14 = 3,20 m * 0,40 * 0,40 = 0,512 m³
Parede 15 = 7,50 m * 0,40 * 0,40 = 1,20 m³  / Parede 16 = 6,25 m * 0,40 * 0,40 = 1,00 m³
Parede 17 = 8,19 m * 0,40 * 0,40 = 1,3104 m³ / Parede 18 = 6,20 m * 0,40 * 0,40 =  0,992 m³
Parede 19 = 6,20 m * 0,40 * 0,40 = 0,992 m³ / Parede 20 = 9,15 m * 0,40 * 0,40 = 1,464 m³
Parede 21 = 15,45 m * 0,40 * 0,40 = 2,472 m³ / Parede 22 = 8,15 m * 0,40 * 0,40 = 1,304 m³
Parede 23 = 8,06 m * 0,40 * 0,40 = 1,2896 m³ / Parede 24 = 8,06 m * 0,40 * 0,40 = 1,2896 m³
Parede 25 = 4,05 m * 0,40 * 0,40 = 0,648 m³ / Parede 26 = 1,85 m * 0,40 * 0,40 = 0,296 m³
Parede 27 = 1,615 m * 0,40 * 0,40 = 0,2584 m³ / Parede 28 = 1,83 m * 0,40 * 0,40 = 0,2928 m³
Parede 29 = 1,615 m * 0,40 * 0,40 = 0,2584 m³ / Parede 30 = 8,15 m * 0,40 * 0,40 = 1,304 m³
Parede 31 = 8,0 m * 0,40 * 0,40 = 1,28 m³ / Parede 32 = 8,0 m * 0,40 * 0,40 = 1,28 m³
Parede 33 = 17,15 m * 0,40 * 0,40 = 2,744 m³ / Parede 34 = 17,15 m * 0,40 * 0,40 = 2,744 m³
Parede 35 = 8,0 m * 0,40 * 0,40 = 1,28 m³ / Parede 36 = 8,0 m * 0,40 * 0,40 = 1,28 m³
Parede 37 = 8,30 m * 0,40 * 0,40 = 1,328 m³ / Parede 38 = 11,40 m * 0,40 * 0,40 = 1,824 m³
Parede 39 = 1,80 m * 0,40 * 0,40 = 0,288 m³ / Parede 40 = 3 m * 0,40 * 0,40 = 0,48 m³</t>
  </si>
  <si>
    <t>* TOTAL ESCAVAÇÃO SAPATAS = 405,15 m³
* TOTAL ESCAVAÇÃO VALAS = 57,32 m³
*TOTAL = 462,47 * 1,15 (fator expurgo) = 531,84 m³</t>
  </si>
  <si>
    <t>SP - 01 = 10,10 m 
SP - 02 = 10,06 m
SP - 03 = 10,07 m
Total = 30,23 m</t>
  </si>
  <si>
    <t>VIGAS BALDRAMES = COMPRIMENTO DA VIGA X ALTURA DA FORMA = ÁREA DA FÔRMA
VIGA LADO NORTE (A MAIS DO PROJETO) = 22,60*2*0,4 = 18,08 m²
VIGA LADO OESTE (A MAIS DO PROJETO) = 24,70*2*0,40 = 19,76 m²</t>
  </si>
  <si>
    <t>VIGAS BALDRAMES
VIGA LADO NORTE (A MAIS DO PROJETO) = (4*22,84) = 91,36 m
VIGA LADO OESTE (A MAIS DO PROJETO) = (4*24,94) =  99,76 m
Total = 191,12 m
Total em kg = 0,617 kg/m * 191,12 m = 117,92 kg</t>
  </si>
  <si>
    <t>VIGAS BALDRAMES
VIGA LADO NORTE (A MAIS DO PROJETO) = 189*0,77 = 145,53 m
VIGA LADO OESTE (A MAIS DO PROJETO) = 206*0,77 =  158,62 m
Total = 304,15 m
Total em kg = 0,154 kg/m * 304,15 m = 46,84 kg</t>
  </si>
  <si>
    <t>VIGAS BALDRAMES = COMPRIMENTO DA VIGA X ÁREA DA SEÇÃO = VOLUME DE CONCRETO
VIGA LADO NORTE (A MAIS DO PROJETO) = (0,045*22,6) = 1,017 m³
VIGA LADO OESTE (A MAIS DO PROJETO) = (0,045*24,7) =  1,1115 m³</t>
  </si>
  <si>
    <t>Fiadas embassamento ao redor do colégio (altura) = 0,80 m
Fiadas internas embassamento (altura) = 0,20 m
Comprimento fiadas embassamento ao redor do colégio = 18,83 + 38,00 + 18,82 + 5,75 + 12,30 + 23,25 + 9,80 + 6,45 + 2,53 + 15,45 = 151,18 m
Comprimento fiadas embassamento internas = 15,45+15,45+8,13+8,13+8,13+1,60+1,85+1,85+1,60+4,00+8,20+7,53+6+6+6,20+9,45+9,45+3,00+3,15+3,15+1,95+8,3+8,3+8,3+17,25+11,50+8,15+8,15+8,15+17,25 = 225,62 m 
Área alvenaria de embassamento ao redor do colégio =  151,18 m * 0,80 m = 120,95 m²
Área alvenaria de embassamento internas = 225,62 m * 0,20 m = 45,124 m²</t>
  </si>
  <si>
    <t>AS VIGAS 18 E 19 POSSUEM AÇO 8.0 mm, PORÉM NÃO TEM NA PLANILHA ORÇAMENTÁRIA
VIGA 18 E 19 = 15,68 m + 15,68 m = 31,36 m
Total = 31,36 m
Total em kg = 0,395 kg/m * 31,36 m = 12,39 kg</t>
  </si>
  <si>
    <t>PILARETES
P8/P9/P10/P12/P14/P16/P31/P87/P92 = 9*3,2*4 = 115,2 m 
P1/P2/P3/P4/P15/P18/P25/P26/P27/P29/P36/P37/P38/P82/P83/P85 = ((13*3,20*4)+(3*3,2*6)) = 224,00 m
P11/P17/P39/P40/P41/P42/P43/P44/P52/P54/P62/P64/P72/P73/P74/P75/P77/P80/P81/P93= ((19*3,2*4)+(1*3,2*6)) = 262,4 m
P13/P46 = 2*3,2*6 = 38,4 m 
P7/P19/P20/P30/P49/P50/P59/P60/P70/P71/P78/P84/P86 = 13*3,2*4 = 166,4 m
P45 = 1*3,2*6 = 19,2 m
P28/P35/P68/P76/P88 = ((4*3,2*4)+(1*3,2*6)) = 70,4 m
P5/P6S/P24/P51/P53/P58/P61/P63/P69/P79/P89/P90/P91 = ((8*3,2*4)+(4*3,2*6)+(1*3,2*8)) = 204,8 m
P23/P32/P57 = ((2*3,2*4)+(1*3,2*6)) = 44,8 m
P33/P34/P55 = 2*3,2*4 = 25,6 m 
P21 = 1*3,2*6 = 19,2 m
P22 = 1*3,2*6 = 19,2 m
P47 = 1*3,2*8 = 25,6 m
P56 = 1*3,2*4 = 12,8 m
Total = 1248,00 m
Total em kg = 0,617 kg/m * 1248,00 m = 770,016 kg
*OBSERVAÇÃO: TODOS OS PILARETES ESTÃO COM 3,00 M DE ALTURA</t>
  </si>
  <si>
    <t>PILARETES
P33/P34/P55 = 1*3,20*8 = 25,60 m
P65 = 1*3,20*8 = 25,60 m 
P48 = 1*3,20*6 = 19,2 m
P66/P67 = 2*3,2*8 = 25,6 m
Total =  96,00 m
Total em kg = 0,963 kg/m * 96,00 m = 92,448 kg
*OBSERVAÇÃO: TODOS OS PILARETES ESTÃO COM 3,00 M DE ALTURA</t>
  </si>
  <si>
    <t>PILARETES
P8/P9/P10/P12/P14/P16/P31/P87/P92 = 9*0,77*25 = 173,25 m
P1/P2/P3/P4/P15/P18/P25/P26/P27/P29/P36/P37/P38/P82/P83/P85 = ((13*0,77*25)+(3*0,87*25)) = 315,50 m
P11/P17/P39/P40/P41/P42/P43/P44/P52/P54/P62/P64/P72/P73/P74/P75/P77/P80/P81/P93= 20*0,77*25 = 385,00 m
P13/P46 = (((0,97*25)+(0,34*25))+(0,87*25)) = 54,5 m
P7/P19/P20/P30/P49/P50/P59/P60/P70/P71/P78/P84/P86 = 13*0,77*25 = 250,25 m
P45 = ((0,97*25)+(0,34*25)) = 32,75 m
P28/P35/P68/P76/P88 = (((4*0,77*25)+((25*0,87)+(25*0,29))) = 106,00 m
P5/P6S/P24/P51/P53/P58/P61/P63/P69/P79/P89/P90/P91 = ((12*0,77*25)+(1*0,24*25)+(1*0,87*25)+(1*0,29*25)) = 266,00 m 
P23/P32/P57 = ((25*0,77)+(25*0,24)+(2*25*0,77)) = 63,75 m
P33/P34/P55 = ((2*25*0,77)+(0,77*22)) = 55,44 m 
P21 = 1*((25*0,97)+(25*0,24)) = 30,25 m
P65 = 1*22*0,87 = 19,14 m
P22 = 1*((25*1,07)+(25*0,29)) = 34 m
P47 = 1*((25*0,77)+(25*0,24)) = 25,25 m
P48 = 1*((22*0,77)+(22*0,24)) = 22,22 m
P56 = 0,77*25 = 19,25 m
P66/P67 = ((22*0,87)+(22*0,77)) = 36,08 m
Total = 1888,63 m
Total em kg = 0,154 kg/m * 1888,63 m = 290,849 kg
*OBSERVAÇÃO: TODOS OS PILARETES ESTÃO COM 3,00 M DE ALTURA</t>
  </si>
  <si>
    <t>PILARETES
P8/P9/P10/P12/P14/P16/P31/P87/P92 = 9*0,15*0,3*3 = 1,215 m³
P1/P2/P3/P4/P15/P18/P25/P26/P27/P29/P36/P37/P38/P82/P83/P85 = ((13*0,15*0,3*3)+(3*0,2*0,3*3)) = 2,295 m³
P11/P17/P39/P40/P41/P42/P43/P44/P52/P54/P62/P64/P72/P73/P74/P75/P77/P80/P81/P93= 20*0,15*0,3*3 = 2,7 m³
P13/P46 = ((0,2*0,3*3)+(0,25*0,3*3)) = 0,405 m³
P7/P19/P20/P30/P49/P50/P59/P60/P70/P71/P78/P84/P86 = 13*0,15*0,3*3 = 1,755 m³
P45 = 0,25*0,3*3 = 0,225 m³
P28/P35/P68/P76/P88 = ((4*0,15*0,3*3)+(1*0,2*0,3*3)) = 0,72 m³
P5/P6S/P24/P51/P53/P58/P61/P63/P69/P79/P89/P90/P91 = ((12*0,15*0,3*3)+(1*0,2*0,3*3)) = 1,8 m³ 
P23/P32/P57 = 3*0,15*0,3*3 = 0,405 m³
P33/P34/P55 = 3*0,15*0,3*3 = 0,405 m³ 
P21 = 1*0,15*0,4*3 = 0,18 m³
P65 = 1*0,2*0,3*3 = 0,18 m³
P22 = 1*0,2*0,4*3 = 0,24 m³
P47 = 1*0,15*0,3*3 = 0,135 m³
P48 = 1*0,15*0,3*3 = 0,135 m³
P56 = 1*0,15*0,3*3 = 0,135 m³
P66/P67 = ((1*0,15*0,3*3)+(1*0,2*0,3*3)) = 0,315 m³
Total = 13,245 m³
*OBSERVAÇÃO: TODOS OS PILARETES ESTÃO COM 3,00 M DE ALTURA</t>
  </si>
  <si>
    <t xml:space="preserve">MEMÓRIA MURO </t>
  </si>
  <si>
    <t>Alvenaria escada = ((3,12 * 0,75 * 2) + (3,59*0,75*2)) = 10,065 m²
Alvenaria rampa = ((6,33*0,75*2) + (4,65*0,75*2)) = 16,47 m²</t>
  </si>
  <si>
    <t>Aterro escada = 3,12*3,59*0,75 = 8,4006 m³
Aterro rampa = 6,33*4,65*0,75 = 22,07588 m³</t>
  </si>
  <si>
    <t>Piso escada = 3,12*3,59 = 11,2008 m²
Piso rampa = 6,33*4,65 = 29,4345 m²</t>
  </si>
  <si>
    <t>Contrapiso escada = 3,12*3,59 = 11,2008 m²
Contrapiso rampa = 6,33*4,65 = 29,4345 m²</t>
  </si>
  <si>
    <t>Escada = 3,12 * 0,75 = 2,34 m²
Rampa = ((6,32*0,75)+(4,65*0,75)+(4,8*0,75*2)+(1,62*0,75)) = 16,65 m²</t>
  </si>
  <si>
    <t>Corrimão escada = 2 m
Corrimão rampa = 4,80 + 1,50 + 1,50 + 1,62 + 1,50 + 1,5+4,8+4,8+1,62+4,8 = 28,44 m</t>
  </si>
  <si>
    <t>MEMÓRIA DE CÁLCULO ATERRO</t>
  </si>
  <si>
    <t>Muro de Contorno - Serviços Complementares Executados</t>
  </si>
  <si>
    <t>Planilha de Quantitavos</t>
  </si>
  <si>
    <t>Escavação Manual</t>
  </si>
  <si>
    <t>Largura</t>
  </si>
  <si>
    <t>Altura</t>
  </si>
  <si>
    <t>Comprimento</t>
  </si>
  <si>
    <t>Total</t>
  </si>
  <si>
    <t>Escavação Manual Norte</t>
  </si>
  <si>
    <t>m³</t>
  </si>
  <si>
    <t>Escavação Manual Sul</t>
  </si>
  <si>
    <t>Escavação Manual Leste</t>
  </si>
  <si>
    <t>Escavação Manual Oeste</t>
  </si>
  <si>
    <t>Total:</t>
  </si>
  <si>
    <t>Alvenaria de 1 Vez</t>
  </si>
  <si>
    <t>Altura Inicial</t>
  </si>
  <si>
    <t>Altura Final</t>
  </si>
  <si>
    <t>Alvenaria de 1 Vez Norte</t>
  </si>
  <si>
    <t>Alvenaria de 1 Vez Sul</t>
  </si>
  <si>
    <t>Alvenaria de 1 Vez Leste</t>
  </si>
  <si>
    <t>Alvenaria de 1 Vez Oeste</t>
  </si>
  <si>
    <t>Concreto Armado</t>
  </si>
  <si>
    <t xml:space="preserve">Altura </t>
  </si>
  <si>
    <t>Toco de Pilar Norte</t>
  </si>
  <si>
    <t>Toco de Pilar Sul</t>
  </si>
  <si>
    <t>Toco de Pilar Leste</t>
  </si>
  <si>
    <t>Toco de Pilar Oeste</t>
  </si>
  <si>
    <t>Chapisco</t>
  </si>
  <si>
    <t>Lado Norte - 2 Vezes</t>
  </si>
  <si>
    <t>Lado Sul - 2 Vezes</t>
  </si>
  <si>
    <t>Lado Leste - 2 Vezes</t>
  </si>
  <si>
    <t>Lado Oeste - 2 Vezes</t>
  </si>
  <si>
    <t>Reboco</t>
  </si>
  <si>
    <t>ESCAVAÇÃO MECANIZADA DE VALA COM PROF. ATÉ 1,5 M (MÉDIA ENTRE MONTANTE E JUSANTE/UMA COMPOSIÇÃO POR TRECHO) COM RETROESCAVADEIRA (0,26 M3/88 HP), LARGURA MENOR QUE 0,8 M, EM SOLO DE 2A CATEGORIA, EM LOCAIS COM BAIXO NÍVEL DE NTERFERÊNCIA. AF_02/2021</t>
  </si>
  <si>
    <t>SONDAGEM À PERCUSSÃO P/RECONHECIMENTO DO SUBSOLO</t>
  </si>
  <si>
    <t>Impermeabilização de alicerce e viga baldrame com 2 demãos de tinta asfáltica tipo Neutrol da Vedacit ou similar, exceto argamassa impermeabilização</t>
  </si>
  <si>
    <t>(COMPOSIÇÃO REPRESENTATIVA) DO SERVIÇO DE ALVENARIA DE VEDAÇÃO DE BLOCOS VAZADOS DE CERÂMICA DE 14X9X19CM (ESPESSURA 14CM, BLOCO DEITADO), PARA EDIFICAÇÃO HABITACIONAL UNIFAMILIAR (CASA) E EDIFICAÇÃO PÚBLICA PADRÃO. AF_12/2014</t>
  </si>
  <si>
    <t>ARMAÇÃO DE PILAR OU VIGA DE UMA ESTRUTURA CONVENCIONAL DE CONCRETO ARMADO EM UMA EDIFICAÇÃO TÉRREA OU SOBRADO UTILIZANDO AÇO CA-50 DE 8,0 MM - MONTAGEM. AF_12/2015</t>
  </si>
  <si>
    <t>EXECUÇÃO DE PASSEIO (CALÇADA) OU PISO DE CONCRETO COM CONCRETO MOLDADO IN LOCO, FEITO EM OBRA, ACABAMENTO CONVENCIONAL, ESPESSURA 6 CM, ARMADO. AF_07/2016</t>
  </si>
  <si>
    <t>1.1. 102326 - ESCAVAÇÃO MECANIZADA DE VALA COM PROF. ATÉ 1,5 M (MÉDIA ENTRE MONTANTE E JUSANTE/UMA COMPOSIÇÃO POR TRECHO) COM RETROESCAVADEIRA (0,26 M3/88 HP), LARGURA MENOR QUE 0,8 M, EM SOLO DE 2A CATEGORIA, EM LOCAIS COM BAIXO NÍVEL DE NTERFERÊNCIA. AF_02/2021 (M3)</t>
  </si>
  <si>
    <t>Equipamento Custo Horário</t>
  </si>
  <si>
    <t>UNID</t>
  </si>
  <si>
    <t>COEFICIENTE</t>
  </si>
  <si>
    <t>PREÇO UNITÁRIO</t>
  </si>
  <si>
    <t>5679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</si>
  <si>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</si>
  <si>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</si>
  <si>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>5678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</si>
  <si>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</si>
  <si>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CHP</t>
  </si>
  <si>
    <t>TOTAL Equipamento Custo Horário:</t>
  </si>
  <si>
    <t>Mão de Obra com Encargos Complementares</t>
  </si>
  <si>
    <t>88316</t>
  </si>
  <si>
    <t>SERVENTE COM ENCARGOS COMPLEMENTARES</t>
  </si>
  <si>
    <t>TOTAL Mão de Obra com Encargos Complementares:</t>
  </si>
  <si>
    <t>VALOR:</t>
  </si>
  <si>
    <t>1.2. S09898 - Expurgo de jazida (consv) (m3)</t>
  </si>
  <si>
    <t>EQUIPAMENTOS</t>
  </si>
  <si>
    <t>QUANT</t>
  </si>
  <si>
    <t>UTILIZAÇÃO</t>
  </si>
  <si>
    <t>CUSTO OPERACIONAL</t>
  </si>
  <si>
    <t>CUSTO HORÁRIO</t>
  </si>
  <si>
    <t>PROD</t>
  </si>
  <si>
    <t>IMPR</t>
  </si>
  <si>
    <t>I02501</t>
  </si>
  <si>
    <t>Trator esteira (cat - d6m - xl - 163-6a nacional 140,0 hp ou equivalente)</t>
  </si>
  <si>
    <t>TOTAL EQUIPAMENTOS:</t>
  </si>
  <si>
    <t>MÃO DE OBRA</t>
  </si>
  <si>
    <t>CONSUMO</t>
  </si>
  <si>
    <t>SALÁRIO HORA</t>
  </si>
  <si>
    <t>I06671</t>
  </si>
  <si>
    <t>Encarregado de pavimentação - Fonte DNIT -  Mês de ref.: 10/20</t>
  </si>
  <si>
    <t>I06111S</t>
  </si>
  <si>
    <t>Servente de obras</t>
  </si>
  <si>
    <t>TOTAL MÃO DE OBRA:</t>
  </si>
  <si>
    <t>Custo Horário da Execução:</t>
  </si>
  <si>
    <t>Produção da Equipe:</t>
  </si>
  <si>
    <t>Custo Unitário da Execução:</t>
  </si>
  <si>
    <t>SERVIÇOS</t>
  </si>
  <si>
    <t>CUSTO UNITÁRIO</t>
  </si>
  <si>
    <t>S10549</t>
  </si>
  <si>
    <t>Encargos Complementares - Servente</t>
  </si>
  <si>
    <t>TOTAL SERVIÇOS:</t>
  </si>
  <si>
    <t>Custo Direto Total:</t>
  </si>
  <si>
    <t>1.3. C2290 - SONDAGEM À PERCUSSÃO P/RECONHECIMENTO DO SUBSOLO (M)</t>
  </si>
  <si>
    <t>Material</t>
  </si>
  <si>
    <t>I1860</t>
  </si>
  <si>
    <t>SERVIÇOS DE SONDAGEM À PERCUSSÃO</t>
  </si>
  <si>
    <t>TOTAL Material:</t>
  </si>
  <si>
    <t>1.4. 101618 - PREPARO DE FUNDO DE VALA COM LARGURA MENOR QUE 1,5 M, COM CAMADA DE AREIA, LANÇAMENTO MANUAL. AF_08/2020 (M3)</t>
  </si>
  <si>
    <t>91534</t>
  </si>
  <si>
    <t>COMPACTADOR DE SOLOS DE PERCUSSÃO (SOQUETE) COM MOTOR A GASOLINA 4 TEMPOS, POTÊNCIA 4 CV - CHI DIURNO. AF_08/2015</t>
  </si>
  <si>
    <t>91533</t>
  </si>
  <si>
    <t>COMPACTADOR DE SOLOS DE PERCUSSÃO (SOQUETE) COM MOTOR A GASOLINA 4 TEMPOS, POTÊNCIA 4 CV - CHP DIURNO. AF_08/2015</t>
  </si>
  <si>
    <t>00000370</t>
  </si>
  <si>
    <t>AREIA MEDIA - POSTO JAZIDA/FORNECEDOR (RETIRADO NA JAZIDA, SEM TRANSPORTE)</t>
  </si>
  <si>
    <t>88309</t>
  </si>
  <si>
    <t>PEDREIRO COM ENCARGOS COMPLEMENTARES</t>
  </si>
  <si>
    <t>2.1. S06417 - Bombeamento direto p/ esgotamento de valas (H)</t>
  </si>
  <si>
    <t>Encargos Complementares</t>
  </si>
  <si>
    <t>S10552</t>
  </si>
  <si>
    <t>Encargos Complementares - Eletricista</t>
  </si>
  <si>
    <t>TOTAL Encargos Complementares:</t>
  </si>
  <si>
    <t>Equipamento</t>
  </si>
  <si>
    <t>I02449</t>
  </si>
  <si>
    <t>Aluguel de bomba de drenagem - "darka" - diametro 4" - ,potência = 5 cv</t>
  </si>
  <si>
    <t>TOTAL Equipamento:</t>
  </si>
  <si>
    <t>Mão de Obra</t>
  </si>
  <si>
    <t>I02436S</t>
  </si>
  <si>
    <t>Eletricista</t>
  </si>
  <si>
    <t>I00054</t>
  </si>
  <si>
    <t>Encarregado de turma - Fonte DNIT -  Mês de ref.: 10/20</t>
  </si>
  <si>
    <t>TOTAL Mão de Obra:</t>
  </si>
  <si>
    <t>2.2. S04953 - Impermeabilização de alicerce e viga baldrame com 2 demãos de tinta asfáltica tipo Neutrol da Vedacit ou similar, exceto argamassa impermeabilização (m2)</t>
  </si>
  <si>
    <t>S10553</t>
  </si>
  <si>
    <t>Encargos Complementares - Pintor</t>
  </si>
  <si>
    <t>I07313S</t>
  </si>
  <si>
    <t>Tinta asfaltica impermeabilizante diluida em solvente, paramateriais cimenticios, metal e madeira</t>
  </si>
  <si>
    <t>l</t>
  </si>
  <si>
    <t>I04783S</t>
  </si>
  <si>
    <t>Pintor</t>
  </si>
  <si>
    <t>3.1. 89977 - (COMPOSIÇÃO REPRESENTATIVA) DO SERVIÇO DE ALVENARIA DE VEDAÇÃO DE BLOCOS VAZADOS DE CERÂMICA DE 14X9X19CM (ESPESSURA 14CM, BLOCO DEITADO), PARA EDIFICAÇÃO HABITACIONAL UNIFAMILIAR (CASA) E EDIFICAÇÃO PÚBLICA PADRÃO. AF_12/2014 (M2)</t>
  </si>
  <si>
    <t>Serviço</t>
  </si>
  <si>
    <t>87525</t>
  </si>
  <si>
    <t>ALVENARIA DE VEDAÇÃO DE BLOCOS CERÂMICOS FURADOS NA HORIZONTAL DE 14X9X19CM (ESPESSURA 14CM, BLOCO DEITADO) DE PAREDES COM ÁREA LÍQUIDA MAIOR OU IGUAL A 6M² COM VÃOS E ARGAMASSA DE ASSENTAMENTO COM PREPARO EM BETONEIRA. AF_06/2014</t>
  </si>
  <si>
    <t>87509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</si>
  <si>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</si>
  <si>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87517</t>
  </si>
  <si>
    <t>ALVENARIA DE VEDAÇÃO DE BLOCOS CERÂMICOS FURADOS NA HORIZONTAL DE 14X9X19CM (ESPESSURA 14CM, BLOCO DEITADO) DE PAREDES COM ÁREA LÍQUIDA MENOR QUE 6M² COM VÃOS E ARGAMASSA DE ASSENTAMENTO COM PREPARO EM BETONEIRA. AF_06/2014</t>
  </si>
  <si>
    <t>87501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</si>
  <si>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</si>
  <si>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TOTAL Serviço:</t>
  </si>
  <si>
    <t>4.1. 92777 - ARMAÇÃO DE PILAR OU VIGA DE UMA ESTRUTURA CONVENCIONAL DE CONCRETO ARMADO EM UMA EDIFICAÇÃO TÉRREA OU SOBRADO UTILIZANDO AÇO CA-50 DE 8,0 MM - MONTAGEM. AF_12/2015 (KG)</t>
  </si>
  <si>
    <t>00043132</t>
  </si>
  <si>
    <t>ARAME RECOZIDO 16 BWG, D = 1,65 MM (0,016 KG/M) OU 18 BWG, D = 1,25 MM (0,01 KG/M)</t>
  </si>
  <si>
    <t>00039017</t>
  </si>
  <si>
    <t>ESPACADOR / DISTANCIADOR CIRCULAR COM ENTRADA LATERAL, EM PLASTICO, PARA VERGALHAO *4,2 A 12,5* MM, COBRIMENTO 20 MM</t>
  </si>
  <si>
    <t>88238</t>
  </si>
  <si>
    <t>AJUDANTE DE ARMADOR COM ENCARGOS COMPLEMENTARES</t>
  </si>
  <si>
    <t>88245</t>
  </si>
  <si>
    <t>ARMADOR COM ENCARGOS COMPLEMENTARES</t>
  </si>
  <si>
    <t>92793</t>
  </si>
  <si>
    <t>CORTE E DOBRA DE AÇO CA-50, DIÂMETRO DE 8,0 MM, UTILIZADO EM ESTRUTURAS DIVERSAS, EXCETO LAJES. AF_12/2015</t>
  </si>
  <si>
    <t>5.1. 94992 - EXECUÇÃO DE PASSEIO (CALÇADA) OU PISO DE CONCRETO COM CONCRETO MOLDADO IN LOCO, FEITO EM OBRA, ACABAMENTO CONVENCIONAL, ESPESSURA 6 CM, ARMADO. AF_07/2016 (M2)</t>
  </si>
  <si>
    <t>00003777</t>
  </si>
  <si>
    <t>LONA PLASTICA PESADA PRETA, E = 150 MICRA</t>
  </si>
  <si>
    <t>00004517</t>
  </si>
  <si>
    <t>SARRAFO *2,5 X 7,5* CM EM PINUS, MISTA OU EQUIVALENTE DA REGIAO - BRUTA</t>
  </si>
  <si>
    <t>00007156</t>
  </si>
  <si>
    <t>TELA DE ACO SOLDADA NERVURADA, CA-60, Q-196, (3,11 KG/M2), DIAMETRO DO FIO = 5,0 MM, LARGURA = 2,45 M, ESPACAMENTO DA MALHA = 10 X 10 CM</t>
  </si>
  <si>
    <t>88262</t>
  </si>
  <si>
    <t>CARPINTEIRO DE FORMAS COM ENCARGOS COMPLEMENTARES</t>
  </si>
  <si>
    <t>94964</t>
  </si>
  <si>
    <t>CONCRETO FCK = 20MPA, TRAÇO 1:2,7:3 (EM MASSA SECA DE CIMENTO/ AREIA MÉDIA/ BRITA 1) - PREPARO MECÂNICO COM BETONEIRA 400 L. AF_05/2021</t>
  </si>
  <si>
    <t>5.2. S08759 - Corrimão em aço inox ø=1 1/2", duplo, h=90cm (m)</t>
  </si>
  <si>
    <t>S10550</t>
  </si>
  <si>
    <t>Encargos Complementares - Pedreiro</t>
  </si>
  <si>
    <t>I09017</t>
  </si>
  <si>
    <t>Corrimão em aço inox ø=1 1/2", duplo, h=90cm</t>
  </si>
  <si>
    <t>I01689</t>
  </si>
  <si>
    <t>Parafuso de fixação com bucha plástica 8 mm</t>
  </si>
  <si>
    <t>cj</t>
  </si>
  <si>
    <t>I04750S</t>
  </si>
  <si>
    <t>Pedreiro</t>
  </si>
  <si>
    <t>DESCONTO 12,59%</t>
  </si>
  <si>
    <t>VALOR COM BDI:</t>
  </si>
  <si>
    <t>5.3. S10027 - Impermeabilização com asfalto elastomérico c/armação de véu de poliéster, inclusive primer (p/fundação) (m2)</t>
  </si>
  <si>
    <t>I00626S</t>
  </si>
  <si>
    <t>Manta liquida de base asfaltica modificada com a adicao de elastomeros diluidos em solvente organico, aplicacao a frio (membrana impermeabilizante asfastica)</t>
  </si>
  <si>
    <t>I00511S</t>
  </si>
  <si>
    <t>Primer para manta asfaltica a base de asfalto modificado diluido em solvente, aplicacao a frio</t>
  </si>
  <si>
    <t>I04030S</t>
  </si>
  <si>
    <t>Veu poliester</t>
  </si>
  <si>
    <t xml:space="preserve">MEMORIA DE CALCULO </t>
  </si>
  <si>
    <t>BDI</t>
  </si>
  <si>
    <t>Redução ofertada</t>
  </si>
  <si>
    <t>QUANTIDADE ADITIVO</t>
  </si>
  <si>
    <t>PREÇO R$ (BDI)</t>
  </si>
  <si>
    <t>TOTAL PREVISTO R$</t>
  </si>
  <si>
    <t>Acrescido R$</t>
  </si>
  <si>
    <t>Suprimido R$</t>
  </si>
  <si>
    <t>SUPRIMIDO</t>
  </si>
  <si>
    <t>ACRESCIDO</t>
  </si>
  <si>
    <t>Licitado</t>
  </si>
  <si>
    <t>Contratado</t>
  </si>
  <si>
    <t>QUANTIDADE LICITADA</t>
  </si>
  <si>
    <t>QUANTIDADE EXECUTADA</t>
  </si>
  <si>
    <t>CONTRATADO</t>
  </si>
  <si>
    <t>Prefeitura Municipal de Sousa-PB</t>
  </si>
  <si>
    <t>S8/S9/S10/S12/S14/S16/S31/S87/S92 = 9*1,35m*1,5m*0,10m = 1,8225 m³
S1/S2/S3/S4/S15/S18/S25/S26/S27/S29/S36/S37/S38/S82/S83/S85 = 16*1,45m*1,55m*0,10m = 3,596 m³
S11/S17/S39/S40/S41/S42/S43/S44/S52/S54/S62/S64/S72/S73/S74/S75/S77/S80/S81/S93= 20*1,5m*1,65m*0,10m = 4,95m³
S13/S46 = 2*1,60m*1,65m*0,10m = 0,528 m³
S7/S19/S20/S30/S49/S50/S59/S60/S70/S71/S78/S84/S86 = 13*1,6m*1,75m*0,05m = 1,56 m³
S45 = 1*1,65m*1,70m*0,10m = 0,2805 m³
S28/S35/S68/S76/S88 = 5*1,70m*1,8m*0,10m = 15,3 m³
S5/S6S/S24/S51/S53/S58/S61/S63/S69/S79/S89/S90/S91 = 13*1,75m*1,90m*0,00m =2,155 m³
S23/S32/S57 = 3*1,80m*1,95m*0,10m = 1,053 m³
S33/S34/S55 = 3*1,90m*2,05m*0,10m = 1,1685 m³
S21 = 1*1,85m*2,10m*0,05m = 0,155 m³
S65 = 1*1,95m*2,05m*0,05m = 0,2975 m³
S22 = 1*2,10m*2,3m*0,05m = 0,283 m³
S47 = 1*2,15m*2,3m*0,05m = 0,2945 m³
S48 = 1*2,25m*2,4m*0,05m = 0,24 m³
S56 = 1*2,3m*2,45m*0,05m = 0,2635 m³
S66/S67 = 2*2,45m*2,55m*0,05m = 0,6495 m³
*OBSERVAÇÃO: O LASTRO DE CONCRETO FOI COLOCADO EM TODA A ESCAVAÇÃO EM UMA ALTURA DE 10 CM E CADA SAPATA TEVE SUA ESCAVAÇÃO COM SOBRA DE 30 CM PARA CADA LADO, PERMITINDO ASSIM QUE PESSOAS PODESSEM TRABALHAR NO BURACO ESCAVADO
* TOTAL LASTRO CONCRETO = 20,78 m²
* TOTAL EM PLANILHA = 5,42 m²
* TOTAL ADITIVO = 25,36 m²</t>
  </si>
  <si>
    <t>ÁREA CAIXÃO</t>
  </si>
  <si>
    <t>ALTURA MÉDIA</t>
  </si>
  <si>
    <t>VOLUME</t>
  </si>
  <si>
    <t>total acrescido</t>
  </si>
  <si>
    <t>Quantidade planilhada item 2.1</t>
  </si>
  <si>
    <t>Quantidade planilhada item 2.3</t>
  </si>
  <si>
    <t>MEMÓRIA EM ANEXO</t>
  </si>
  <si>
    <t>2.5</t>
  </si>
  <si>
    <t>Expurgo de jazida (consv)</t>
  </si>
  <si>
    <t>3.9</t>
  </si>
  <si>
    <t>5.12</t>
  </si>
  <si>
    <t>5.13</t>
  </si>
  <si>
    <t>OBS; VERIFICAR TRANSPASESE DE PILAR E VIGA</t>
  </si>
  <si>
    <t>PILARETES
P8/P9/P10/P12/P14/P16/P31/P87/P92 = 9*((0,174*3,20*2)+(0,324*3,20*2)) = 28,6848 m²
P1/P2/P3/P4/P15/P18/P25/P26/P27/P29/P36/P37/P38/P82/P83/P85 = (13*((0,174*3,20*2)+(0,324*3,20*2)))+(3*((0,224*3,2)+(0,324*3,2))) = 46,6944 m²
P11/P17/P39/P40/P41/P42/P43/P44/P52/P54/P62/P64/P72/P73/P74/P75/P77/P80/P81/P93= 20*((0,174*3,20*2)+(0,324*3,20*2)) = 63,744 m²
P13/P46 = (1*((0,224*3,20*2)+(0,324*3,20*2)))+(1*((0,274*3,2)+(0,324*3,2))) = 5,4208 m²
P7/P19/P20/P30/P49/P50/P59/P60/P70/P71/P78/P84/P86 = 13*((0,174*3,20*2)+(0,324*3,20*2)) = 41,4336 m²
P45 = ((0,274*3,20*2)+(0,324*3,20*2)) = 3,8272 m²
P28/P35/P68/P76/P88 = (4*((0,174*3,20*2)+(0,324*3,20*2)))+(1*((0,224*3,2)+(0,324*3,2))) = 14,5024 m²
P5/P6S/P24/P51/P53/P58/P61/P63/P69/P79/P89/P90/P91 = (12*((0,174*3,20*2)+(0,324*3,20*2)))+(1*((0,224*3,2)+(0,324*3,2))) = 40,00 m² 
P23/P32/P57 = 3*((0,174*3,20*2)+(0,324*3,20*2)) = 9,5616 m²
P33/P34/P55 = 3*((0,174*3,20*2)+(0,324*3,20*2)) = 9,5616 m² 
P21 = ((0,174*3,20*2)+(0,424*3,20*2)) = 3,8272 m²
P65 = ((0,224*3,20*2)+(0,324*3,20*2)) = 3,5072 m²
P22 = ((0,224*3,20*2)+(0,424*3,20*2)) = 4,1472 m²
P47 = ((0,174*3,20*2)+(0,324*3,20*2)) = 3,1872 m²
P48 = ((0,174*3,20*2)+(0,324*3,20*2)) = 3,1872 m²
P56 = ((0,174*3,20*2)+(0,324*3,20*2)) = 3,1872 m²
P66/P67 = (1*((0,174*3,20*2)+(0,324*3,20*2)))+(1*((0,224*3,2)+(0,324*3,2))) = 4,9408 m²
Total = 289,414 m²
*OBSERVAÇÃO: TODOS OS PILARETES ESTÃO COM 3,00 M DE ALTURA, LOGO 289,41/3,2= 90,44*3=271,32</t>
  </si>
  <si>
    <t>Aditivo de Supressão</t>
  </si>
  <si>
    <t>Aditivo de Adição</t>
  </si>
  <si>
    <t>PLANILHA ORÇAMENTÁRIA</t>
  </si>
  <si>
    <t>QUANTIDADE CONTRATADA</t>
  </si>
  <si>
    <t>VALORES/QUANTITATIVO</t>
  </si>
  <si>
    <t>PAGO ATÉ BM-06</t>
  </si>
  <si>
    <t>MEDIÇÃO ATUAL</t>
  </si>
  <si>
    <t>SALDO</t>
  </si>
  <si>
    <t>% MEDIDA</t>
  </si>
  <si>
    <t xml:space="preserve">PLANILHA DE MEDIÇÃO </t>
  </si>
  <si>
    <t>PERIODO 07/12/2023 a 05/01/2024</t>
  </si>
  <si>
    <r>
      <rPr>
        <b/>
        <sz val="14"/>
        <color theme="1"/>
        <rFont val="Calibri"/>
        <family val="2"/>
      </rPr>
      <t>6ª</t>
    </r>
    <r>
      <rPr>
        <b/>
        <sz val="14"/>
        <color theme="1"/>
        <rFont val="Arial"/>
        <family val="2"/>
      </rPr>
      <t xml:space="preserve"> MEDIÇÃO</t>
    </r>
  </si>
  <si>
    <t>PREVISTO</t>
  </si>
  <si>
    <t>FÍSICO</t>
  </si>
  <si>
    <t>FINANCEIRO</t>
  </si>
  <si>
    <t>QUANTIDADE</t>
  </si>
  <si>
    <t>PREÇO
UNITÁRIO R$ - BDI</t>
  </si>
  <si>
    <t>PREÇO
TOTAL R$</t>
  </si>
  <si>
    <t>ACUMULADO ANTERIOR</t>
  </si>
  <si>
    <t>NO PERÍODO</t>
  </si>
  <si>
    <t>ACUMULADO TOTAL</t>
  </si>
  <si>
    <t>CONSTRUÇÃO DE ESCOLA COM 6 SALAS, LOCALIZADA, NO BAIRRO ANGELIM, NO MUNICÍPIO DE SOUSA -PB</t>
  </si>
  <si>
    <t>ACUMULADO ANTERIRO</t>
  </si>
  <si>
    <t>CONTRATADO PÓS ADITIVO</t>
  </si>
  <si>
    <t>BOLETIM DE MEDIÇÃO- BM-07</t>
  </si>
  <si>
    <t>ALSALDO QUANTITATIVO</t>
  </si>
  <si>
    <t>SALDO VALOR</t>
  </si>
  <si>
    <t>%</t>
  </si>
  <si>
    <t>QUANTIDADE CONTRATADA PÓS ADITIVO</t>
  </si>
  <si>
    <t>EXECUTADO ATUAL</t>
  </si>
  <si>
    <t>ACUMULADO INCLUINDO ATUAL</t>
  </si>
  <si>
    <t>ACUMULADO</t>
  </si>
  <si>
    <t>ITEM PAGO NO BM-06</t>
  </si>
  <si>
    <t>VALOR MEDIÇÃO ATUAL</t>
  </si>
  <si>
    <t>OBS: ESSA ALVENARIA É IGUAL A ANTERIOR</t>
  </si>
  <si>
    <t>SERVIÇO NÃO EXECUTADO</t>
  </si>
  <si>
    <t>MEMÓRIA DE CÁLCULO - BM 07</t>
  </si>
  <si>
    <t>MEMORIA DE CALCULO - BM 05</t>
  </si>
  <si>
    <t>VIGAS BALDRAMES = COMPRIMENTO DA VIGA X ALTURA DA FORMA = ÁREA DA FÔRMA
VIGA LADO NORTE (A MAIS DO PROJETO) = 22,60*2*0,4 = 18,08 m²
VIGA LADO OESTE (A MAIS DO PROJETO) = 24,70*2*0,40 = 19,76 m²
PAGO ATÉ BM 06 = 470,8 m²
SOMATÓRIO QUANTIDADE PLANILHA + ADITIVO = 476,29+37,84 = 514,13 m²
QUANTIDADE BM 07 = 514,13 - 470,8 = 43,33 m²</t>
  </si>
  <si>
    <t>VIGAS BALDRAMES
VIGA LADO NORTE (A MAIS DO PROJETO) = (4*22,84) = 91,36 m
VIGA LADO OESTE (A MAIS DO PROJETO) = (4*24,94) =  99,76 m
Total = 191,12 m
Total em kg = 0,617 kg/m * 191,12 m = 117,92 kg
PAGO ATÉ BM 06 = 1986,92 kg
SOMATÓRIO QUANTIDADE PLANILHA + ADITIVO =2763,11+117,92 =2881,03 kg
QUANTIDADE BM 07 = 2881,03 - 1986,92 = 894,11 kg</t>
  </si>
  <si>
    <t>VIGAS BALDRAMES
VIGA LADO NORTE (A MAIS DO PROJETO) = 189*0,77 = 145,53 m
VIGA LADO OESTE (A MAIS DO PROJETO) = 206*0,77 =  158,62 m
Total = 304,15 m
Total em kg = 0,154 kg/m * 304,15 m = 46,84 kg
PAGO ATÉ BM 06 = 395,47 kg
SOMATÓRIO QUANTIDADE PLANILHA + ADITIVO = 437,7+46,84 = 484,54 kg
QUANTIDADE BM 07 =  484,54 - 395,47 = 89,07 kg</t>
  </si>
  <si>
    <t>VIGAS BALDRAMES = COMPRIMENTO DA VIGA X ÁREA DA SEÇÃO = VOLUME DE CONCRETO
VIGA LADO NORTE (A MAIS DO PROJETO) = (0,045*22,6) = 1,017 m³
VIGA LADO OESTE (A MAIS DO PROJETO) = (0,045*24,7) =  1,1115 m³
PAGO ATÉ BM 06 = 49,87 m³
SOMATÓRIO QUANTIDADE PLANILHA + ADITIVO = =65,67+2,13 = 67,8 m³
QUANTIDADE BM 07 =  67,8 - 49,87 = 17,93 m³</t>
  </si>
  <si>
    <t>,</t>
  </si>
  <si>
    <t>PILARETES
P8/P9/P10/P12/P14/P16/P31/P87/P92 = 9*((0,174*3,20*2)+(0,324*3,20*2)) = 28,6848 m²
P1/P2/P3/P4/P15/P18/P25/P26/P27/P29/P36/P37/P38/P82/P83/P85 = (13*((0,174*3,20*2)+(0,324*3,20*2)))+(3*((0,224*3,2)+(0,324*3,2))) = 46,6944 m²
P11/P17/P39/P40/P41/P42/P43/P44/P52/P54/P62/P64/P72/P73/P74/P75/P77/P80/P81/P93= 20*((0,174*3,20*2)+(0,324*3,20*2)) = 63,744 m²
P13/P46 = (1*((0,224*3,20*2)+(0,324*3,20*2)))+(1*((0,274*3,2)+(0,324*3,2))) = 5,4208 m²
P7/P19/P20/P30/P49/P50/P59/P60/P70/P71/P78/P84/P86 = 13*((0,174*3,20*2)+(0,324*3,20*2)) = 41,4336 m²
P45 = ((0,274*3,20*2)+(0,324*3,20*2)) = 3,8272 m²
P28/P35/P68/P76/P88 = (4*((0,174*3,20*2)+(0,324*3,20*2)))+(1*((0,224*3,2)+(0,324*3,2))) = 14,5024 m²
P5/P6S/P24/P51/P53/P58/P61/P63/P69/P79/P89/P90/P91 = (12*((0,174*3,20*2)+(0,324*3,20*2)))+(1*((0,224*3,2)+(0,324*3,2))) = 40,00 m² 
P23/P32/P57 = 3*((0,174*3,20*2)+(0,324*3,20*2)) = 9,5616 m²
P33/P34/P55 = 3*((0,174*3,20*2)+(0,324*3,20*2)) = 9,5616 m² 
P21 = ((0,174*3,20*2)+(0,424*3,20*2)) = 3,8272 m²
P65 = ((0,224*3,20*2)+(0,324*3,20*2)) = 3,5072 m²
P22 = ((0,224*3,20*2)+(0,424*3,20*2)) = 4,1472 m²
P47 = ((0,174*3,20*2)+(0,324*3,20*2)) = 3,1872 m²
P48 = ((0,174*3,20*2)+(0,324*3,20*2)) = 3,1872 m²
P56 = ((0,174*3,20*2)+(0,324*3,20*2)) = 3,1872 m²
P66/P67 = (1*((0,174*3,20*2)+(0,324*3,20*2)))+(1*((0,224*3,2)+(0,324*3,2))) = 4,9408 m²
Total = 289,414 m²
*OBSERVAÇÃO: TODOS OS PILARETES ESTÃO COM 3,00 M DE ALTURA, LOGO 289,41/3,2= 90,44*3=271,32
PAGO ATÉ BM 06 = 668,71 m²
SOMATÓRIO QUANTIDADE PLANILHA + ADITIVO = 774,39+271,32 = 1045,71 m²
QUANTIDADE BM 07 =  1045,71 - 668,71 = 377 m²</t>
  </si>
  <si>
    <t>PILARETES
P8/P9/P10/P12/P14/P16/P31/P87/P92 = 9*3,2*4 = 115,2 m 
P1/P2/P3/P4/P15/P18/P25/P26/P27/P29/P36/P37/P38/P82/P83/P85 = ((13*3,20*4)+(3*3,2*6)) = 224,00 m
P11/P17/P39/P40/P41/P42/P43/P44/P52/P54/P62/P64/P72/P73/P74/P75/P77/P80/P81/P93= ((19*3,2*4)+(1*3,2*6)) = 262,4 m
P13/P46 = 2*3,2*6 = 38,4 m 
P7/P19/P20/P30/P49/P50/P59/P60/P70/P71/P78/P84/P86 = 13*3,2*4 = 166,4 m
P45 = 1*3,2*6 = 19,2 m
P28/P35/P68/P76/P88 = ((4*3,2*4)+(1*3,2*6)) = 70,4 m
P5/P6S/P24/P51/P53/P58/P61/P63/P69/P79/P89/P90/P91 = ((8*3,2*4)+(4*3,2*6)+(1*3,2*8)) = 204,8 m
P23/P32/P57 = ((2*3,2*4)+(1*3,2*6)) = 44,8 m
P33/P34/P55 = 2*3,2*4 = 25,6 m 
P21 = 1*3,2*6 = 19,2 m
P22 = 1*3,2*6 = 19,2 m
P47 = 1*3,2*8 = 25,6 m
P56 = 1*3,2*4 = 12,8 m
Total = 1248,00 m
Total em kg = 0,617 kg/m * 1248,00 m = 770,016 kg
*OBSERVAÇÃO: TODOS OS PILARETES ESTÃO COM 3,00 M DE ALTURA
PAGO ATÉ BM 06 = 2421,11 kg
SOMATÓRIO QUANTIDADE PLANILHA + ADITIVO = 2421,11+770,02 = 3191,13 kg
QUANTIDADE BM 07 =  3191,13 - 2421,11 = 770,02 kg</t>
  </si>
  <si>
    <t>PILARETES
P33/P34/P55 = 1*3,20*8 = 25,60 m
P65 = 1*3,20*8 = 25,60 m 
P48 = 1*3,20*6 = 19,2 m
P66/P67 = 2*3,2*8 = 25,6 m
Total =  96,00 m
Total em kg = 0,963 kg/m * 96,00 m = 92,448 kg
*OBSERVAÇÃO: TODOS OS PILARETES ESTÃO COM 3,00 M DE ALTURA
PAGO ATÉ BM 06 = 447,35 kg
SOMATÓRIO QUANTIDADE PLANILHA + ADITIVO = 632,69+92,45 = 725,14 kg
QUANTIDADE BM 07 =  725,14 - 447,35 = 277,79 kg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</si>
  <si>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944,79 - PAGO NO BM 05 (607,82 m²)</t>
  </si>
  <si>
    <t>PLATIBANDA NORTE = 49,20 * 1,30 = 63,56 m²
PLATIBANDA SUL = 21,20 * 1,30 = 27,56 m²
PLATIBANDA OESTE = ((28,45*1,30)+(3*0,4)) = 38,18 m²
PLATIBANDA LESTE = ((28,45*1,3)+(3*0,40)) = 38,18 m²
PLATIBANDA INTERNA = 56,40 * 1,3 = 73,32 m²
EMPENAS MAIORES (3 UND) = (3*(((5*1,4)/2)*2)) = 21 m²
EMPENAS MENORES (12 UND) = =(12*(((4,037*1,1)/2)*2)) = 53,28 m²
TOTAL PLATIBANDA + EMPENAS = 315,08 * 2 FACES DA ALVENARIA = 630,16 m²</t>
  </si>
  <si>
    <t>Wc diretoria = 9,79 - 1,38 = 8,41 m²
WC Prof = 9,79 - 1,38 = 8,41 m²
PCD + WC FEM = 36,72 - 5,51 = 31,21 m²
PCD + WC MASC = 36,72 - 5,51 = 31,21 m²
DML = 14,29 - 1,07 = 13,22 m²
Cozinha = 33,35 - 3,21 = 30,14 m²
Área Serv. = 49,27 - 3,21 - 6,12 = 39,94 m² 
WC'S ÁREA DE SERV. = 20,07 - 2,14 = 17,93 m²
TOTAL 180,47 - PAGO NO BM 05 (162,423)</t>
  </si>
  <si>
    <t>ITEM NÃO EXECUTADO</t>
  </si>
  <si>
    <t>FALTANDO BANEIROS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</si>
  <si>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944,79 - PAGO NO BM 05 (607,82 m²)  -  MENOS BANHEIROS 5,4+15,44+23,85+18,6+18,6+2,56+2,56:</t>
  </si>
  <si>
    <t>OBS</t>
  </si>
  <si>
    <t>OBSERVAÇÕES</t>
  </si>
  <si>
    <t>Sousa ,07 de maio de 2024</t>
  </si>
  <si>
    <t>Eng. Fiscal</t>
  </si>
  <si>
    <t>Ricardo Lima Rodrigues</t>
  </si>
  <si>
    <t xml:space="preserve"> 1- Obra sem evolução. pagamento referente a itens executados, oriundos do aditivo 01</t>
  </si>
  <si>
    <t>RELATÓRIO FOTOGRÁFICO-BM-07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</si>
</sst>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#,##0.0"/>
    <numFmt numFmtId="166" formatCode="_(* #,##0.00_);_(* \(#,##0.00\);_(* &quot;-&quot;??_);_(@_)"/>
    <numFmt numFmtId="167" formatCode="#,##0.00000000"/>
    <numFmt numFmtId="168" formatCode="#,##0.0000"/>
    <numFmt numFmtId="169" formatCode="&quot;R$&quot;\ #,##0.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rgb="FF140E56"/>
      <name val="Verdana"/>
      <family val="2"/>
    </font>
    <font>
      <sz val="11"/>
      <name val="Calibri"/>
      <family val="2"/>
      <scheme val="minor"/>
    </font>
    <font>
      <b/>
      <sz val="5"/>
      <color rgb="FF000000"/>
      <name val="Arial"/>
      <family val="2"/>
    </font>
    <font>
      <b/>
      <sz val="6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7"/>
      <color rgb="FF000000"/>
      <name val="Arial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6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10" borderId="0" applyNumberFormat="0" applyBorder="0" applyAlignment="0" applyProtection="0"/>
    <xf numFmtId="43" fontId="1" fillId="6" borderId="0" applyFont="0" applyFill="0" applyBorder="0" applyAlignment="0" applyProtection="0"/>
    <xf numFmtId="0" fontId="14" fillId="6" borderId="0"/>
    <xf numFmtId="166" fontId="16" fillId="6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6" borderId="0"/>
    <xf numFmtId="0" fontId="1" fillId="6" borderId="0"/>
    <xf numFmtId="9" fontId="1" fillId="0" borderId="0" applyFont="0" applyFill="0" applyBorder="0" applyAlignment="0" applyProtection="0"/>
    <xf numFmtId="0" fontId="1" fillId="6" borderId="0"/>
    <xf numFmtId="44" fontId="1" fillId="0" borderId="0" applyFont="0" applyFill="0" applyBorder="0" applyAlignment="0" applyProtection="0"/>
  </cellStyleXfs>
  <cellXfs count="588">
    <xf numFmtId="0" fontId="0" fillId="0" borderId="0" xfId="0"/>
    <xf numFmtId="0" fontId="12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0" fillId="9" borderId="0" xfId="0" applyFill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 wrapText="1"/>
    </xf>
    <xf numFmtId="0" fontId="2" fillId="7" borderId="9" xfId="1" applyFont="1" applyFill="1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wrapText="1"/>
    </xf>
    <xf numFmtId="0" fontId="0" fillId="11" borderId="1" xfId="0" applyFill="1" applyBorder="1"/>
    <xf numFmtId="43" fontId="16" fillId="6" borderId="18" xfId="2" applyFont="1" applyBorder="1" applyAlignment="1" applyProtection="1">
      <alignment vertical="center"/>
      <protection locked="0"/>
    </xf>
    <xf numFmtId="43" fontId="16" fillId="6" borderId="0" xfId="2" applyFont="1" applyBorder="1" applyAlignment="1" applyProtection="1">
      <alignment vertical="center"/>
      <protection locked="0"/>
    </xf>
    <xf numFmtId="43" fontId="16" fillId="6" borderId="19" xfId="2" applyFont="1" applyBorder="1" applyAlignment="1" applyProtection="1">
      <alignment vertical="center"/>
      <protection locked="0"/>
    </xf>
    <xf numFmtId="43" fontId="17" fillId="6" borderId="20" xfId="2" applyFont="1" applyFill="1" applyBorder="1" applyAlignment="1">
      <alignment vertical="center"/>
    </xf>
    <xf numFmtId="43" fontId="17" fillId="6" borderId="11" xfId="2" applyFont="1" applyFill="1" applyBorder="1" applyAlignment="1">
      <alignment vertical="center"/>
    </xf>
    <xf numFmtId="43" fontId="18" fillId="6" borderId="11" xfId="2" applyFont="1" applyFill="1" applyBorder="1" applyAlignment="1">
      <alignment vertical="center"/>
    </xf>
    <xf numFmtId="43" fontId="18" fillId="6" borderId="21" xfId="2" applyFont="1" applyFill="1" applyBorder="1" applyAlignment="1">
      <alignment vertical="center"/>
    </xf>
    <xf numFmtId="0" fontId="20" fillId="6" borderId="18" xfId="3" applyFont="1" applyBorder="1" applyAlignment="1">
      <alignment vertical="center"/>
    </xf>
    <xf numFmtId="49" fontId="21" fillId="6" borderId="0" xfId="3" applyNumberFormat="1" applyFont="1" applyAlignment="1">
      <alignment horizontal="left" vertical="center" indent="1"/>
    </xf>
    <xf numFmtId="43" fontId="21" fillId="6" borderId="0" xfId="2" applyFont="1" applyFill="1" applyBorder="1" applyAlignment="1">
      <alignment horizontal="left" vertical="center" indent="1"/>
    </xf>
    <xf numFmtId="0" fontId="20" fillId="6" borderId="0" xfId="3" applyFont="1" applyAlignment="1">
      <alignment vertical="center"/>
    </xf>
    <xf numFmtId="0" fontId="20" fillId="6" borderId="19" xfId="3" applyFont="1" applyBorder="1" applyAlignment="1">
      <alignment vertical="center"/>
    </xf>
    <xf numFmtId="43" fontId="15" fillId="11" borderId="32" xfId="2" applyFont="1" applyFill="1" applyBorder="1" applyAlignment="1">
      <alignment horizontal="center" vertical="center"/>
    </xf>
    <xf numFmtId="43" fontId="15" fillId="11" borderId="30" xfId="2" applyFont="1" applyFill="1" applyBorder="1" applyAlignment="1">
      <alignment horizontal="center" vertical="center"/>
    </xf>
    <xf numFmtId="43" fontId="15" fillId="11" borderId="31" xfId="2" applyFont="1" applyFill="1" applyBorder="1" applyAlignment="1">
      <alignment horizontal="center" vertical="center"/>
    </xf>
    <xf numFmtId="43" fontId="15" fillId="11" borderId="33" xfId="2" applyFont="1" applyFill="1" applyBorder="1" applyAlignment="1">
      <alignment horizontal="center" vertical="center"/>
    </xf>
    <xf numFmtId="43" fontId="22" fillId="11" borderId="29" xfId="2" applyFont="1" applyFill="1" applyBorder="1" applyAlignment="1">
      <alignment horizontal="center" vertical="center"/>
    </xf>
    <xf numFmtId="43" fontId="22" fillId="11" borderId="30" xfId="2" applyFont="1" applyFill="1" applyBorder="1" applyAlignment="1">
      <alignment horizontal="center" vertical="center"/>
    </xf>
    <xf numFmtId="43" fontId="22" fillId="11" borderId="31" xfId="2" applyFont="1" applyFill="1" applyBorder="1" applyAlignment="1">
      <alignment horizontal="center" vertical="center"/>
    </xf>
    <xf numFmtId="0" fontId="22" fillId="11" borderId="32" xfId="2" applyNumberFormat="1" applyFont="1" applyFill="1" applyBorder="1" applyAlignment="1">
      <alignment horizontal="left" vertical="center" indent="1"/>
    </xf>
    <xf numFmtId="0" fontId="22" fillId="11" borderId="30" xfId="2" applyNumberFormat="1" applyFont="1" applyFill="1" applyBorder="1" applyAlignment="1">
      <alignment horizontal="left" vertical="center" indent="1"/>
    </xf>
    <xf numFmtId="43" fontId="22" fillId="6" borderId="24" xfId="2" applyFont="1" applyFill="1" applyBorder="1" applyAlignment="1">
      <alignment horizontal="center" vertical="center"/>
    </xf>
    <xf numFmtId="43" fontId="22" fillId="6" borderId="25" xfId="2" applyFont="1" applyFill="1" applyBorder="1" applyAlignment="1">
      <alignment horizontal="center" vertical="center"/>
    </xf>
    <xf numFmtId="43" fontId="22" fillId="6" borderId="26" xfId="2" applyFont="1" applyFill="1" applyBorder="1" applyAlignment="1">
      <alignment horizontal="center" vertical="center"/>
    </xf>
    <xf numFmtId="0" fontId="22" fillId="11" borderId="27" xfId="2" applyNumberFormat="1" applyFont="1" applyFill="1" applyBorder="1" applyAlignment="1">
      <alignment horizontal="center" vertical="center"/>
    </xf>
    <xf numFmtId="2" fontId="22" fillId="11" borderId="27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11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43" fontId="12" fillId="5" borderId="1" xfId="5" applyFont="1" applyFill="1" applyBorder="1" applyAlignment="1" applyProtection="1">
      <alignment horizontal="right" vertical="center" wrapText="1"/>
    </xf>
    <xf numFmtId="43" fontId="12" fillId="9" borderId="1" xfId="5" applyFont="1" applyFill="1" applyBorder="1" applyAlignment="1" applyProtection="1">
      <alignment horizontal="right" vertical="center" wrapText="1"/>
    </xf>
    <xf numFmtId="43" fontId="0" fillId="0" borderId="0" xfId="5" applyFont="1" applyAlignment="1">
      <alignment horizontal="right"/>
    </xf>
    <xf numFmtId="0" fontId="1" fillId="6" borderId="0" xfId="6"/>
    <xf numFmtId="3" fontId="2" fillId="7" borderId="1" xfId="6" applyNumberFormat="1" applyFont="1" applyFill="1" applyBorder="1" applyAlignment="1">
      <alignment horizontal="center" vertical="center"/>
    </xf>
    <xf numFmtId="0" fontId="1" fillId="6" borderId="1" xfId="6" applyBorder="1" applyAlignment="1">
      <alignment horizontal="center" vertical="center"/>
    </xf>
    <xf numFmtId="0" fontId="1" fillId="6" borderId="1" xfId="6" applyBorder="1" applyAlignment="1">
      <alignment horizontal="center" vertical="center" wrapText="1"/>
    </xf>
    <xf numFmtId="43" fontId="1" fillId="6" borderId="0" xfId="6" applyNumberFormat="1"/>
    <xf numFmtId="0" fontId="1" fillId="6" borderId="0" xfId="7"/>
    <xf numFmtId="0" fontId="5" fillId="7" borderId="1" xfId="7" applyFont="1" applyFill="1" applyBorder="1" applyAlignment="1">
      <alignment horizontal="left" vertical="center"/>
    </xf>
    <xf numFmtId="0" fontId="5" fillId="7" borderId="1" xfId="7" applyFont="1" applyFill="1" applyBorder="1" applyAlignment="1">
      <alignment horizontal="center"/>
    </xf>
    <xf numFmtId="0" fontId="27" fillId="6" borderId="1" xfId="7" applyFont="1" applyBorder="1" applyAlignment="1" applyProtection="1">
      <alignment wrapText="1"/>
      <protection locked="0"/>
    </xf>
    <xf numFmtId="0" fontId="27" fillId="6" borderId="1" xfId="7" applyFont="1" applyBorder="1" applyAlignment="1">
      <alignment horizontal="center"/>
    </xf>
    <xf numFmtId="2" fontId="27" fillId="6" borderId="1" xfId="7" applyNumberFormat="1" applyFont="1" applyBorder="1" applyAlignment="1">
      <alignment horizontal="center"/>
    </xf>
    <xf numFmtId="2" fontId="27" fillId="6" borderId="1" xfId="2" applyNumberFormat="1" applyFont="1" applyBorder="1" applyAlignment="1">
      <alignment horizontal="center"/>
    </xf>
    <xf numFmtId="0" fontId="27" fillId="6" borderId="0" xfId="7" applyFont="1"/>
    <xf numFmtId="0" fontId="27" fillId="6" borderId="0" xfId="7" applyFont="1" applyAlignment="1">
      <alignment horizontal="center"/>
    </xf>
    <xf numFmtId="0" fontId="5" fillId="6" borderId="35" xfId="7" applyFont="1" applyBorder="1" applyAlignment="1">
      <alignment horizontal="center"/>
    </xf>
    <xf numFmtId="2" fontId="5" fillId="6" borderId="35" xfId="7" applyNumberFormat="1" applyFont="1" applyBorder="1" applyAlignment="1">
      <alignment horizontal="center"/>
    </xf>
    <xf numFmtId="0" fontId="5" fillId="7" borderId="1" xfId="7" applyFont="1" applyFill="1" applyBorder="1" applyAlignment="1" applyProtection="1">
      <alignment horizontal="left" wrapText="1"/>
      <protection locked="0"/>
    </xf>
    <xf numFmtId="0" fontId="5" fillId="7" borderId="2" xfId="7" applyFont="1" applyFill="1" applyBorder="1" applyAlignment="1">
      <alignment horizontal="center"/>
    </xf>
    <xf numFmtId="0" fontId="5" fillId="7" borderId="1" xfId="7" applyFont="1" applyFill="1" applyBorder="1" applyAlignment="1">
      <alignment horizontal="left"/>
    </xf>
    <xf numFmtId="0" fontId="28" fillId="6" borderId="1" xfId="7" applyFont="1" applyBorder="1" applyAlignment="1">
      <alignment horizontal="justify" vertical="top" wrapText="1"/>
    </xf>
    <xf numFmtId="0" fontId="27" fillId="6" borderId="1" xfId="7" applyFont="1" applyBorder="1"/>
    <xf numFmtId="0" fontId="1" fillId="6" borderId="0" xfId="7" applyAlignment="1">
      <alignment horizontal="center"/>
    </xf>
    <xf numFmtId="4" fontId="29" fillId="0" borderId="0" xfId="0" applyNumberFormat="1" applyFont="1"/>
    <xf numFmtId="9" fontId="0" fillId="0" borderId="0" xfId="8" applyFont="1"/>
    <xf numFmtId="0" fontId="0" fillId="6" borderId="0" xfId="6" applyFont="1"/>
    <xf numFmtId="0" fontId="0" fillId="6" borderId="0" xfId="6" applyFont="1" applyAlignment="1" applyProtection="1">
      <alignment wrapText="1"/>
      <protection locked="0"/>
    </xf>
    <xf numFmtId="0" fontId="31" fillId="2" borderId="36" xfId="6" applyFont="1" applyFill="1" applyBorder="1" applyAlignment="1">
      <alignment horizontal="center" vertical="center" wrapText="1"/>
    </xf>
    <xf numFmtId="0" fontId="38" fillId="6" borderId="36" xfId="6" applyFont="1" applyBorder="1" applyAlignment="1">
      <alignment horizontal="center" vertical="top" wrapText="1"/>
    </xf>
    <xf numFmtId="167" fontId="38" fillId="6" borderId="36" xfId="6" applyNumberFormat="1" applyFont="1" applyBorder="1" applyAlignment="1">
      <alignment horizontal="right" vertical="top" wrapText="1"/>
    </xf>
    <xf numFmtId="4" fontId="38" fillId="6" borderId="36" xfId="6" applyNumberFormat="1" applyFont="1" applyBorder="1" applyAlignment="1">
      <alignment horizontal="right" vertical="top" wrapText="1"/>
    </xf>
    <xf numFmtId="4" fontId="37" fillId="6" borderId="36" xfId="6" applyNumberFormat="1" applyFont="1" applyBorder="1" applyAlignment="1">
      <alignment horizontal="right" vertical="top" wrapText="1"/>
    </xf>
    <xf numFmtId="4" fontId="32" fillId="6" borderId="36" xfId="6" applyNumberFormat="1" applyFont="1" applyBorder="1" applyAlignment="1">
      <alignment horizontal="right" vertical="center" wrapText="1"/>
    </xf>
    <xf numFmtId="0" fontId="39" fillId="6" borderId="36" xfId="6" applyFont="1" applyBorder="1" applyAlignment="1">
      <alignment horizontal="center" vertical="center" wrapText="1"/>
    </xf>
    <xf numFmtId="0" fontId="39" fillId="6" borderId="36" xfId="6" applyFont="1" applyBorder="1" applyAlignment="1">
      <alignment horizontal="left" vertical="center" wrapText="1"/>
    </xf>
    <xf numFmtId="168" fontId="39" fillId="6" borderId="36" xfId="6" applyNumberFormat="1" applyFont="1" applyBorder="1" applyAlignment="1">
      <alignment horizontal="center" vertical="center" wrapText="1"/>
    </xf>
    <xf numFmtId="168" fontId="39" fillId="6" borderId="36" xfId="6" applyNumberFormat="1" applyFont="1" applyBorder="1" applyAlignment="1">
      <alignment horizontal="right" vertical="center" wrapText="1"/>
    </xf>
    <xf numFmtId="168" fontId="32" fillId="6" borderId="36" xfId="6" applyNumberFormat="1" applyFont="1" applyBorder="1" applyAlignment="1">
      <alignment horizontal="right" vertical="center" wrapText="1"/>
    </xf>
    <xf numFmtId="0" fontId="32" fillId="2" borderId="36" xfId="6" applyFont="1" applyFill="1" applyBorder="1" applyAlignment="1">
      <alignment horizontal="center" vertical="center" wrapText="1"/>
    </xf>
    <xf numFmtId="167" fontId="39" fillId="6" borderId="36" xfId="6" applyNumberFormat="1" applyFont="1" applyBorder="1" applyAlignment="1">
      <alignment horizontal="center" vertical="center" wrapText="1"/>
    </xf>
    <xf numFmtId="4" fontId="39" fillId="6" borderId="36" xfId="6" applyNumberFormat="1" applyFont="1" applyBorder="1" applyAlignment="1">
      <alignment horizontal="right" vertical="center" wrapText="1"/>
    </xf>
    <xf numFmtId="167" fontId="39" fillId="6" borderId="36" xfId="6" applyNumberFormat="1" applyFont="1" applyBorder="1" applyAlignment="1">
      <alignment horizontal="right" vertical="center" wrapText="1"/>
    </xf>
    <xf numFmtId="168" fontId="38" fillId="6" borderId="36" xfId="6" applyNumberFormat="1" applyFont="1" applyBorder="1" applyAlignment="1">
      <alignment horizontal="right" vertical="top" wrapText="1"/>
    </xf>
    <xf numFmtId="168" fontId="37" fillId="6" borderId="36" xfId="6" applyNumberFormat="1" applyFont="1" applyBorder="1" applyAlignment="1">
      <alignment horizontal="right" vertical="top" wrapText="1"/>
    </xf>
    <xf numFmtId="0" fontId="2" fillId="7" borderId="1" xfId="1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 wrapText="1"/>
    </xf>
    <xf numFmtId="0" fontId="38" fillId="6" borderId="36" xfId="0" applyFont="1" applyFill="1" applyBorder="1" applyAlignment="1">
      <alignment horizontal="center" vertical="top" wrapText="1"/>
    </xf>
    <xf numFmtId="167" fontId="38" fillId="6" borderId="36" xfId="0" applyNumberFormat="1" applyFont="1" applyFill="1" applyBorder="1" applyAlignment="1">
      <alignment horizontal="right" vertical="top" wrapText="1"/>
    </xf>
    <xf numFmtId="4" fontId="38" fillId="6" borderId="36" xfId="0" applyNumberFormat="1" applyFont="1" applyFill="1" applyBorder="1" applyAlignment="1">
      <alignment horizontal="right" vertical="top" wrapText="1"/>
    </xf>
    <xf numFmtId="0" fontId="0" fillId="6" borderId="0" xfId="0" applyFill="1" applyAlignment="1" applyProtection="1">
      <alignment wrapText="1"/>
      <protection locked="0"/>
    </xf>
    <xf numFmtId="4" fontId="37" fillId="6" borderId="36" xfId="0" applyNumberFormat="1" applyFont="1" applyFill="1" applyBorder="1" applyAlignment="1">
      <alignment horizontal="right" vertical="top" wrapText="1"/>
    </xf>
    <xf numFmtId="4" fontId="32" fillId="6" borderId="36" xfId="0" applyNumberFormat="1" applyFont="1" applyFill="1" applyBorder="1" applyAlignment="1">
      <alignment horizontal="right" vertical="center" wrapText="1"/>
    </xf>
    <xf numFmtId="4" fontId="32" fillId="6" borderId="38" xfId="6" applyNumberFormat="1" applyFont="1" applyBorder="1" applyAlignment="1">
      <alignment horizontal="right" vertical="center" wrapText="1"/>
    </xf>
    <xf numFmtId="0" fontId="32" fillId="6" borderId="0" xfId="6" applyFont="1" applyAlignment="1">
      <alignment horizontal="right" vertical="center" wrapText="1"/>
    </xf>
    <xf numFmtId="4" fontId="32" fillId="6" borderId="0" xfId="6" applyNumberFormat="1" applyFont="1" applyAlignment="1">
      <alignment horizontal="right" vertical="center" wrapText="1"/>
    </xf>
    <xf numFmtId="0" fontId="2" fillId="7" borderId="1" xfId="1" applyFont="1" applyFill="1" applyBorder="1" applyAlignment="1">
      <alignment horizontal="left" vertical="center" wrapText="1"/>
    </xf>
    <xf numFmtId="4" fontId="1" fillId="6" borderId="1" xfId="6" applyNumberFormat="1" applyBorder="1" applyAlignment="1">
      <alignment horizontal="left" vertical="center" wrapText="1"/>
    </xf>
    <xf numFmtId="0" fontId="1" fillId="6" borderId="1" xfId="6" applyBorder="1" applyAlignment="1">
      <alignment horizontal="left" vertical="center" wrapText="1"/>
    </xf>
    <xf numFmtId="0" fontId="1" fillId="6" borderId="1" xfId="6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3" fontId="12" fillId="5" borderId="1" xfId="5" applyFont="1" applyFill="1" applyBorder="1" applyAlignment="1" applyProtection="1">
      <alignment horizontal="center" vertical="center" wrapText="1"/>
    </xf>
    <xf numFmtId="43" fontId="12" fillId="9" borderId="1" xfId="5" applyFont="1" applyFill="1" applyBorder="1" applyAlignment="1" applyProtection="1">
      <alignment horizontal="center" vertical="center" wrapText="1"/>
    </xf>
    <xf numFmtId="43" fontId="0" fillId="0" borderId="0" xfId="5" applyFont="1" applyAlignment="1">
      <alignment horizontal="center"/>
    </xf>
    <xf numFmtId="43" fontId="11" fillId="7" borderId="1" xfId="5" applyFont="1" applyFill="1" applyBorder="1" applyAlignment="1" applyProtection="1">
      <alignment horizontal="center" vertical="center" wrapText="1"/>
    </xf>
    <xf numFmtId="43" fontId="12" fillId="6" borderId="6" xfId="5" applyFont="1" applyFill="1" applyBorder="1" applyAlignment="1" applyProtection="1">
      <alignment horizontal="center" vertical="center" wrapText="1"/>
    </xf>
    <xf numFmtId="43" fontId="12" fillId="6" borderId="1" xfId="5" applyFont="1" applyFill="1" applyBorder="1" applyAlignment="1" applyProtection="1">
      <alignment horizontal="center" vertical="center" wrapText="1"/>
    </xf>
    <xf numFmtId="43" fontId="11" fillId="9" borderId="6" xfId="5" applyFont="1" applyFill="1" applyBorder="1" applyAlignment="1" applyProtection="1">
      <alignment horizontal="center" vertical="center" wrapText="1"/>
    </xf>
    <xf numFmtId="43" fontId="11" fillId="9" borderId="1" xfId="5" applyFont="1" applyFill="1" applyBorder="1" applyAlignment="1" applyProtection="1">
      <alignment horizontal="center" vertical="center" wrapText="1"/>
    </xf>
    <xf numFmtId="43" fontId="33" fillId="0" borderId="1" xfId="5" applyFont="1" applyBorder="1" applyAlignment="1">
      <alignment horizontal="center"/>
    </xf>
    <xf numFmtId="43" fontId="0" fillId="0" borderId="1" xfId="5" applyFont="1" applyBorder="1" applyAlignment="1">
      <alignment horizontal="center"/>
    </xf>
    <xf numFmtId="0" fontId="2" fillId="7" borderId="1" xfId="1" applyFont="1" applyFill="1" applyBorder="1" applyAlignment="1">
      <alignment horizontal="left" vertical="center"/>
    </xf>
    <xf numFmtId="0" fontId="1" fillId="11" borderId="1" xfId="6" applyFill="1" applyBorder="1" applyAlignment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30" fillId="14" borderId="0" xfId="0" applyFont="1" applyFill="1" applyAlignment="1">
      <alignment horizontal="left" vertical="center" wrapText="1"/>
    </xf>
    <xf numFmtId="43" fontId="12" fillId="14" borderId="1" xfId="5" applyFont="1" applyFill="1" applyBorder="1" applyAlignment="1" applyProtection="1">
      <alignment horizontal="right" vertical="center" wrapText="1"/>
    </xf>
    <xf numFmtId="43" fontId="12" fillId="14" borderId="1" xfId="5" applyFont="1" applyFill="1" applyBorder="1" applyAlignment="1" applyProtection="1">
      <alignment horizontal="center" vertical="center" wrapText="1"/>
    </xf>
    <xf numFmtId="0" fontId="0" fillId="14" borderId="0" xfId="0" applyFill="1"/>
    <xf numFmtId="0" fontId="30" fillId="14" borderId="1" xfId="0" applyFont="1" applyFill="1" applyBorder="1" applyAlignment="1">
      <alignment horizontal="left" vertical="center" wrapText="1"/>
    </xf>
    <xf numFmtId="0" fontId="12" fillId="14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3" fontId="12" fillId="0" borderId="1" xfId="5" applyFont="1" applyFill="1" applyBorder="1" applyAlignment="1" applyProtection="1">
      <alignment horizontal="right" vertical="center" wrapText="1"/>
    </xf>
    <xf numFmtId="43" fontId="12" fillId="0" borderId="1" xfId="5" applyFont="1" applyFill="1" applyBorder="1" applyAlignment="1" applyProtection="1">
      <alignment horizontal="center" vertical="center" wrapText="1"/>
    </xf>
    <xf numFmtId="0" fontId="0" fillId="0" borderId="0" xfId="0" applyFill="1"/>
    <xf numFmtId="43" fontId="0" fillId="0" borderId="0" xfId="5" applyFont="1" applyBorder="1" applyAlignment="1">
      <alignment horizontal="center"/>
    </xf>
    <xf numFmtId="0" fontId="11" fillId="7" borderId="1" xfId="0" applyFont="1" applyFill="1" applyBorder="1" applyAlignment="1">
      <alignment vertical="center" wrapText="1"/>
    </xf>
    <xf numFmtId="43" fontId="3" fillId="15" borderId="44" xfId="5" applyFont="1" applyFill="1" applyBorder="1" applyAlignment="1" applyProtection="1">
      <alignment horizontal="center" vertical="center" wrapText="1"/>
    </xf>
    <xf numFmtId="43" fontId="3" fillId="16" borderId="45" xfId="5" applyFont="1" applyFill="1" applyBorder="1" applyAlignment="1" applyProtection="1">
      <alignment horizontal="center" vertical="center" wrapText="1"/>
    </xf>
    <xf numFmtId="43" fontId="3" fillId="16" borderId="43" xfId="5" applyFont="1" applyFill="1" applyBorder="1" applyAlignment="1" applyProtection="1">
      <alignment horizontal="center" vertical="center" wrapText="1"/>
    </xf>
    <xf numFmtId="43" fontId="3" fillId="17" borderId="45" xfId="5" applyFont="1" applyFill="1" applyBorder="1" applyAlignment="1" applyProtection="1">
      <alignment horizontal="center" vertical="center" wrapText="1"/>
    </xf>
    <xf numFmtId="43" fontId="3" fillId="0" borderId="43" xfId="5" applyFont="1" applyFill="1" applyBorder="1" applyAlignment="1" applyProtection="1">
      <alignment horizontal="center" vertical="center" wrapText="1"/>
    </xf>
    <xf numFmtId="44" fontId="0" fillId="0" borderId="0" xfId="10" applyFont="1"/>
    <xf numFmtId="43" fontId="12" fillId="16" borderId="1" xfId="5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0" fillId="0" borderId="0" xfId="0" applyFont="1" applyFill="1" applyAlignment="1"/>
    <xf numFmtId="43" fontId="0" fillId="0" borderId="0" xfId="0" applyNumberFormat="1" applyFill="1"/>
    <xf numFmtId="10" fontId="2" fillId="0" borderId="0" xfId="8" applyNumberFormat="1" applyFont="1" applyFill="1"/>
    <xf numFmtId="0" fontId="0" fillId="0" borderId="0" xfId="0" applyFill="1" applyBorder="1"/>
    <xf numFmtId="0" fontId="0" fillId="0" borderId="1" xfId="6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43" fontId="11" fillId="0" borderId="6" xfId="5" applyFont="1" applyFill="1" applyBorder="1" applyAlignment="1" applyProtection="1">
      <alignment horizontal="center" vertical="center" wrapText="1"/>
    </xf>
    <xf numFmtId="43" fontId="11" fillId="0" borderId="1" xfId="5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3" fontId="40" fillId="0" borderId="0" xfId="5" applyFont="1" applyBorder="1" applyAlignment="1">
      <alignment horizontal="center"/>
    </xf>
    <xf numFmtId="43" fontId="3" fillId="17" borderId="44" xfId="5" applyFont="1" applyFill="1" applyBorder="1" applyAlignment="1" applyProtection="1">
      <alignment horizontal="center" vertical="center" wrapText="1"/>
    </xf>
    <xf numFmtId="43" fontId="42" fillId="16" borderId="1" xfId="5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40" fillId="0" borderId="0" xfId="0" applyFont="1"/>
    <xf numFmtId="0" fontId="12" fillId="0" borderId="1" xfId="0" applyFont="1" applyFill="1" applyBorder="1" applyAlignment="1">
      <alignment horizontal="left" vertical="center" wrapText="1"/>
    </xf>
    <xf numFmtId="43" fontId="12" fillId="0" borderId="6" xfId="5" applyFont="1" applyFill="1" applyBorder="1" applyAlignment="1" applyProtection="1">
      <alignment horizontal="center" vertical="center" wrapText="1"/>
    </xf>
    <xf numFmtId="44" fontId="34" fillId="0" borderId="8" xfId="10" applyFont="1" applyBorder="1" applyAlignment="1">
      <alignment horizontal="center"/>
    </xf>
    <xf numFmtId="4" fontId="7" fillId="0" borderId="41" xfId="0" applyNumberFormat="1" applyFont="1" applyBorder="1" applyAlignment="1">
      <alignment horizontal="center"/>
    </xf>
    <xf numFmtId="43" fontId="33" fillId="0" borderId="41" xfId="5" applyFont="1" applyBorder="1" applyAlignment="1">
      <alignment horizontal="center"/>
    </xf>
    <xf numFmtId="43" fontId="42" fillId="6" borderId="6" xfId="5" applyFont="1" applyFill="1" applyBorder="1" applyAlignment="1" applyProtection="1">
      <alignment horizontal="center" vertical="center" wrapText="1"/>
    </xf>
    <xf numFmtId="44" fontId="34" fillId="18" borderId="45" xfId="10" applyFont="1" applyFill="1" applyBorder="1" applyAlignment="1">
      <alignment horizontal="center"/>
    </xf>
    <xf numFmtId="43" fontId="2" fillId="0" borderId="12" xfId="5" applyFont="1" applyBorder="1" applyAlignment="1">
      <alignment horizontal="center"/>
    </xf>
    <xf numFmtId="43" fontId="40" fillId="0" borderId="51" xfId="5" applyFont="1" applyBorder="1" applyAlignment="1">
      <alignment horizontal="center"/>
    </xf>
    <xf numFmtId="9" fontId="2" fillId="0" borderId="48" xfId="8" applyFont="1" applyBorder="1" applyAlignment="1">
      <alignment horizontal="center"/>
    </xf>
    <xf numFmtId="9" fontId="40" fillId="0" borderId="49" xfId="8" applyFont="1" applyBorder="1" applyAlignment="1">
      <alignment horizontal="center"/>
    </xf>
    <xf numFmtId="44" fontId="41" fillId="0" borderId="0" xfId="10" applyFont="1" applyFill="1" applyBorder="1" applyAlignment="1">
      <alignment horizontal="center"/>
    </xf>
    <xf numFmtId="0" fontId="33" fillId="0" borderId="0" xfId="0" applyFont="1" applyBorder="1" applyAlignment="1"/>
    <xf numFmtId="0" fontId="33" fillId="0" borderId="11" xfId="0" applyFont="1" applyBorder="1" applyAlignment="1"/>
    <xf numFmtId="0" fontId="30" fillId="0" borderId="1" xfId="0" applyFont="1" applyFill="1" applyBorder="1" applyAlignment="1">
      <alignment horizontal="left" vertical="center" wrapText="1"/>
    </xf>
    <xf numFmtId="43" fontId="3" fillId="0" borderId="0" xfId="5" applyFont="1" applyFill="1" applyBorder="1" applyAlignment="1" applyProtection="1">
      <alignment horizontal="center" vertical="center" wrapText="1"/>
    </xf>
    <xf numFmtId="10" fontId="7" fillId="0" borderId="0" xfId="0" applyNumberFormat="1" applyFont="1" applyBorder="1" applyAlignment="1">
      <alignment horizontal="center"/>
    </xf>
    <xf numFmtId="43" fontId="2" fillId="0" borderId="53" xfId="5" applyFont="1" applyBorder="1" applyAlignment="1">
      <alignment horizontal="center"/>
    </xf>
    <xf numFmtId="44" fontId="34" fillId="18" borderId="50" xfId="10" applyFont="1" applyFill="1" applyBorder="1" applyAlignment="1">
      <alignment horizontal="center"/>
    </xf>
    <xf numFmtId="43" fontId="2" fillId="0" borderId="54" xfId="5" applyFont="1" applyBorder="1" applyAlignment="1">
      <alignment horizontal="center"/>
    </xf>
    <xf numFmtId="44" fontId="34" fillId="0" borderId="6" xfId="10" applyFont="1" applyFill="1" applyBorder="1" applyAlignment="1">
      <alignment horizontal="center"/>
    </xf>
    <xf numFmtId="44" fontId="33" fillId="0" borderId="6" xfId="10" applyFont="1" applyBorder="1" applyAlignment="1">
      <alignment horizontal="center"/>
    </xf>
    <xf numFmtId="43" fontId="1" fillId="0" borderId="8" xfId="5" applyFont="1" applyBorder="1" applyAlignment="1">
      <alignment horizontal="center"/>
    </xf>
    <xf numFmtId="43" fontId="3" fillId="12" borderId="42" xfId="5" applyFont="1" applyFill="1" applyBorder="1" applyAlignment="1" applyProtection="1">
      <alignment horizontal="center" vertical="center" wrapText="1"/>
    </xf>
    <xf numFmtId="0" fontId="0" fillId="11" borderId="1" xfId="6" applyFont="1" applyFill="1" applyBorder="1" applyAlignment="1">
      <alignment horizontal="left" vertical="center" wrapText="1"/>
    </xf>
    <xf numFmtId="0" fontId="0" fillId="0" borderId="55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54" xfId="0" applyBorder="1"/>
    <xf numFmtId="0" fontId="0" fillId="0" borderId="61" xfId="0" applyBorder="1"/>
    <xf numFmtId="0" fontId="0" fillId="0" borderId="53" xfId="0" applyBorder="1"/>
    <xf numFmtId="2" fontId="0" fillId="13" borderId="50" xfId="0" applyNumberFormat="1" applyFill="1" applyBorder="1"/>
    <xf numFmtId="43" fontId="12" fillId="14" borderId="1" xfId="2" applyFont="1" applyFill="1" applyBorder="1" applyAlignment="1" applyProtection="1">
      <alignment horizontal="right" vertical="center" wrapText="1"/>
    </xf>
    <xf numFmtId="43" fontId="12" fillId="14" borderId="1" xfId="2" applyFont="1" applyFill="1" applyBorder="1" applyAlignment="1" applyProtection="1">
      <alignment horizontal="center" vertical="center" wrapText="1"/>
    </xf>
    <xf numFmtId="43" fontId="12" fillId="0" borderId="6" xfId="2" applyFont="1" applyFill="1" applyBorder="1" applyAlignment="1" applyProtection="1">
      <alignment horizontal="center" vertical="center" wrapText="1"/>
    </xf>
    <xf numFmtId="43" fontId="12" fillId="0" borderId="1" xfId="2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6" borderId="1" xfId="6" applyFont="1" applyBorder="1" applyAlignment="1">
      <alignment horizontal="center" vertical="center"/>
    </xf>
    <xf numFmtId="2" fontId="1" fillId="0" borderId="1" xfId="6" applyNumberForma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 wrapText="1"/>
    </xf>
    <xf numFmtId="43" fontId="11" fillId="7" borderId="2" xfId="5" applyFont="1" applyFill="1" applyBorder="1" applyAlignment="1" applyProtection="1">
      <alignment horizontal="center" vertical="center" wrapText="1"/>
    </xf>
    <xf numFmtId="43" fontId="3" fillId="15" borderId="55" xfId="5" applyFont="1" applyFill="1" applyBorder="1" applyAlignment="1" applyProtection="1">
      <alignment horizontal="center" vertical="center" wrapText="1"/>
    </xf>
    <xf numFmtId="4" fontId="30" fillId="6" borderId="1" xfId="6" applyNumberFormat="1" applyFont="1" applyBorder="1" applyAlignment="1">
      <alignment horizontal="left" vertical="center" wrapText="1"/>
    </xf>
    <xf numFmtId="0" fontId="0" fillId="6" borderId="1" xfId="6" applyFont="1" applyBorder="1" applyAlignment="1">
      <alignment horizontal="left" vertical="center" wrapText="1"/>
    </xf>
    <xf numFmtId="0" fontId="1" fillId="0" borderId="1" xfId="6" applyFill="1" applyBorder="1" applyAlignment="1">
      <alignment horizontal="center" vertical="center"/>
    </xf>
    <xf numFmtId="43" fontId="12" fillId="19" borderId="6" xfId="5" applyFont="1" applyFill="1" applyBorder="1" applyAlignment="1" applyProtection="1">
      <alignment horizontal="center" vertical="center" wrapText="1"/>
    </xf>
    <xf numFmtId="0" fontId="40" fillId="0" borderId="0" xfId="6" applyFont="1" applyFill="1" applyAlignment="1">
      <alignment vertical="center" wrapText="1"/>
    </xf>
    <xf numFmtId="43" fontId="0" fillId="0" borderId="55" xfId="5" applyFont="1" applyBorder="1" applyAlignment="1">
      <alignment horizontal="right"/>
    </xf>
    <xf numFmtId="43" fontId="2" fillId="0" borderId="57" xfId="5" applyFont="1" applyBorder="1" applyAlignment="1">
      <alignment horizontal="right"/>
    </xf>
    <xf numFmtId="43" fontId="0" fillId="0" borderId="47" xfId="5" applyFont="1" applyBorder="1" applyAlignment="1">
      <alignment horizontal="right"/>
    </xf>
    <xf numFmtId="43" fontId="2" fillId="0" borderId="48" xfId="5" applyFont="1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/>
    <xf numFmtId="0" fontId="33" fillId="0" borderId="0" xfId="0" applyFont="1" applyFill="1" applyBorder="1" applyAlignment="1"/>
    <xf numFmtId="0" fontId="2" fillId="0" borderId="1" xfId="1" applyFont="1" applyFill="1" applyBorder="1" applyAlignment="1">
      <alignment horizontal="center" vertical="center"/>
    </xf>
    <xf numFmtId="43" fontId="1" fillId="0" borderId="1" xfId="6" applyNumberFormat="1" applyFill="1" applyBorder="1" applyAlignment="1">
      <alignment horizontal="center" vertical="center"/>
    </xf>
    <xf numFmtId="0" fontId="1" fillId="6" borderId="1" xfId="6" applyBorder="1" applyAlignment="1">
      <alignment horizontal="center" vertical="center"/>
    </xf>
    <xf numFmtId="0" fontId="10" fillId="11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" fontId="1" fillId="0" borderId="1" xfId="6" applyNumberFormat="1" applyFill="1" applyBorder="1" applyAlignment="1">
      <alignment horizontal="left" vertical="center" wrapText="1"/>
    </xf>
    <xf numFmtId="43" fontId="3" fillId="8" borderId="0" xfId="5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3" fontId="1" fillId="0" borderId="0" xfId="5" applyFont="1" applyBorder="1" applyAlignment="1">
      <alignment horizontal="center"/>
    </xf>
    <xf numFmtId="43" fontId="11" fillId="7" borderId="9" xfId="5" applyFont="1" applyFill="1" applyBorder="1" applyAlignment="1" applyProtection="1">
      <alignment horizontal="center" vertical="center" wrapText="1"/>
    </xf>
    <xf numFmtId="43" fontId="33" fillId="0" borderId="6" xfId="5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43" fontId="3" fillId="8" borderId="1" xfId="5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16" borderId="8" xfId="5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44" fontId="12" fillId="6" borderId="1" xfId="10" applyFont="1" applyFill="1" applyBorder="1" applyAlignment="1" applyProtection="1">
      <alignment horizontal="center" vertical="center" wrapText="1"/>
    </xf>
    <xf numFmtId="44" fontId="0" fillId="11" borderId="1" xfId="10" applyFont="1" applyFill="1" applyBorder="1" applyAlignment="1">
      <alignment horizontal="center" vertical="center"/>
    </xf>
    <xf numFmtId="44" fontId="0" fillId="0" borderId="1" xfId="10" applyFont="1" applyBorder="1" applyAlignment="1">
      <alignment horizontal="center" vertical="center"/>
    </xf>
    <xf numFmtId="44" fontId="0" fillId="0" borderId="4" xfId="10" applyFont="1" applyBorder="1" applyAlignment="1">
      <alignment horizontal="center" vertical="center"/>
    </xf>
    <xf numFmtId="9" fontId="2" fillId="0" borderId="0" xfId="8" applyFont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9" borderId="1" xfId="0" applyNumberFormat="1" applyFont="1" applyFill="1" applyBorder="1" applyAlignment="1">
      <alignment horizontal="center" vertical="center" wrapText="1"/>
    </xf>
    <xf numFmtId="44" fontId="12" fillId="9" borderId="1" xfId="10" applyFont="1" applyFill="1" applyBorder="1" applyAlignment="1" applyProtection="1">
      <alignment horizontal="center" vertical="center" wrapText="1"/>
    </xf>
    <xf numFmtId="44" fontId="11" fillId="9" borderId="1" xfId="10" applyFont="1" applyFill="1" applyBorder="1" applyAlignment="1" applyProtection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44" fontId="2" fillId="9" borderId="4" xfId="10" applyFont="1" applyFill="1" applyBorder="1" applyAlignment="1">
      <alignment horizontal="center" vertical="center"/>
    </xf>
    <xf numFmtId="2" fontId="0" fillId="20" borderId="1" xfId="0" applyNumberFormat="1" applyFill="1" applyBorder="1" applyAlignment="1">
      <alignment horizontal="center" vertical="center"/>
    </xf>
    <xf numFmtId="44" fontId="0" fillId="20" borderId="1" xfId="1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4" fontId="0" fillId="6" borderId="1" xfId="10" applyFont="1" applyFill="1" applyBorder="1" applyAlignment="1">
      <alignment horizontal="center" vertical="center"/>
    </xf>
    <xf numFmtId="44" fontId="0" fillId="6" borderId="4" xfId="10" applyFont="1" applyFill="1" applyBorder="1" applyAlignment="1">
      <alignment horizontal="center" vertical="center"/>
    </xf>
    <xf numFmtId="0" fontId="0" fillId="6" borderId="0" xfId="0" applyFill="1"/>
    <xf numFmtId="4" fontId="0" fillId="0" borderId="1" xfId="0" applyNumberForma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43" fontId="3" fillId="0" borderId="55" xfId="5" applyFont="1" applyFill="1" applyBorder="1" applyAlignment="1" applyProtection="1">
      <alignment horizontal="center" vertical="center" wrapText="1"/>
    </xf>
    <xf numFmtId="43" fontId="3" fillId="0" borderId="42" xfId="5" applyFont="1" applyFill="1" applyBorder="1" applyAlignment="1" applyProtection="1">
      <alignment horizontal="center" vertical="center" wrapText="1"/>
    </xf>
    <xf numFmtId="43" fontId="3" fillId="0" borderId="44" xfId="5" applyFont="1" applyFill="1" applyBorder="1" applyAlignment="1" applyProtection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center" vertical="center"/>
    </xf>
    <xf numFmtId="0" fontId="0" fillId="22" borderId="0" xfId="0" applyFill="1"/>
    <xf numFmtId="43" fontId="3" fillId="15" borderId="55" xfId="5" applyFont="1" applyFill="1" applyBorder="1" applyAlignment="1" applyProtection="1">
      <alignment vertical="center" wrapText="1"/>
    </xf>
    <xf numFmtId="43" fontId="12" fillId="6" borderId="6" xfId="5" applyFont="1" applyFill="1" applyBorder="1" applyAlignment="1" applyProtection="1">
      <alignment vertical="center" wrapText="1"/>
    </xf>
    <xf numFmtId="43" fontId="11" fillId="9" borderId="6" xfId="5" applyFont="1" applyFill="1" applyBorder="1" applyAlignment="1" applyProtection="1">
      <alignment vertical="center" wrapText="1"/>
    </xf>
    <xf numFmtId="43" fontId="11" fillId="0" borderId="6" xfId="5" applyFont="1" applyFill="1" applyBorder="1" applyAlignment="1" applyProtection="1">
      <alignment vertical="center" wrapText="1"/>
    </xf>
    <xf numFmtId="43" fontId="12" fillId="0" borderId="6" xfId="2" applyFont="1" applyFill="1" applyBorder="1" applyAlignment="1" applyProtection="1">
      <alignment vertical="center" wrapText="1"/>
    </xf>
    <xf numFmtId="43" fontId="12" fillId="0" borderId="6" xfId="5" applyFont="1" applyFill="1" applyBorder="1" applyAlignment="1" applyProtection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33" fillId="0" borderId="41" xfId="5" applyFont="1" applyBorder="1" applyAlignment="1">
      <alignment vertical="center"/>
    </xf>
    <xf numFmtId="44" fontId="34" fillId="0" borderId="0" xfId="10" applyFont="1" applyFill="1" applyBorder="1" applyAlignment="1">
      <alignment vertical="center"/>
    </xf>
    <xf numFmtId="44" fontId="33" fillId="0" borderId="11" xfId="10" applyFont="1" applyBorder="1" applyAlignment="1">
      <alignment vertical="center"/>
    </xf>
    <xf numFmtId="43" fontId="0" fillId="0" borderId="0" xfId="5" applyFont="1" applyAlignment="1">
      <alignment vertical="center"/>
    </xf>
    <xf numFmtId="43" fontId="2" fillId="0" borderId="54" xfId="5" applyFont="1" applyBorder="1" applyAlignment="1">
      <alignment horizontal="center" wrapText="1"/>
    </xf>
    <xf numFmtId="44" fontId="34" fillId="0" borderId="66" xfId="10" applyFont="1" applyFill="1" applyBorder="1" applyAlignment="1">
      <alignment horizontal="center"/>
    </xf>
    <xf numFmtId="44" fontId="34" fillId="0" borderId="67" xfId="1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3" fontId="3" fillId="15" borderId="45" xfId="5" applyFont="1" applyFill="1" applyBorder="1" applyAlignment="1" applyProtection="1">
      <alignment horizontal="center" vertical="center" wrapText="1"/>
    </xf>
    <xf numFmtId="44" fontId="2" fillId="0" borderId="50" xfId="10" applyFont="1" applyBorder="1" applyAlignment="1">
      <alignment horizontal="center"/>
    </xf>
    <xf numFmtId="43" fontId="3" fillId="23" borderId="44" xfId="5" applyFont="1" applyFill="1" applyBorder="1" applyAlignment="1" applyProtection="1">
      <alignment horizontal="center" vertical="center" wrapText="1"/>
    </xf>
    <xf numFmtId="43" fontId="3" fillId="23" borderId="50" xfId="5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12" fillId="6" borderId="1" xfId="8" applyFont="1" applyFill="1" applyBorder="1" applyAlignment="1" applyProtection="1">
      <alignment horizontal="center" vertical="center" wrapText="1"/>
    </xf>
    <xf numFmtId="10" fontId="12" fillId="6" borderId="1" xfId="8" applyNumberFormat="1" applyFont="1" applyFill="1" applyBorder="1" applyAlignment="1" applyProtection="1">
      <alignment horizontal="center" vertical="center" wrapText="1"/>
    </xf>
    <xf numFmtId="43" fontId="12" fillId="23" borderId="6" xfId="5" applyFont="1" applyFill="1" applyBorder="1" applyAlignment="1" applyProtection="1">
      <alignment vertical="center" wrapText="1"/>
    </xf>
    <xf numFmtId="44" fontId="34" fillId="23" borderId="50" xfId="10" applyFont="1" applyFill="1" applyBorder="1" applyAlignment="1">
      <alignment horizontal="center"/>
    </xf>
    <xf numFmtId="44" fontId="3" fillId="16" borderId="45" xfId="10" applyFont="1" applyFill="1" applyBorder="1" applyAlignment="1" applyProtection="1">
      <alignment horizontal="center" vertical="center" wrapText="1"/>
    </xf>
    <xf numFmtId="44" fontId="3" fillId="0" borderId="0" xfId="10" applyFont="1" applyFill="1" applyBorder="1" applyAlignment="1">
      <alignment horizontal="center" vertical="center" wrapText="1"/>
    </xf>
    <xf numFmtId="44" fontId="12" fillId="6" borderId="6" xfId="10" applyFont="1" applyFill="1" applyBorder="1" applyAlignment="1" applyProtection="1">
      <alignment horizontal="center" vertical="center" wrapText="1"/>
    </xf>
    <xf numFmtId="44" fontId="11" fillId="9" borderId="6" xfId="10" applyFont="1" applyFill="1" applyBorder="1" applyAlignment="1" applyProtection="1">
      <alignment horizontal="center" vertical="center" wrapText="1"/>
    </xf>
    <xf numFmtId="44" fontId="33" fillId="0" borderId="10" xfId="10" applyFont="1" applyBorder="1" applyAlignment="1">
      <alignment horizontal="center"/>
    </xf>
    <xf numFmtId="44" fontId="0" fillId="0" borderId="0" xfId="10" applyFont="1" applyBorder="1" applyAlignment="1">
      <alignment horizontal="center"/>
    </xf>
    <xf numFmtId="44" fontId="0" fillId="0" borderId="1" xfId="10" applyFont="1" applyBorder="1" applyAlignment="1">
      <alignment horizontal="center"/>
    </xf>
    <xf numFmtId="44" fontId="3" fillId="17" borderId="44" xfId="10" applyFont="1" applyFill="1" applyBorder="1" applyAlignment="1" applyProtection="1">
      <alignment horizontal="center" vertical="center" wrapText="1"/>
    </xf>
    <xf numFmtId="44" fontId="33" fillId="0" borderId="1" xfId="10" applyFont="1" applyBorder="1" applyAlignment="1">
      <alignment horizontal="center"/>
    </xf>
    <xf numFmtId="44" fontId="2" fillId="0" borderId="54" xfId="10" applyFont="1" applyBorder="1" applyAlignment="1">
      <alignment horizontal="center" wrapText="1"/>
    </xf>
    <xf numFmtId="44" fontId="0" fillId="0" borderId="0" xfId="10" applyFont="1" applyAlignment="1">
      <alignment horizontal="center"/>
    </xf>
    <xf numFmtId="9" fontId="34" fillId="0" borderId="8" xfId="8" applyNumberFormat="1" applyFont="1" applyBorder="1" applyAlignment="1">
      <alignment horizontal="center"/>
    </xf>
    <xf numFmtId="44" fontId="3" fillId="16" borderId="50" xfId="1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4" fontId="11" fillId="7" borderId="1" xfId="10" applyFont="1" applyFill="1" applyBorder="1" applyAlignment="1">
      <alignment vertical="center" wrapText="1"/>
    </xf>
    <xf numFmtId="44" fontId="11" fillId="7" borderId="1" xfId="10" applyFont="1" applyFill="1" applyBorder="1" applyAlignment="1" applyProtection="1">
      <alignment horizontal="center" vertical="center" wrapText="1"/>
    </xf>
    <xf numFmtId="44" fontId="12" fillId="0" borderId="6" xfId="1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30" fillId="14" borderId="0" xfId="0" applyFont="1" applyFill="1" applyAlignment="1">
      <alignment vertical="center" wrapText="1"/>
    </xf>
    <xf numFmtId="0" fontId="30" fillId="14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vertical="center" wrapText="1"/>
    </xf>
    <xf numFmtId="0" fontId="0" fillId="0" borderId="0" xfId="0" applyAlignment="1"/>
    <xf numFmtId="9" fontId="2" fillId="0" borderId="50" xfId="8" applyFont="1" applyBorder="1" applyAlignment="1">
      <alignment horizontal="center"/>
    </xf>
    <xf numFmtId="0" fontId="40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43" fontId="1" fillId="6" borderId="1" xfId="6" applyNumberFormat="1" applyBorder="1" applyAlignment="1">
      <alignment horizontal="center" vertical="center"/>
    </xf>
    <xf numFmtId="2" fontId="1" fillId="6" borderId="1" xfId="6" applyNumberFormat="1" applyBorder="1" applyAlignment="1">
      <alignment horizontal="center" vertical="center"/>
    </xf>
    <xf numFmtId="0" fontId="30" fillId="11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0" fillId="0" borderId="1" xfId="0" applyFont="1" applyBorder="1" applyAlignment="1">
      <alignment horizontal="center" vertical="center"/>
    </xf>
    <xf numFmtId="0" fontId="40" fillId="11" borderId="1" xfId="0" applyFont="1" applyFill="1" applyBorder="1" applyAlignment="1">
      <alignment horizontal="center" vertical="center" wrapText="1"/>
    </xf>
    <xf numFmtId="44" fontId="2" fillId="23" borderId="42" xfId="10" applyFont="1" applyFill="1" applyBorder="1" applyAlignment="1">
      <alignment horizontal="center" vertical="center"/>
    </xf>
    <xf numFmtId="44" fontId="2" fillId="23" borderId="57" xfId="1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9" fontId="12" fillId="6" borderId="0" xfId="8" applyFont="1" applyFill="1" applyBorder="1" applyAlignment="1" applyProtection="1">
      <alignment horizontal="center" vertical="center" wrapText="1"/>
    </xf>
    <xf numFmtId="43" fontId="11" fillId="9" borderId="0" xfId="5" applyFont="1" applyFill="1" applyBorder="1" applyAlignment="1" applyProtection="1">
      <alignment horizontal="center" vertical="center" wrapText="1"/>
    </xf>
    <xf numFmtId="43" fontId="33" fillId="0" borderId="0" xfId="5" applyFont="1" applyBorder="1" applyAlignment="1">
      <alignment horizontal="center"/>
    </xf>
    <xf numFmtId="9" fontId="34" fillId="0" borderId="0" xfId="8" applyNumberFormat="1" applyFont="1" applyBorder="1" applyAlignment="1">
      <alignment horizontal="center"/>
    </xf>
    <xf numFmtId="43" fontId="11" fillId="0" borderId="0" xfId="5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3" fontId="3" fillId="16" borderId="57" xfId="5" applyFont="1" applyFill="1" applyBorder="1" applyAlignment="1" applyProtection="1">
      <alignment horizontal="center" vertical="center" wrapText="1"/>
    </xf>
    <xf numFmtId="43" fontId="3" fillId="16" borderId="50" xfId="5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/>
    <xf numFmtId="0" fontId="51" fillId="0" borderId="0" xfId="0" applyFont="1" applyAlignment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left" vertical="center" wrapText="1"/>
    </xf>
    <xf numFmtId="0" fontId="11" fillId="7" borderId="8" xfId="0" applyFont="1" applyFill="1" applyBorder="1" applyAlignment="1">
      <alignment horizontal="left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43" fontId="3" fillId="8" borderId="14" xfId="5" applyFont="1" applyFill="1" applyBorder="1" applyAlignment="1" applyProtection="1">
      <alignment horizontal="center" vertical="center" wrapText="1"/>
    </xf>
    <xf numFmtId="43" fontId="3" fillId="8" borderId="0" xfId="5" applyFont="1" applyFill="1" applyBorder="1" applyAlignment="1" applyProtection="1">
      <alignment horizontal="center" vertical="center" wrapText="1"/>
    </xf>
    <xf numFmtId="43" fontId="3" fillId="8" borderId="15" xfId="5" applyFont="1" applyFill="1" applyBorder="1" applyAlignment="1" applyProtection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2" fillId="7" borderId="1" xfId="6" applyNumberFormat="1" applyFont="1" applyFill="1" applyBorder="1" applyAlignment="1">
      <alignment horizontal="center" vertical="center" wrapText="1"/>
    </xf>
    <xf numFmtId="0" fontId="13" fillId="7" borderId="1" xfId="6" applyFont="1" applyFill="1" applyBorder="1" applyAlignment="1">
      <alignment horizontal="center" vertical="center"/>
    </xf>
    <xf numFmtId="0" fontId="1" fillId="6" borderId="1" xfId="6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43" fontId="3" fillId="8" borderId="44" xfId="5" applyFont="1" applyFill="1" applyBorder="1" applyAlignment="1" applyProtection="1">
      <alignment horizontal="center" vertical="center" wrapText="1"/>
    </xf>
    <xf numFmtId="43" fontId="3" fillId="8" borderId="56" xfId="5" applyFont="1" applyFill="1" applyBorder="1" applyAlignment="1" applyProtection="1">
      <alignment horizontal="center" vertical="center" wrapText="1"/>
    </xf>
    <xf numFmtId="43" fontId="3" fillId="8" borderId="68" xfId="5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2" fillId="7" borderId="10" xfId="0" applyNumberFormat="1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center" vertical="center" wrapText="1"/>
    </xf>
    <xf numFmtId="169" fontId="45" fillId="21" borderId="4" xfId="2" applyNumberFormat="1" applyFont="1" applyFill="1" applyBorder="1" applyAlignment="1" applyProtection="1">
      <alignment horizontal="center" vertical="center"/>
    </xf>
    <xf numFmtId="169" fontId="45" fillId="21" borderId="53" xfId="2" applyNumberFormat="1" applyFont="1" applyFill="1" applyBorder="1" applyAlignment="1" applyProtection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4" fontId="45" fillId="21" borderId="3" xfId="0" applyNumberFormat="1" applyFont="1" applyFill="1" applyBorder="1" applyAlignment="1" applyProtection="1">
      <alignment horizontal="center" vertical="center"/>
      <protection locked="0"/>
    </xf>
    <xf numFmtId="4" fontId="45" fillId="21" borderId="1" xfId="0" applyNumberFormat="1" applyFont="1" applyFill="1" applyBorder="1" applyAlignment="1" applyProtection="1">
      <alignment horizontal="center" vertical="center"/>
      <protection locked="0"/>
    </xf>
    <xf numFmtId="4" fontId="45" fillId="21" borderId="54" xfId="0" applyNumberFormat="1" applyFont="1" applyFill="1" applyBorder="1" applyAlignment="1" applyProtection="1">
      <alignment horizontal="center" vertical="center"/>
      <protection locked="0"/>
    </xf>
    <xf numFmtId="4" fontId="45" fillId="21" borderId="61" xfId="0" applyNumberFormat="1" applyFont="1" applyFill="1" applyBorder="1" applyAlignment="1" applyProtection="1">
      <alignment horizontal="center" vertical="center"/>
      <protection locked="0"/>
    </xf>
    <xf numFmtId="44" fontId="46" fillId="21" borderId="1" xfId="10" applyFont="1" applyFill="1" applyBorder="1" applyAlignment="1" applyProtection="1">
      <alignment horizontal="center" vertical="center"/>
    </xf>
    <xf numFmtId="44" fontId="46" fillId="21" borderId="61" xfId="10" applyFont="1" applyFill="1" applyBorder="1" applyAlignment="1" applyProtection="1">
      <alignment horizontal="center" vertical="center"/>
    </xf>
    <xf numFmtId="169" fontId="47" fillId="21" borderId="1" xfId="2" applyNumberFormat="1" applyFont="1" applyFill="1" applyBorder="1" applyAlignment="1" applyProtection="1">
      <alignment horizontal="center" vertical="center"/>
    </xf>
    <xf numFmtId="169" fontId="47" fillId="21" borderId="61" xfId="2" applyNumberFormat="1" applyFont="1" applyFill="1" applyBorder="1" applyAlignment="1" applyProtection="1">
      <alignment horizontal="center" vertical="center"/>
    </xf>
    <xf numFmtId="169" fontId="47" fillId="20" borderId="1" xfId="2" applyNumberFormat="1" applyFont="1" applyFill="1" applyBorder="1" applyAlignment="1" applyProtection="1">
      <alignment horizontal="center" vertical="center"/>
    </xf>
    <xf numFmtId="169" fontId="47" fillId="20" borderId="61" xfId="2" applyNumberFormat="1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11" borderId="59" xfId="0" applyFont="1" applyFill="1" applyBorder="1" applyAlignment="1">
      <alignment horizontal="center" vertical="center" wrapText="1"/>
    </xf>
    <xf numFmtId="0" fontId="10" fillId="11" borderId="60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5" fillId="6" borderId="18" xfId="6" applyFont="1" applyBorder="1" applyAlignment="1">
      <alignment horizontal="center" vertical="center" wrapText="1"/>
    </xf>
    <xf numFmtId="0" fontId="5" fillId="6" borderId="0" xfId="6" applyFont="1" applyAlignment="1">
      <alignment horizontal="center" vertical="center" wrapText="1"/>
    </xf>
    <xf numFmtId="0" fontId="5" fillId="6" borderId="15" xfId="6" applyFont="1" applyBorder="1" applyAlignment="1">
      <alignment horizontal="center" vertical="center" wrapText="1"/>
    </xf>
    <xf numFmtId="0" fontId="5" fillId="6" borderId="34" xfId="6" applyFont="1" applyBorder="1" applyAlignment="1">
      <alignment horizontal="center" vertical="center" wrapText="1"/>
    </xf>
    <xf numFmtId="0" fontId="5" fillId="6" borderId="13" xfId="6" applyFont="1" applyBorder="1" applyAlignment="1">
      <alignment horizontal="center" vertical="center" wrapText="1"/>
    </xf>
    <xf numFmtId="0" fontId="5" fillId="6" borderId="16" xfId="6" applyFont="1" applyBorder="1" applyAlignment="1">
      <alignment horizontal="center" vertical="center" wrapText="1"/>
    </xf>
    <xf numFmtId="0" fontId="24" fillId="6" borderId="14" xfId="6" applyFont="1" applyBorder="1" applyAlignment="1">
      <alignment horizontal="center" vertical="center" wrapText="1"/>
    </xf>
    <xf numFmtId="0" fontId="24" fillId="6" borderId="0" xfId="6" applyFont="1" applyAlignment="1">
      <alignment horizontal="center" vertical="center" wrapText="1"/>
    </xf>
    <xf numFmtId="0" fontId="24" fillId="6" borderId="19" xfId="6" applyFont="1" applyBorder="1" applyAlignment="1">
      <alignment horizontal="center" vertical="center" wrapText="1"/>
    </xf>
    <xf numFmtId="0" fontId="7" fillId="6" borderId="14" xfId="6" applyFont="1" applyBorder="1" applyAlignment="1">
      <alignment horizontal="center" vertical="center" wrapText="1"/>
    </xf>
    <xf numFmtId="0" fontId="7" fillId="6" borderId="0" xfId="6" applyFont="1" applyAlignment="1">
      <alignment horizontal="center" vertical="center" wrapText="1"/>
    </xf>
    <xf numFmtId="0" fontId="7" fillId="6" borderId="19" xfId="6" applyFont="1" applyBorder="1" applyAlignment="1">
      <alignment horizontal="center" vertical="center" wrapText="1"/>
    </xf>
    <xf numFmtId="43" fontId="17" fillId="6" borderId="3" xfId="2" applyFont="1" applyFill="1" applyBorder="1" applyAlignment="1">
      <alignment horizontal="center" vertical="center"/>
    </xf>
    <xf numFmtId="43" fontId="17" fillId="6" borderId="1" xfId="2" applyFont="1" applyFill="1" applyBorder="1" applyAlignment="1">
      <alignment horizontal="center" vertical="center"/>
    </xf>
    <xf numFmtId="43" fontId="18" fillId="6" borderId="1" xfId="2" applyFont="1" applyFill="1" applyBorder="1" applyAlignment="1">
      <alignment horizontal="center" vertical="center"/>
    </xf>
    <xf numFmtId="43" fontId="19" fillId="6" borderId="1" xfId="2" applyFont="1" applyFill="1" applyBorder="1" applyAlignment="1">
      <alignment horizontal="center" vertical="center"/>
    </xf>
    <xf numFmtId="43" fontId="17" fillId="6" borderId="4" xfId="2" applyFont="1" applyFill="1" applyBorder="1" applyAlignment="1">
      <alignment horizontal="center" vertical="center"/>
    </xf>
    <xf numFmtId="43" fontId="22" fillId="11" borderId="29" xfId="2" applyFont="1" applyFill="1" applyBorder="1" applyAlignment="1">
      <alignment horizontal="center" vertical="center"/>
    </xf>
    <xf numFmtId="43" fontId="22" fillId="11" borderId="30" xfId="2" applyFont="1" applyFill="1" applyBorder="1" applyAlignment="1">
      <alignment horizontal="center" vertical="center"/>
    </xf>
    <xf numFmtId="43" fontId="22" fillId="11" borderId="31" xfId="2" applyFont="1" applyFill="1" applyBorder="1" applyAlignment="1">
      <alignment horizontal="center" vertical="center"/>
    </xf>
    <xf numFmtId="0" fontId="22" fillId="11" borderId="32" xfId="2" applyNumberFormat="1" applyFont="1" applyFill="1" applyBorder="1" applyAlignment="1">
      <alignment horizontal="left" vertical="center" indent="1"/>
    </xf>
    <xf numFmtId="0" fontId="22" fillId="11" borderId="30" xfId="2" applyNumberFormat="1" applyFont="1" applyFill="1" applyBorder="1" applyAlignment="1">
      <alignment horizontal="left" vertical="center" indent="1"/>
    </xf>
    <xf numFmtId="43" fontId="22" fillId="11" borderId="32" xfId="2" applyFont="1" applyFill="1" applyBorder="1" applyAlignment="1">
      <alignment horizontal="center" vertical="center"/>
    </xf>
    <xf numFmtId="43" fontId="15" fillId="7" borderId="22" xfId="2" applyFont="1" applyFill="1" applyBorder="1" applyAlignment="1">
      <alignment horizontal="center" vertical="center"/>
    </xf>
    <xf numFmtId="43" fontId="15" fillId="7" borderId="7" xfId="2" applyFont="1" applyFill="1" applyBorder="1" applyAlignment="1">
      <alignment horizontal="center" vertical="center"/>
    </xf>
    <xf numFmtId="43" fontId="15" fillId="7" borderId="8" xfId="2" applyFont="1" applyFill="1" applyBorder="1" applyAlignment="1">
      <alignment horizontal="center" vertical="center"/>
    </xf>
    <xf numFmtId="43" fontId="15" fillId="7" borderId="6" xfId="2" applyFont="1" applyFill="1" applyBorder="1" applyAlignment="1">
      <alignment horizontal="left" vertical="center" indent="1"/>
    </xf>
    <xf numFmtId="43" fontId="15" fillId="7" borderId="7" xfId="2" applyFont="1" applyFill="1" applyBorder="1" applyAlignment="1">
      <alignment horizontal="left" vertical="center" indent="1"/>
    </xf>
    <xf numFmtId="43" fontId="15" fillId="7" borderId="23" xfId="2" applyFont="1" applyFill="1" applyBorder="1" applyAlignment="1">
      <alignment horizontal="left" vertical="center" indent="1"/>
    </xf>
    <xf numFmtId="43" fontId="15" fillId="11" borderId="24" xfId="2" applyFont="1" applyFill="1" applyBorder="1" applyAlignment="1">
      <alignment horizontal="center" vertical="center"/>
    </xf>
    <xf numFmtId="43" fontId="15" fillId="11" borderId="25" xfId="2" applyFont="1" applyFill="1" applyBorder="1" applyAlignment="1">
      <alignment horizontal="center" vertical="center"/>
    </xf>
    <xf numFmtId="43" fontId="15" fillId="11" borderId="26" xfId="2" applyFont="1" applyFill="1" applyBorder="1" applyAlignment="1">
      <alignment horizontal="center" vertical="center"/>
    </xf>
    <xf numFmtId="43" fontId="15" fillId="11" borderId="27" xfId="2" applyFont="1" applyFill="1" applyBorder="1" applyAlignment="1">
      <alignment horizontal="left" vertical="center" indent="1"/>
    </xf>
    <xf numFmtId="43" fontId="15" fillId="11" borderId="25" xfId="2" applyFont="1" applyFill="1" applyBorder="1" applyAlignment="1">
      <alignment horizontal="left" vertical="center" indent="1"/>
    </xf>
    <xf numFmtId="43" fontId="15" fillId="11" borderId="26" xfId="2" applyFont="1" applyFill="1" applyBorder="1" applyAlignment="1">
      <alignment horizontal="left" vertical="center" indent="1"/>
    </xf>
    <xf numFmtId="43" fontId="15" fillId="11" borderId="27" xfId="2" applyFont="1" applyFill="1" applyBorder="1" applyAlignment="1">
      <alignment horizontal="center" vertical="center"/>
    </xf>
    <xf numFmtId="43" fontId="15" fillId="11" borderId="28" xfId="2" applyFont="1" applyFill="1" applyBorder="1" applyAlignment="1">
      <alignment horizontal="center" vertical="center"/>
    </xf>
    <xf numFmtId="166" fontId="22" fillId="11" borderId="32" xfId="2" applyNumberFormat="1" applyFont="1" applyFill="1" applyBorder="1" applyAlignment="1">
      <alignment horizontal="center" vertical="center"/>
    </xf>
    <xf numFmtId="166" fontId="22" fillId="11" borderId="30" xfId="2" applyNumberFormat="1" applyFont="1" applyFill="1" applyBorder="1" applyAlignment="1">
      <alignment horizontal="center" vertical="center"/>
    </xf>
    <xf numFmtId="166" fontId="22" fillId="11" borderId="31" xfId="2" applyNumberFormat="1" applyFont="1" applyFill="1" applyBorder="1" applyAlignment="1">
      <alignment horizontal="center" vertical="center"/>
    </xf>
    <xf numFmtId="0" fontId="26" fillId="7" borderId="0" xfId="7" applyFont="1" applyFill="1" applyAlignment="1">
      <alignment horizontal="center" vertical="center"/>
    </xf>
    <xf numFmtId="0" fontId="26" fillId="7" borderId="13" xfId="7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2" fillId="11" borderId="32" xfId="2" applyNumberFormat="1" applyFont="1" applyFill="1" applyBorder="1" applyAlignment="1">
      <alignment horizontal="center" vertical="center"/>
    </xf>
    <xf numFmtId="0" fontId="22" fillId="11" borderId="30" xfId="2" applyNumberFormat="1" applyFont="1" applyFill="1" applyBorder="1" applyAlignment="1">
      <alignment horizontal="center" vertical="center"/>
    </xf>
    <xf numFmtId="0" fontId="22" fillId="11" borderId="27" xfId="2" applyNumberFormat="1" applyFont="1" applyFill="1" applyBorder="1" applyAlignment="1">
      <alignment horizontal="center" vertical="center"/>
    </xf>
    <xf numFmtId="0" fontId="22" fillId="11" borderId="25" xfId="2" applyNumberFormat="1" applyFont="1" applyFill="1" applyBorder="1" applyAlignment="1">
      <alignment horizontal="center" vertical="center"/>
    </xf>
    <xf numFmtId="0" fontId="22" fillId="11" borderId="26" xfId="2" applyNumberFormat="1" applyFont="1" applyFill="1" applyBorder="1" applyAlignment="1">
      <alignment horizontal="center" vertical="center"/>
    </xf>
    <xf numFmtId="166" fontId="22" fillId="11" borderId="27" xfId="2" applyNumberFormat="1" applyFont="1" applyFill="1" applyBorder="1" applyAlignment="1">
      <alignment horizontal="center" vertical="center"/>
    </xf>
    <xf numFmtId="166" fontId="22" fillId="11" borderId="25" xfId="2" applyNumberFormat="1" applyFont="1" applyFill="1" applyBorder="1" applyAlignment="1">
      <alignment horizontal="center" vertical="center"/>
    </xf>
    <xf numFmtId="166" fontId="22" fillId="11" borderId="26" xfId="2" applyNumberFormat="1" applyFont="1" applyFill="1" applyBorder="1" applyAlignment="1">
      <alignment horizontal="center" vertical="center"/>
    </xf>
    <xf numFmtId="43" fontId="22" fillId="11" borderId="27" xfId="2" applyFont="1" applyFill="1" applyBorder="1" applyAlignment="1">
      <alignment horizontal="center" vertical="center"/>
    </xf>
    <xf numFmtId="43" fontId="22" fillId="11" borderId="26" xfId="2" applyFont="1" applyFill="1" applyBorder="1" applyAlignment="1">
      <alignment horizontal="center" vertical="center"/>
    </xf>
    <xf numFmtId="43" fontId="15" fillId="11" borderId="27" xfId="2" applyFont="1" applyFill="1" applyBorder="1" applyAlignment="1">
      <alignment horizontal="left" vertical="center" wrapText="1" indent="1"/>
    </xf>
    <xf numFmtId="43" fontId="15" fillId="11" borderId="25" xfId="2" applyFont="1" applyFill="1" applyBorder="1" applyAlignment="1">
      <alignment horizontal="left" vertical="center" wrapText="1" indent="1"/>
    </xf>
    <xf numFmtId="43" fontId="15" fillId="11" borderId="26" xfId="2" applyFont="1" applyFill="1" applyBorder="1" applyAlignment="1">
      <alignment horizontal="left" vertical="center" wrapText="1" indent="1"/>
    </xf>
    <xf numFmtId="0" fontId="22" fillId="12" borderId="27" xfId="2" applyNumberFormat="1" applyFont="1" applyFill="1" applyBorder="1" applyAlignment="1">
      <alignment horizontal="center" vertical="center"/>
    </xf>
    <xf numFmtId="0" fontId="22" fillId="12" borderId="25" xfId="2" applyNumberFormat="1" applyFont="1" applyFill="1" applyBorder="1" applyAlignment="1">
      <alignment horizontal="center" vertical="center"/>
    </xf>
    <xf numFmtId="0" fontId="22" fillId="12" borderId="26" xfId="2" applyNumberFormat="1" applyFont="1" applyFill="1" applyBorder="1" applyAlignment="1">
      <alignment horizontal="center" vertical="center"/>
    </xf>
    <xf numFmtId="0" fontId="38" fillId="6" borderId="36" xfId="0" applyFont="1" applyFill="1" applyBorder="1" applyAlignment="1">
      <alignment horizontal="justify" vertical="top" wrapText="1"/>
    </xf>
    <xf numFmtId="0" fontId="38" fillId="6" borderId="36" xfId="0" applyFont="1" applyFill="1" applyBorder="1" applyAlignment="1">
      <alignment horizontal="center" vertical="top" wrapText="1"/>
    </xf>
    <xf numFmtId="0" fontId="37" fillId="6" borderId="36" xfId="0" applyFont="1" applyFill="1" applyBorder="1" applyAlignment="1">
      <alignment horizontal="right" vertical="top" wrapText="1"/>
    </xf>
    <xf numFmtId="0" fontId="32" fillId="6" borderId="36" xfId="0" applyFont="1" applyFill="1" applyBorder="1" applyAlignment="1">
      <alignment horizontal="right" vertical="center" wrapText="1"/>
    </xf>
    <xf numFmtId="0" fontId="32" fillId="6" borderId="38" xfId="6" applyFont="1" applyBorder="1" applyAlignment="1">
      <alignment horizontal="right" vertical="center" wrapText="1"/>
    </xf>
    <xf numFmtId="0" fontId="37" fillId="2" borderId="36" xfId="0" applyFont="1" applyFill="1" applyBorder="1" applyAlignment="1">
      <alignment horizontal="left" vertical="center" wrapText="1"/>
    </xf>
    <xf numFmtId="0" fontId="31" fillId="2" borderId="36" xfId="0" applyFont="1" applyFill="1" applyBorder="1" applyAlignment="1">
      <alignment horizontal="center" vertical="center" wrapText="1"/>
    </xf>
    <xf numFmtId="0" fontId="36" fillId="6" borderId="36" xfId="0" applyFont="1" applyFill="1" applyBorder="1" applyAlignment="1">
      <alignment horizontal="left" vertical="center" wrapText="1"/>
    </xf>
    <xf numFmtId="0" fontId="36" fillId="6" borderId="40" xfId="0" applyFont="1" applyFill="1" applyBorder="1" applyAlignment="1">
      <alignment horizontal="left" vertical="center" wrapText="1"/>
    </xf>
    <xf numFmtId="0" fontId="38" fillId="6" borderId="36" xfId="6" applyFont="1" applyBorder="1" applyAlignment="1">
      <alignment horizontal="justify" vertical="top" wrapText="1"/>
    </xf>
    <xf numFmtId="0" fontId="38" fillId="6" borderId="36" xfId="6" applyFont="1" applyBorder="1" applyAlignment="1">
      <alignment horizontal="center" vertical="top" wrapText="1"/>
    </xf>
    <xf numFmtId="0" fontId="37" fillId="6" borderId="36" xfId="6" applyFont="1" applyBorder="1" applyAlignment="1">
      <alignment horizontal="right" vertical="top" wrapText="1"/>
    </xf>
    <xf numFmtId="0" fontId="37" fillId="2" borderId="36" xfId="6" applyFont="1" applyFill="1" applyBorder="1" applyAlignment="1">
      <alignment horizontal="left" vertical="center" wrapText="1"/>
    </xf>
    <xf numFmtId="0" fontId="31" fillId="2" borderId="36" xfId="6" applyFont="1" applyFill="1" applyBorder="1" applyAlignment="1">
      <alignment horizontal="center" vertical="center" wrapText="1"/>
    </xf>
    <xf numFmtId="0" fontId="0" fillId="6" borderId="0" xfId="6" applyFont="1" applyAlignment="1" applyProtection="1">
      <alignment wrapText="1"/>
      <protection locked="0"/>
    </xf>
    <xf numFmtId="0" fontId="35" fillId="6" borderId="0" xfId="6" applyFont="1" applyAlignment="1">
      <alignment horizontal="left" vertical="top" wrapText="1"/>
    </xf>
    <xf numFmtId="0" fontId="36" fillId="6" borderId="36" xfId="6" applyFont="1" applyBorder="1" applyAlignment="1">
      <alignment horizontal="left" vertical="center" wrapText="1"/>
    </xf>
    <xf numFmtId="0" fontId="32" fillId="6" borderId="36" xfId="6" applyFont="1" applyBorder="1" applyAlignment="1">
      <alignment horizontal="right" vertical="center" wrapText="1"/>
    </xf>
    <xf numFmtId="0" fontId="32" fillId="2" borderId="37" xfId="6" applyFont="1" applyFill="1" applyBorder="1" applyAlignment="1">
      <alignment horizontal="left" vertical="center" wrapText="1"/>
    </xf>
    <xf numFmtId="0" fontId="31" fillId="2" borderId="38" xfId="6" applyFont="1" applyFill="1" applyBorder="1" applyAlignment="1">
      <alignment horizontal="center" vertical="center" wrapText="1"/>
    </xf>
    <xf numFmtId="0" fontId="32" fillId="2" borderId="36" xfId="6" applyFont="1" applyFill="1" applyBorder="1" applyAlignment="1">
      <alignment horizontal="center" vertical="center" wrapText="1"/>
    </xf>
    <xf numFmtId="0" fontId="32" fillId="2" borderId="36" xfId="6" applyFont="1" applyFill="1" applyBorder="1" applyAlignment="1">
      <alignment horizontal="left" vertical="center" wrapText="1"/>
    </xf>
    <xf numFmtId="0" fontId="39" fillId="6" borderId="36" xfId="6" applyFont="1" applyBorder="1" applyAlignment="1">
      <alignment horizontal="left" vertical="center" wrapText="1"/>
    </xf>
    <xf numFmtId="0" fontId="31" fillId="6" borderId="36" xfId="6" applyFont="1" applyBorder="1" applyAlignment="1">
      <alignment horizontal="right" vertical="center" wrapText="1"/>
    </xf>
    <xf numFmtId="167" fontId="39" fillId="6" borderId="36" xfId="6" applyNumberFormat="1" applyFont="1" applyBorder="1" applyAlignment="1">
      <alignment horizontal="center" vertical="center" wrapText="1"/>
    </xf>
    <xf numFmtId="0" fontId="39" fillId="6" borderId="39" xfId="6" applyFont="1" applyBorder="1" applyAlignment="1">
      <alignment horizontal="left" vertical="center" wrapText="1"/>
    </xf>
    <xf numFmtId="43" fontId="12" fillId="6" borderId="6" xfId="5" applyNumberFormat="1" applyFont="1" applyFill="1" applyBorder="1" applyAlignment="1" applyProtection="1">
      <alignment horizontal="center" vertical="center" wrapText="1"/>
    </xf>
    <xf numFmtId="44" fontId="34" fillId="12" borderId="66" xfId="10" applyFont="1" applyFill="1" applyBorder="1" applyAlignment="1">
      <alignment horizontal="center"/>
    </xf>
    <xf numFmtId="43" fontId="12" fillId="12" borderId="6" xfId="5" applyFont="1" applyFill="1" applyBorder="1" applyAlignment="1" applyProtection="1">
      <alignment horizontal="center" vertical="center" wrapText="1"/>
    </xf>
  </cellXfs>
  <cellStyles count="11">
    <cellStyle name="20% - Ênfase1" xfId="1" builtinId="30"/>
    <cellStyle name="Moeda" xfId="10" builtinId="4"/>
    <cellStyle name="Normal" xfId="0" builtinId="0"/>
    <cellStyle name="Normal 2" xfId="6" xr:uid="{00000000-0005-0000-0000-000002000000}"/>
    <cellStyle name="Normal 3" xfId="3" xr:uid="{00000000-0005-0000-0000-000003000000}"/>
    <cellStyle name="Normal 4" xfId="7" xr:uid="{00000000-0005-0000-0000-000004000000}"/>
    <cellStyle name="Normal 5" xfId="9" xr:uid="{00000000-0005-0000-0000-000005000000}"/>
    <cellStyle name="Porcentagem" xfId="8" builtinId="5"/>
    <cellStyle name="Separador de milhares 2 2 2" xfId="4" xr:uid="{00000000-0005-0000-0000-000007000000}"/>
    <cellStyle name="Vírgula" xfId="5" builtinId="3"/>
    <cellStyle name="Vírgula 6" xfId="2" xr:uid="{00000000-0005-0000-0000-000009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196458</xdr:colOff>
      <xdr:row>0</xdr:row>
      <xdr:rowOff>107324</xdr:rowOff>
    </xdr:from>
    <xdr:to>
      <xdr:col>2</xdr:col>
      <xdr:colOff>1905000</xdr:colOff>
      <xdr:row>2</xdr:row>
      <xdr:rowOff>314588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9760916C-5B19-4A7A-AD4A-E2DBB65F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190" y="107324"/>
          <a:ext cx="1708542" cy="74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984788</xdr:colOff>
      <xdr:row>8</xdr:row>
      <xdr:rowOff>80720</xdr:rowOff>
    </xdr:from>
    <xdr:to>
      <xdr:col>29</xdr:col>
      <xdr:colOff>290650</xdr:colOff>
      <xdr:row>12</xdr:row>
      <xdr:rowOff>295816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E8DBD7-F774-47A0-8579-9B659A7B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5381" y="2663771"/>
          <a:ext cx="10122388" cy="1630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2194891</xdr:colOff>
      <xdr:row>5</xdr:row>
      <xdr:rowOff>138043</xdr:rowOff>
    </xdr:from>
    <xdr:to>
      <xdr:col>3</xdr:col>
      <xdr:colOff>6170855</xdr:colOff>
      <xdr:row>5</xdr:row>
      <xdr:rowOff>1670326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1C508A-C183-4F0A-A809-248D3990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413" y="1242391"/>
          <a:ext cx="3975964" cy="1532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196458</xdr:colOff>
      <xdr:row>0</xdr:row>
      <xdr:rowOff>107324</xdr:rowOff>
    </xdr:from>
    <xdr:to>
      <xdr:col>2</xdr:col>
      <xdr:colOff>1905000</xdr:colOff>
      <xdr:row>2</xdr:row>
      <xdr:rowOff>314588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A2CDAEB3-AEF2-40BC-A32C-C1D9ADE4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983" y="107324"/>
          <a:ext cx="1708542" cy="75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984788</xdr:colOff>
      <xdr:row>8</xdr:row>
      <xdr:rowOff>80720</xdr:rowOff>
    </xdr:from>
    <xdr:to>
      <xdr:col>29</xdr:col>
      <xdr:colOff>290650</xdr:colOff>
      <xdr:row>17</xdr:row>
      <xdr:rowOff>10066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53B7C7-95CD-41F1-88AD-5CE4E1B7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1688" y="2661995"/>
          <a:ext cx="10078637" cy="1643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196458</xdr:colOff>
      <xdr:row>0</xdr:row>
      <xdr:rowOff>107324</xdr:rowOff>
    </xdr:from>
    <xdr:to>
      <xdr:col>2</xdr:col>
      <xdr:colOff>1905000</xdr:colOff>
      <xdr:row>2</xdr:row>
      <xdr:rowOff>314588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5A04DCE7-2DED-49DB-8EA4-13C48C7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983" y="107324"/>
          <a:ext cx="1708542" cy="75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1936356</xdr:colOff>
      <xdr:row>15</xdr:row>
      <xdr:rowOff>95251</xdr:rowOff>
    </xdr:from>
    <xdr:to>
      <xdr:col>3</xdr:col>
      <xdr:colOff>8354786</xdr:colOff>
      <xdr:row>15</xdr:row>
      <xdr:rowOff>1932215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09CE32-D6BD-4A0C-81F3-2B97015E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56" y="4048126"/>
          <a:ext cx="6418430" cy="1836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12074</xdr:rowOff>
    </xdr:from>
    <xdr:to>
      <xdr:col>2</xdr:col>
      <xdr:colOff>209550</xdr:colOff>
      <xdr:row>2</xdr:row>
      <xdr:rowOff>209550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C89EDF89-0AED-4AA6-83B1-A8EB54FC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074"/>
          <a:ext cx="1228725" cy="740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61451</xdr:colOff>
      <xdr:row>5</xdr:row>
      <xdr:rowOff>122904</xdr:rowOff>
    </xdr:from>
    <xdr:to>
      <xdr:col>3</xdr:col>
      <xdr:colOff>242903</xdr:colOff>
      <xdr:row>24</xdr:row>
      <xdr:rowOff>25565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FDE883A-454F-4A1A-8CB6-3E507227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51" y="1495323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153629</xdr:colOff>
      <xdr:row>5</xdr:row>
      <xdr:rowOff>81936</xdr:rowOff>
    </xdr:from>
    <xdr:to>
      <xdr:col>11</xdr:col>
      <xdr:colOff>335081</xdr:colOff>
      <xdr:row>23</xdr:row>
      <xdr:rowOff>179194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F012B2-6FB3-476F-B415-1C2D52D4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9758" y="1454355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163871</xdr:colOff>
      <xdr:row>24</xdr:row>
      <xdr:rowOff>184355</xdr:rowOff>
    </xdr:from>
    <xdr:to>
      <xdr:col>3</xdr:col>
      <xdr:colOff>345323</xdr:colOff>
      <xdr:row>43</xdr:row>
      <xdr:rowOff>87016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B5B17069-28EE-4E7B-916D-BAD88A47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71" y="5254113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71694</xdr:colOff>
      <xdr:row>5</xdr:row>
      <xdr:rowOff>40967</xdr:rowOff>
    </xdr:from>
    <xdr:to>
      <xdr:col>7</xdr:col>
      <xdr:colOff>254890</xdr:colOff>
      <xdr:row>23</xdr:row>
      <xdr:rowOff>138225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B6B5981-94FB-44C0-B634-5BB209BA8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759" y="1413386"/>
          <a:ext cx="2026744" cy="36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229200</xdr:colOff>
      <xdr:row>37</xdr:row>
      <xdr:rowOff>10241</xdr:rowOff>
    </xdr:from>
    <xdr:to>
      <xdr:col>11</xdr:col>
      <xdr:colOff>310783</xdr:colOff>
      <xdr:row>53</xdr:row>
      <xdr:rowOff>56289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5BBD1C3F-E144-4C21-B264-92B98675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232" y="7609757"/>
          <a:ext cx="5612228" cy="3159597"/>
        </a:xfrm>
        <a:prstGeom prst="rect">
          <a:avLst/>
        </a:prstGeom>
      </xdr:spPr>
    </xdr:pic>
    <xdr:clientData/>
  </xdr:twoCellAnchor>
  <xdr:twoCellAnchor editAs="oneCell">
    <xdr:from>
      <xdr:col>0</xdr:col>
      <xdr:colOff>215082</xdr:colOff>
      <xdr:row>58</xdr:row>
      <xdr:rowOff>37234</xdr:rowOff>
    </xdr:from>
    <xdr:to>
      <xdr:col>4</xdr:col>
      <xdr:colOff>40968</xdr:colOff>
      <xdr:row>79</xdr:row>
      <xdr:rowOff>11059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8DB539A-7885-4FC6-B4C4-1D290294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082" y="11723282"/>
          <a:ext cx="2283951" cy="4060358"/>
        </a:xfrm>
        <a:prstGeom prst="rect">
          <a:avLst/>
        </a:prstGeom>
      </xdr:spPr>
    </xdr:pic>
    <xdr:clientData/>
  </xdr:twoCellAnchor>
  <xdr:twoCellAnchor editAs="oneCell">
    <xdr:from>
      <xdr:col>3</xdr:col>
      <xdr:colOff>81935</xdr:colOff>
      <xdr:row>71</xdr:row>
      <xdr:rowOff>122903</xdr:rowOff>
    </xdr:from>
    <xdr:to>
      <xdr:col>11</xdr:col>
      <xdr:colOff>521109</xdr:colOff>
      <xdr:row>92</xdr:row>
      <xdr:rowOff>52847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506009AD-B496-4ED5-AB84-E23929B0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5483" y="14338709"/>
          <a:ext cx="5355303" cy="4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460889</xdr:colOff>
      <xdr:row>92</xdr:row>
      <xdr:rowOff>184355</xdr:rowOff>
    </xdr:from>
    <xdr:to>
      <xdr:col>11</xdr:col>
      <xdr:colOff>95705</xdr:colOff>
      <xdr:row>111</xdr:row>
      <xdr:rowOff>87017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21801D58-8912-4C18-A515-2EF2BBABA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889" y="18486694"/>
          <a:ext cx="6394493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450646</xdr:colOff>
      <xdr:row>119</xdr:row>
      <xdr:rowOff>40967</xdr:rowOff>
    </xdr:from>
    <xdr:to>
      <xdr:col>9</xdr:col>
      <xdr:colOff>334517</xdr:colOff>
      <xdr:row>137</xdr:row>
      <xdr:rowOff>138225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C31436A1-428F-4FE8-A409-04785779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162" y="23597419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450645</xdr:colOff>
      <xdr:row>138</xdr:row>
      <xdr:rowOff>122904</xdr:rowOff>
    </xdr:from>
    <xdr:to>
      <xdr:col>9</xdr:col>
      <xdr:colOff>334516</xdr:colOff>
      <xdr:row>157</xdr:row>
      <xdr:rowOff>25565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49243F2-9736-44C8-ADDA-B4A92106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161" y="27376694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512098</xdr:colOff>
      <xdr:row>157</xdr:row>
      <xdr:rowOff>112661</xdr:rowOff>
    </xdr:from>
    <xdr:to>
      <xdr:col>11</xdr:col>
      <xdr:colOff>152421</xdr:colOff>
      <xdr:row>176</xdr:row>
      <xdr:rowOff>15322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7469F557-A10B-4E13-B498-E68994B0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098" y="31063790"/>
          <a:ext cx="64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419919</xdr:colOff>
      <xdr:row>182</xdr:row>
      <xdr:rowOff>133146</xdr:rowOff>
    </xdr:from>
    <xdr:to>
      <xdr:col>11</xdr:col>
      <xdr:colOff>60242</xdr:colOff>
      <xdr:row>201</xdr:row>
      <xdr:rowOff>35807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4014EA77-41AA-4682-89AD-5208FE7A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919" y="35949194"/>
          <a:ext cx="6400000" cy="36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111124</xdr:rowOff>
    </xdr:from>
    <xdr:to>
      <xdr:col>32</xdr:col>
      <xdr:colOff>571500</xdr:colOff>
      <xdr:row>61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238124" y="111124"/>
          <a:ext cx="19637376" cy="116363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6162675" cy="1609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shi/Downloads/ADITIVO%20-%20ESCOLA%20DO%20ANGELIM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M%2007_ATUALIZADO%20-%20ESCOLA%20DO%20ANGELI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LIMA/Desktop/PREFEITURA_FISCALIZA&#199;&#195;O_2023/escola%20angelim_01.02.23/BM-06_ESCOLA%20ANGELIM/BM%2006_ATUALIZADO%20-%20ESCOLA%20DO%20ANGELI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LIMA/Documents/ARQUIVOS_02.10.24/PREFEITURA_FISCALIZA&#199;&#195;O_2023/FISCALIZA&#199;&#195;O_ESCOLA%20DO%20ANGELIM_01.02.23/PROPOSTA%20ADITIVO_ESCOLA%20ANGELIN/Readequa&#231;&#227;o%20Escola%20Angelim%20R02_rlr_07.02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ITIVO"/>
      <sheetName val="MEMORIA ADITIVO"/>
      <sheetName val="MEMORIA ATERRO"/>
      <sheetName val="MEMORIA MURO"/>
    </sheetNames>
    <sheetDataSet>
      <sheetData sheetId="0">
        <row r="8">
          <cell r="A8">
            <v>1</v>
          </cell>
          <cell r="B8" t="str">
            <v>MOVIMENTO DE TERRA</v>
          </cell>
          <cell r="M8">
            <v>69484.535686233008</v>
          </cell>
        </row>
        <row r="9">
          <cell r="C9" t="str">
            <v>ATERRO MANUAL DE VALAS COM SOLO ARGILO-ARENOSO E COMPACTAÇÃO MECANIZADA. AF_05/2016</v>
          </cell>
          <cell r="E9" t="str">
            <v>M3</v>
          </cell>
        </row>
        <row r="10">
          <cell r="C10" t="str">
            <v>ESCAVAÇÃO MANUAL PARA BLOCO DE COROAMENTO OU SAPATA (INCLUINDO ESCAVAÇÃO PARA COLOCAÇÃO DE FÔRMAS). AF_06/2017</v>
          </cell>
          <cell r="E10" t="str">
            <v>M3</v>
          </cell>
        </row>
        <row r="11">
          <cell r="C11" t="str">
            <v>ESCAVAÇÃO MECANIZADA DE VALA COM PROF. ATÉ 1,5 M (MÉDIA ENTRE MONTANTE E JUSANTE/UMA COMPOSIÇÃO POR TRECHO) COM RETROESCAVADEIRA (0,26 M3/88 HP), LARGURA MENOR QUE 0,8 M, EM SOLO DE 2A CATEGORIA, EM LOCAIS COM BAIXO NÍVEL DE NTERFERÊNCIA. AF_02/2021</v>
          </cell>
          <cell r="E11" t="str">
            <v>M3</v>
          </cell>
        </row>
        <row r="12">
          <cell r="C12" t="str">
            <v xml:space="preserve">Expurgo de jazida (consv) </v>
          </cell>
          <cell r="E12" t="str">
            <v>M3</v>
          </cell>
        </row>
        <row r="13">
          <cell r="C13" t="str">
            <v>SONDAGEM À PERCUSSÃO P/RECONHECIMENTO DO SUBSOLO</v>
          </cell>
          <cell r="E13" t="str">
            <v>M</v>
          </cell>
        </row>
        <row r="15">
          <cell r="B15" t="str">
            <v>FUNDAÇÃO</v>
          </cell>
          <cell r="M15">
            <v>27924.861827364748</v>
          </cell>
        </row>
        <row r="16">
          <cell r="C16" t="str">
            <v>CONCRETO MAGRO PARA LASTRO, TRAÇO 1:4,5:4,5 (EM MASSA SECA DE CIMENTO/ AREIA MÉDIA/ BRITA 1) - PREPARO MECÂNICO COM BETONEIRA 400 L. AF_05/2021</v>
          </cell>
          <cell r="E16" t="str">
            <v>M3</v>
          </cell>
        </row>
        <row r="18">
          <cell r="C18" t="str">
            <v>Forma plana para fundações, em tábuas de pinho, 07 usos</v>
          </cell>
          <cell r="E18" t="str">
            <v>m²</v>
          </cell>
        </row>
        <row r="19">
          <cell r="C19" t="str">
            <v>ARMAÇÃO DE BLOCO, VIGA BALDRAME OU SAPATA UTILIZANDO AÇO CA-50 DE 10 MM - MONTAGEM. AF_06/2017</v>
          </cell>
          <cell r="E19" t="str">
            <v>KG</v>
          </cell>
        </row>
        <row r="20">
          <cell r="C20" t="str">
            <v>ARMAÇÃO DE BLOCO, VIGA BALDRAME E SAPATA UTILIZANDO AÇO CA-60 DE 5 MM - MONTAGEM. AF_06/2017</v>
          </cell>
          <cell r="E20" t="str">
            <v>KG</v>
          </cell>
        </row>
        <row r="21">
          <cell r="C21" t="str">
            <v>CONCRETO FCK = 25MPA, TRAÇO 1:2,3:2,7 (EM MASSA SECA DE CIMENTO/ AREIA MÉDIA/ BRITA 1) - PREPARO MECÂNICO COM BETONEIRA 400 L. AF_05/2021</v>
          </cell>
          <cell r="E21" t="str">
            <v>M3</v>
          </cell>
        </row>
        <row r="22">
          <cell r="C22" t="str">
            <v>LANÇAMENTO COM USO DE BOMBA, ADENSAMENTO E ACABAMENTO DE CONCRETO EM ESTRUTURAS. AF_12/2015</v>
          </cell>
          <cell r="E22" t="str">
            <v>M3</v>
          </cell>
        </row>
        <row r="23">
          <cell r="C23" t="str">
            <v xml:space="preserve">Impermeabilização de alicerce e viga baldrame com 2 demãos de tinta asfáltica tipo Neutrol da Vedacit ou similar, exceto argamassa impermeabilização </v>
          </cell>
          <cell r="E23" t="str">
            <v>M2</v>
          </cell>
        </row>
        <row r="24">
          <cell r="B24" t="str">
            <v>ELEMENTO VAZADO</v>
          </cell>
          <cell r="M24">
            <v>24560.942105070004</v>
          </cell>
        </row>
        <row r="25">
          <cell r="C25" t="str">
            <v>(COMPOSIÇÃO REPRESENTATIVA) DO SERVIÇO DE ALVENARIA DE VEDAÇÃO DE BLOCOS VAZADOS DE CERÂMICA DE 14X9X19CM (ESPESSURA 14CM, BLOCO DEITADO), PARA EDIFICAÇÃO HABITACIONAL UNIFAMILIAR (CASA) E EDIFICAÇÃO PÚBLICA PADRÃO. AF_12/2014</v>
          </cell>
          <cell r="E25" t="str">
            <v>M2</v>
          </cell>
        </row>
        <row r="26">
          <cell r="B26" t="str">
            <v>ESTRUTURA</v>
          </cell>
          <cell r="M26">
            <v>122716.44654679799</v>
          </cell>
        </row>
        <row r="27">
          <cell r="C27" t="str">
            <v>ARMAÇÃO DE PILAR OU VIGA DE UMA ESTRUTURA CONVENCIONAL DE CONCRETO ARMADO EM UMA EDIFICAÇÃO TÉRREA OU SOBRADO UTILIZANDO AÇO CA-50 DE 8,0 MM - MONTAGEM. AF_12/2015</v>
          </cell>
          <cell r="E27" t="str">
            <v>M2</v>
          </cell>
        </row>
        <row r="28">
          <cell r="C28" t="str">
            <v>Forma plana para estruturas, em compensado plastificado de 12mm, 07 usos, inclusive escoramento - Revisada 07.2015</v>
          </cell>
          <cell r="E28" t="str">
            <v>m2</v>
          </cell>
        </row>
        <row r="29">
          <cell r="C29" t="str">
            <v>ARMAÇÃO DE PILAR OU VIGA DE UMA ESTRUTURA CONVENCIONAL DE CONCRETO ARMADO EM UMA EDIFICAÇÃO TÉRREA OU SOBRADO UTILIZANDO AÇO CA-50 DE 10,0 MM - MONTAGEM. AF_12/2015</v>
          </cell>
          <cell r="E29" t="str">
            <v>KG</v>
          </cell>
        </row>
        <row r="30">
          <cell r="C30" t="str">
            <v>ARMAÇÃO DE PILAR OU VIGA DE UMA ESTRUTURA CONVENCIONAL DE CONCRETO ARMADO EM UMA EDIFICAÇÃO TÉRREA OU SOBRADO UTILIZANDO AÇO CA-50 DE 12,5 MM - MONTAGEM. AF_12/2015</v>
          </cell>
          <cell r="E30" t="str">
            <v>KG</v>
          </cell>
        </row>
        <row r="31">
          <cell r="C31" t="str">
            <v>ARMAÇÃO DE PILAR OU VIGA DE UMA ESTRUTURA CONVENCIONAL DE CONCRETO ARMADO EM UMA EDIFICAÇÃO TÉRREA OU SOBRADO UTILIZANDO AÇO CA-60 DE 5,0 MM - MONTAGEM. AF_12/2015</v>
          </cell>
          <cell r="E31" t="str">
            <v>KG</v>
          </cell>
        </row>
        <row r="32">
          <cell r="C32" t="str">
            <v>CONCRETO FCK = 25MPA, TRAÇO 1:2,3:2,7 (EM MASSA SECA DE CIMENTO/ AREIA MÉDIA/ BRITA 1) - PREPARO MECÂNICO COM BETONEIRA 600 L. AF_05/2021</v>
          </cell>
          <cell r="E32" t="str">
            <v>M3</v>
          </cell>
        </row>
        <row r="33">
          <cell r="C33" t="str">
            <v>LANÇAMENTO COM USO DE BOMBA, ADENSAMENTO E ACABAMENTO DE CONCRETO EM ESTRUTURAS. AF_12/2015</v>
          </cell>
          <cell r="E33" t="str">
            <v>M3</v>
          </cell>
        </row>
        <row r="34">
          <cell r="B34" t="str">
            <v>MURO</v>
          </cell>
          <cell r="M34">
            <v>9603.2448960839993</v>
          </cell>
        </row>
        <row r="35">
          <cell r="C35" t="str">
            <v>ESCAVAÇÃO MANUAL PARA BLOCO DE COROAMENTO OU SAPATA (INCLUINDO ESCAVAÇÃO PARA COLOCAÇÃO DE FÔRMAS). AF_06/2017</v>
          </cell>
          <cell r="E35" t="str">
            <v>M3</v>
          </cell>
        </row>
        <row r="36">
          <cell r="C36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36" t="str">
            <v>M2</v>
          </cell>
        </row>
        <row r="37">
          <cell r="C37" t="str">
            <v>CONCRETO FCK = 25MPA, TRAÇO 1:2,3:2,7 (EM MASSA SECA DE CIMENTO/ AREIA MÉDIA/ BRITA 1) - PREPARO MECÂNICO COM BETONEIRA 400 L. AF_05/2021</v>
          </cell>
          <cell r="E37" t="str">
            <v>M3</v>
          </cell>
        </row>
        <row r="38">
          <cell r="C38" t="str">
            <v>CHAPISCO APLICADO EM ALVENARIAS E ESTRUTURAS DE CONCRETO INTERNAS, COM COLHER DE PEDREIRO.  ARGAMASSA TRAÇO 1:3 COM PREPARO EM BETONEIRA 400L. AF_06/2014</v>
          </cell>
          <cell r="E38" t="str">
            <v>M2</v>
          </cell>
        </row>
        <row r="39">
          <cell r="C39" t="str">
            <v>MASSA ÚNICA, PARA RECEBIMENTO DE PINTURA, EM ARGAMASSA TRAÇO 1:2:8, PREPARO MECÂNICO COM BETONEIRA 400L, APLICADA MANUALMENTE EM FACES INTERNAS DE PAREDES, ESPESSURA DE 10MM, COM EXECUÇÃO DE TALISCAS. AF_06/2014</v>
          </cell>
          <cell r="E39" t="str">
            <v>M2</v>
          </cell>
        </row>
        <row r="40">
          <cell r="A40">
            <v>6</v>
          </cell>
          <cell r="B40" t="str">
            <v>RAMPA DE ACESSO</v>
          </cell>
          <cell r="M40">
            <v>20767.670947890903</v>
          </cell>
        </row>
        <row r="41">
          <cell r="A41" t="str">
            <v>6.1</v>
          </cell>
          <cell r="C41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41" t="str">
            <v>M2</v>
          </cell>
        </row>
        <row r="42">
          <cell r="A42" t="str">
            <v>6.2</v>
          </cell>
          <cell r="C42" t="str">
            <v>ATERRO MANUAL DE VALAS COM SOLO ARGILO-ARENOSO E COMPACTAÇÃO MECANIZADA. AF_05/2016</v>
          </cell>
          <cell r="E42" t="str">
            <v>M3</v>
          </cell>
        </row>
        <row r="43">
          <cell r="A43" t="str">
            <v>6.3</v>
          </cell>
          <cell r="C43" t="str">
            <v>EXECUÇÃO DE PASSEIO (CALÇADA) OU PISO DE CONCRETO COM CONCRETO MOLDADO IN LOCO, FEITO EM OBRA, ACABAMENTO CONVENCIONAL, ESPESSURA 6 CM, ARMADO. AF_07/2016</v>
          </cell>
          <cell r="E43" t="str">
            <v>M2</v>
          </cell>
        </row>
        <row r="44">
          <cell r="A44" t="str">
            <v>6.4</v>
          </cell>
          <cell r="C44" t="str">
            <v>CONTRAPISO EM ARGAMASSA TRAÇO 1:4 (CIMENTO E AREIA), PREPARO MANUAL, APLICADO EM ÁREAS SECAS SOBRE LAJE, ADERIDO, ACABAMENTO NÃO REFORÇADO, ESPESSURA 3CM. AF_07/2021</v>
          </cell>
          <cell r="E44" t="str">
            <v>M2</v>
          </cell>
        </row>
        <row r="45">
          <cell r="A45" t="str">
            <v>6.5</v>
          </cell>
          <cell r="C45" t="str">
            <v>CHAPISCO APLICADO EM ALVENARIAS E ESTRUTURAS DE CONCRETO INTERNAS, COM COLHER DE PEDREIRO.  ARGAMASSA TRAÇO 1:3 COM PREPARO EM BETONEIRA 400L. AF_06/2014</v>
          </cell>
          <cell r="E45" t="str">
            <v>M2</v>
          </cell>
        </row>
        <row r="46">
          <cell r="A46" t="str">
            <v>6.6</v>
          </cell>
          <cell r="C46" t="str">
            <v>MASSA ÚNICA, PARA RECEBIMENTO DE PINTURA, EM ARGAMASSA TRAÇO 1:2:8, PREPARO MECÂNICO COM BETONEIRA 400L, APLICADA MANUALMENTE EM FACES INTERNAS DE PAREDES, ESPESSURA DE 10MM, COM EXECUÇÃO DE TALISCAS. AF_06/2014</v>
          </cell>
          <cell r="E46" t="str">
            <v>M2</v>
          </cell>
        </row>
        <row r="47">
          <cell r="A47" t="str">
            <v>6.7</v>
          </cell>
          <cell r="C47" t="str">
            <v>Emassamento de superfície, com aplicação de 02 demãos de massa acrílica, lixamento e retoques - Rev 01</v>
          </cell>
          <cell r="E47" t="str">
            <v>m2</v>
          </cell>
        </row>
        <row r="48">
          <cell r="A48" t="str">
            <v>6.8</v>
          </cell>
          <cell r="C48" t="str">
            <v>APLICAÇÃO DE FUNDO SELADOR ACRÍLICO EM PAREDES, UMA DEMÃO. AF_06/2014</v>
          </cell>
          <cell r="E48" t="str">
            <v>M2</v>
          </cell>
        </row>
        <row r="49">
          <cell r="A49" t="str">
            <v>6.9</v>
          </cell>
          <cell r="C49" t="str">
            <v>APLICAÇÃO MANUAL DE PINTURA COM TINTA LÁTEX ACRÍLICA EM PAREDES, DUAS DEMÃOS. AF_06/2014</v>
          </cell>
          <cell r="E49" t="str">
            <v>M2</v>
          </cell>
        </row>
        <row r="50">
          <cell r="A50" t="str">
            <v>6.10</v>
          </cell>
          <cell r="C50" t="str">
            <v xml:space="preserve">Corrimão em aço inox ø=1 1/2", duplo, h=90cm </v>
          </cell>
          <cell r="E50" t="str">
            <v>M</v>
          </cell>
        </row>
      </sheetData>
      <sheetData sheetId="1"/>
      <sheetData sheetId="2">
        <row r="15">
          <cell r="AI15">
            <v>1090.4227250000001</v>
          </cell>
        </row>
      </sheetData>
      <sheetData sheetId="3">
        <row r="8">
          <cell r="F8">
            <v>32.129999999999995</v>
          </cell>
        </row>
        <row r="15">
          <cell r="F15">
            <v>60</v>
          </cell>
        </row>
        <row r="22">
          <cell r="F22">
            <v>0.99359999999999993</v>
          </cell>
        </row>
        <row r="29">
          <cell r="F29">
            <v>120</v>
          </cell>
        </row>
        <row r="36">
          <cell r="F36">
            <v>120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7"/>
      <sheetName val="MEMORIA BM 07"/>
      <sheetName val="MEMÓRIA MURO"/>
      <sheetName val="MEMORIA ATERRO"/>
      <sheetName val="MEMÓRIA ALVENARIA"/>
      <sheetName val="MEMÓRIA PILARES"/>
      <sheetName val="MEMÓRIA VIGAS"/>
    </sheetNames>
    <sheetDataSet>
      <sheetData sheetId="0">
        <row r="8">
          <cell r="B8" t="str">
            <v>SERVIÇOS PRELIMINARES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</row>
        <row r="9">
          <cell r="C9" t="str">
            <v>Placa de obra em chapa aço galvanizado, instalada</v>
          </cell>
          <cell r="E9" t="str">
            <v>m2</v>
          </cell>
        </row>
        <row r="10">
          <cell r="C10" t="str">
            <v>Barracão para escritório de obra porte pequeno s=25,41m2 com materiais novos</v>
          </cell>
          <cell r="E10" t="str">
            <v>un</v>
          </cell>
        </row>
        <row r="11">
          <cell r="C11" t="str">
            <v>LOCACAO CONVENCIONAL DE OBRA, UTILIZANDO GABARITO DE TÁBUAS CORRIDAS PONTALETADAS A CADA 2,00M -  2 UTILIZAÇÕES. AF_10/2018</v>
          </cell>
          <cell r="E11" t="str">
            <v>M</v>
          </cell>
        </row>
        <row r="12">
          <cell r="C12" t="str">
            <v>Instalação provisória de energia elétrica, aerea, trifasica, em poste galvanizado, exclusive fornecimento do medidor</v>
          </cell>
          <cell r="E12" t="str">
            <v>un</v>
          </cell>
        </row>
        <row r="14">
          <cell r="A14" t="str">
            <v>2</v>
          </cell>
          <cell r="B14" t="str">
            <v>MOVIMENTO DE TERRA</v>
          </cell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</row>
        <row r="15">
          <cell r="A15" t="str">
            <v>2.1</v>
          </cell>
          <cell r="C15" t="str">
            <v>ATERRO MANUAL DE VALAS COM SOLO ARGILO-ARENOSO E COMPACTAÇÃO MECANIZADA. AF_05/2016</v>
          </cell>
          <cell r="E15" t="str">
            <v>M3</v>
          </cell>
        </row>
        <row r="16">
          <cell r="A16" t="str">
            <v>2.2</v>
          </cell>
          <cell r="C16" t="str">
            <v>ESCAVAÇÃO MANUAL PARA BLOCO DE COROAMENTO OU SAPATA (INCLUINDO ESCAVAÇÃO PARA COLOCAÇÃO DE FÔRMAS). AF_06/2017</v>
          </cell>
          <cell r="E16" t="str">
            <v>M3</v>
          </cell>
        </row>
        <row r="17">
          <cell r="A17" t="str">
            <v>2.3</v>
          </cell>
          <cell r="C17" t="str">
            <v>ATERRO MANUAL DE VALAS COM SOLO ARGILO-ARENOSO E COMPACTAÇÃO MECANIZADA. AF_05/2016</v>
          </cell>
          <cell r="E17" t="str">
            <v>M3</v>
          </cell>
        </row>
        <row r="22">
          <cell r="A22" t="str">
            <v>3</v>
          </cell>
          <cell r="B22" t="str">
            <v>FUNDAÇÃO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</row>
        <row r="23">
          <cell r="A23" t="str">
            <v>3.1</v>
          </cell>
          <cell r="C23" t="str">
            <v>CONCRETO MAGRO PARA LASTRO, TRAÇO 1:4,5:4,5 (EM MASSA SECA DE CIMENTO/ AREIA MÉDIA/ BRITA 1) - PREPARO MECÂNICO COM BETONEIRA 400 L. AF_05/2021</v>
          </cell>
          <cell r="E23" t="str">
            <v>M3</v>
          </cell>
        </row>
        <row r="24">
          <cell r="A24" t="str">
            <v>3.2</v>
          </cell>
          <cell r="C24" t="str">
            <v>Forma plana para fundações, em tábuas de pinho, 07 usos</v>
          </cell>
          <cell r="E24" t="str">
            <v>m²</v>
          </cell>
        </row>
        <row r="25">
          <cell r="A25" t="str">
            <v>3.3</v>
          </cell>
          <cell r="C25" t="str">
            <v>ARMAÇÃO DE BLOCO, VIGA BALDRAME OU SAPATA UTILIZANDO AÇO CA-50 DE 6,3 MM - MONTAGEM. AF_06/2017</v>
          </cell>
          <cell r="E25" t="str">
            <v>KG</v>
          </cell>
        </row>
        <row r="26">
          <cell r="A26" t="str">
            <v>3.4</v>
          </cell>
          <cell r="C26" t="str">
            <v>ARMAÇÃO DE BLOCO, VIGA BALDRAME OU SAPATA UTILIZANDO AÇO CA-50 DE 10 MM - MONTAGEM. AF_06/2017</v>
          </cell>
          <cell r="E26" t="str">
            <v>KG</v>
          </cell>
        </row>
        <row r="27">
          <cell r="A27" t="str">
            <v>3.5</v>
          </cell>
          <cell r="C27" t="str">
            <v>ARMAÇÃO DE BLOCO, VIGA BALDRAME OU SAPATA UTILIZANDO AÇO CA-50 DE 12,5 MM - MONTAGEM. AF_06/2017</v>
          </cell>
          <cell r="E27" t="str">
            <v>KG</v>
          </cell>
        </row>
        <row r="28">
          <cell r="A28" t="str">
            <v>3.6</v>
          </cell>
          <cell r="C28" t="str">
            <v>ARMAÇÃO DE BLOCO, VIGA BALDRAME E SAPATA UTILIZANDO AÇO CA-60 DE 5 MM - MONTAGEM. AF_06/2017</v>
          </cell>
          <cell r="E28" t="str">
            <v>KG</v>
          </cell>
        </row>
        <row r="29">
          <cell r="A29" t="str">
            <v>3.7</v>
          </cell>
          <cell r="C29" t="str">
            <v>CONCRETO FCK = 25MPA, TRAÇO 1:2,3:2,7 (EM MASSA SECA DE CIMENTO/ AREIA MÉDIA/ BRITA 1) - PREPARO MECÂNICO COM BETONEIRA 400 L. AF_05/2021</v>
          </cell>
          <cell r="E29" t="str">
            <v>M3</v>
          </cell>
        </row>
        <row r="30">
          <cell r="A30" t="str">
            <v>3.8</v>
          </cell>
          <cell r="C30" t="str">
            <v>LANÇAMENTO COM USO DE BOMBA, ADENSAMENTO E ACABAMENTO DE CONCRETO EM ESTRUTURAS. AF_12/2015</v>
          </cell>
          <cell r="E30" t="str">
            <v>M3</v>
          </cell>
        </row>
        <row r="31">
          <cell r="A31" t="str">
            <v>3.9</v>
          </cell>
        </row>
        <row r="33">
          <cell r="A33" t="str">
            <v>4</v>
          </cell>
          <cell r="B33" t="str">
            <v>ELEMENTO VAZADO</v>
          </cell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</row>
        <row r="34">
          <cell r="A34" t="str">
            <v>4.1</v>
          </cell>
          <cell r="C34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34" t="str">
            <v>M2</v>
          </cell>
        </row>
        <row r="35">
          <cell r="A35" t="str">
            <v>4.2</v>
          </cell>
          <cell r="C35" t="str">
            <v>ALVENARIA DE VEDAÇÃO COM ELEMENTO VAZADO DE CONCRETO (COBOGÓ) DE 7X50X50CM E ARGAMASSA DE ASSENTAMENTO COM PREPARO EM BETONEIRA. AF_05/2020</v>
          </cell>
          <cell r="E35" t="str">
            <v>M2</v>
          </cell>
        </row>
        <row r="36">
          <cell r="A36" t="str">
            <v>4.3</v>
          </cell>
          <cell r="C36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36" t="str">
            <v>M2</v>
          </cell>
        </row>
        <row r="37">
          <cell r="A37" t="str">
            <v>4.4</v>
          </cell>
          <cell r="C37" t="str">
            <v>(COMPOSIÇÃO REPRESENTATIVA) DO SERVIÇO DE ALVENARIA DE VEDAÇÃO DE BLOCOS VAZADOS DE CERÂMICA DE 14X9X19CM (ESPESSURA 14CM, BLOCO DEITADO), PARA EDIFICAÇÃO HABITACIONAL UNIFAMILIAR (CASA) E EDIFICAÇÃO PÚBLICA PADRÃO. AF_12/2014</v>
          </cell>
          <cell r="E37" t="str">
            <v>M2</v>
          </cell>
        </row>
        <row r="39">
          <cell r="A39" t="str">
            <v>5</v>
          </cell>
        </row>
        <row r="40">
          <cell r="A40" t="str">
            <v>5.1</v>
          </cell>
          <cell r="C40" t="str">
            <v>Forma plana para estruturas, em compensado plastificado de 12mm, 07 usos, inclusive escoramento - Revisada 07.2015</v>
          </cell>
          <cell r="E40" t="str">
            <v>m2</v>
          </cell>
        </row>
        <row r="41">
          <cell r="A41" t="str">
            <v>5.2</v>
          </cell>
          <cell r="C41" t="str">
            <v>ARMAÇÃO DE PILAR OU VIGA DE UMA ESTRUTURA CONVENCIONAL DE CONCRETO ARMADO EM UMA EDIFICAÇÃO TÉRREA OU SOBRADO UTILIZANDO AÇO CA-50 DE 6,3 MM - MONTAGEM. AF_12/2015</v>
          </cell>
          <cell r="E41" t="str">
            <v>KG</v>
          </cell>
        </row>
        <row r="42">
          <cell r="A42" t="str">
            <v>5.3</v>
          </cell>
          <cell r="C42" t="str">
            <v>ARMAÇÃO DE PILAR OU VIGA DE UMA ESTRUTURA CONVENCIONAL DE CONCRETO ARMADO EM UMA EDIFICAÇÃO TÉRREA OU SOBRADO UTILIZANDO AÇO CA-50 DE 10,0 MM - MONTAGEM. AF_12/2015</v>
          </cell>
          <cell r="E42" t="str">
            <v>KG</v>
          </cell>
        </row>
        <row r="43">
          <cell r="A43" t="str">
            <v>5.4</v>
          </cell>
          <cell r="C43" t="str">
            <v>ARMAÇÃO DE PILAR OU VIGA DE UMA ESTRUTURA CONVENCIONAL DE CONCRETO ARMADO EM UMA EDIFICAÇÃO TÉRREA OU SOBRADO UTILIZANDO AÇO CA-50 DE 12,5 MM - MONTAGEM. AF_12/2015</v>
          </cell>
          <cell r="E43" t="str">
            <v>KG</v>
          </cell>
        </row>
        <row r="44">
          <cell r="A44" t="str">
            <v>5.5</v>
          </cell>
          <cell r="C44" t="str">
            <v>ARMAÇÃO DE PILAR OU VIGA DE UMA ESTRUTURA CONVENCIONAL DE CONCRETO ARMADO EM UMA EDIFICAÇÃO TÉRREA OU SOBRADO UTILIZANDO AÇO CA-60 DE 5,0 MM - MONTAGEM. AF_12/2015</v>
          </cell>
          <cell r="E44" t="str">
            <v>KG</v>
          </cell>
        </row>
        <row r="45">
          <cell r="A45" t="str">
            <v>5.6</v>
          </cell>
          <cell r="C45" t="str">
            <v>CONCRETO FCK = 25MPA, TRAÇO 1:2,3:2,7 (EM MASSA SECA DE CIMENTO/ AREIA MÉDIA/ BRITA 1) - PREPARO MECÂNICO COM BETONEIRA 600 L. AF_05/2021</v>
          </cell>
          <cell r="E45" t="str">
            <v>M3</v>
          </cell>
        </row>
        <row r="46">
          <cell r="A46" t="str">
            <v>5.7</v>
          </cell>
          <cell r="C46" t="str">
            <v>LANÇAMENTO COM USO DE BOMBA, ADENSAMENTO E ACABAMENTO DE CONCRETO EM ESTRUTURAS. AF_12/2015</v>
          </cell>
          <cell r="E46" t="str">
            <v>M3</v>
          </cell>
        </row>
        <row r="47">
          <cell r="A47" t="str">
            <v>5.8</v>
          </cell>
          <cell r="C47" t="str">
            <v>LAJE PRÉ-MOLDADA UNIDIRECIONAL, BIAPOIADA, PARA PISO, ENCHIMENTO EM CERÂMICA, VIGOTA CONVENCIONAL, ALTURA TOTAL DA LAJE (ENCHIMENTO+CAPA) = (8+4). AF_11/2020</v>
          </cell>
          <cell r="E47" t="str">
            <v>M2</v>
          </cell>
        </row>
        <row r="48">
          <cell r="A48" t="str">
            <v>5.9</v>
          </cell>
          <cell r="C48" t="str">
            <v>VERGA PRÉ-MOLDADA PARA PORTAS COM ATÉ 1,5 M DE VÃO. AF_03/2016</v>
          </cell>
          <cell r="E48" t="str">
            <v>M</v>
          </cell>
        </row>
        <row r="49">
          <cell r="A49" t="str">
            <v>5.10</v>
          </cell>
          <cell r="C49" t="str">
            <v>VERGA PRÉ-MOLDADA PARA JANELAS COM ATÉ 1,5 M DE VÃO. AF_03/2016</v>
          </cell>
          <cell r="E49" t="str">
            <v>M</v>
          </cell>
        </row>
        <row r="50">
          <cell r="A50" t="str">
            <v>5.10.1</v>
          </cell>
          <cell r="C50" t="str">
            <v>ARMAÇÃO DE PILAR OU VIGA DE UMA ESTRUTURA CONVENCIONAL DE CONCRETO ARMADO EM UMA EDIFICAÇÃO TÉRREA OU SOBRADO UTILIZANDO AÇO CA-50 DE 8,0 MM - MONTAGEM. AF_12/2015</v>
          </cell>
          <cell r="E50" t="str">
            <v>M2</v>
          </cell>
        </row>
        <row r="51">
          <cell r="A51" t="str">
            <v>5.11</v>
          </cell>
          <cell r="B51" t="str">
            <v>MURO DE CONTORNO</v>
          </cell>
          <cell r="C51"/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</row>
        <row r="52">
          <cell r="A52" t="str">
            <v>5.11.1</v>
          </cell>
          <cell r="C52" t="str">
            <v>Muro em alvenaria bloco cerâmico, e= 0,09m, c/ alv de pedra granítica, 0,35 x 0,60m, colunas (9x20cm) e cintamento (9x15cm) superior e inferior concreto armado fck = 15,0 Mpa cada 3,00m, chapisco e reboco</v>
          </cell>
          <cell r="E52" t="str">
            <v>m2</v>
          </cell>
        </row>
        <row r="53">
          <cell r="A53" t="str">
            <v>5.11.2</v>
          </cell>
          <cell r="C53" t="str">
            <v>ESCAVAÇÃO MANUAL PARA BLOCO DE COROAMENTO OU SAPATA (INCLUINDO ESCAVAÇÃO PARA COLOCAÇÃO DE FÔRMAS). AF_06/2017</v>
          </cell>
          <cell r="E53" t="str">
            <v>un</v>
          </cell>
        </row>
        <row r="54">
          <cell r="A54" t="str">
            <v>5.11.3</v>
          </cell>
          <cell r="C54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54" t="str">
            <v>M2</v>
          </cell>
        </row>
        <row r="55">
          <cell r="A55" t="str">
            <v>5.11.4</v>
          </cell>
          <cell r="C55" t="str">
            <v>CONCRETO FCK = 25MPA, TRAÇO 1:2,3:2,7 (EM MASSA SECA DE CIMENTO/ AREIA MÉDIA/ BRITA 1) - PREPARO MECÂNICO COM BETONEIRA 400 L. AF_05/2021</v>
          </cell>
          <cell r="E55" t="str">
            <v>M3</v>
          </cell>
        </row>
        <row r="56">
          <cell r="A56" t="str">
            <v>5.11.5</v>
          </cell>
          <cell r="C56" t="str">
            <v>CHAPISCO APLICADO EM ALVENARIAS E ESTRUTURAS DE CONCRETO INTERNAS, COM COLHER DE PEDREIRO.  ARGAMASSA TRAÇO 1:3 COM PREPARO EM BETONEIRA 400L. AF_06/2014</v>
          </cell>
          <cell r="E56" t="str">
            <v>M2</v>
          </cell>
        </row>
        <row r="57">
          <cell r="A57" t="str">
            <v>5.11.6</v>
          </cell>
          <cell r="C57" t="str">
            <v>MASSA ÚNICA, PARA RECEBIMENTO DE PINTURA, EM ARGAMASSA TRAÇO 1:2:8, PREPARO MECÂNICO COM BETONEIRA 400L, APLICADA MANUALMENTE EM FACES INTERNAS DE PAREDES, ESPESSURA DE 10MM, COM EXECUÇÃO DE TALISCAS. AF_06/2014</v>
          </cell>
          <cell r="E57" t="str">
            <v>M2</v>
          </cell>
        </row>
        <row r="59">
          <cell r="A59" t="str">
            <v>6</v>
          </cell>
          <cell r="B59" t="str">
            <v>COBERTA</v>
          </cell>
          <cell r="C59"/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</row>
        <row r="60">
          <cell r="A60" t="str">
            <v>6.1</v>
          </cell>
          <cell r="C60" t="str">
            <v>TELHAMENTO COM TELHA CERÂMICA CAPA-CANAL, TIPO COLONIAL, COM ATÉ 2 ÁGUAS, INCLUSO TRANSPORTE VERTICAL. AF_07/2019</v>
          </cell>
          <cell r="E60" t="str">
            <v>M2</v>
          </cell>
        </row>
        <row r="61">
          <cell r="A61" t="str">
            <v>6.2</v>
          </cell>
          <cell r="C61" t="str">
            <v>FABRICAÇÃO E INSTALAÇÃO DE TESOURA INTEIRA EM MADEIRA NÃO APARELHADA, VÃO DE 8 M, PARA TELHA CERÂMICA OU DE CONCRETO, INCLUSO IÇAMENTO. AF_07/2019</v>
          </cell>
          <cell r="E61" t="str">
            <v>UN</v>
          </cell>
        </row>
        <row r="62">
          <cell r="A62" t="str">
            <v>6.3</v>
          </cell>
          <cell r="C62" t="str">
            <v>FABRICAÇÃO E INSTALAÇÃO DE TESOURA INTEIRA EM MADEIRA NÃO APARELHADA, VÃO DE 10 M, PARA TELHA CERÂMICA OU DE CONCRETO, INCLUSO IÇAMENTO. AF_07/2019</v>
          </cell>
          <cell r="E62" t="str">
            <v>UN</v>
          </cell>
        </row>
        <row r="63">
          <cell r="A63" t="str">
            <v>6.4</v>
          </cell>
          <cell r="C63" t="str">
            <v>CUMEEIRA PARA TELHA CERÂMICA EMBOÇADA COM ARGAMASSA TRAÇO 1:2:9 (CIMENTO, CAL E AREIA) PARA TELHADOS COM ATÉ 2 ÁGUAS, INCLUSO TRANSPORTE VERTICAL. AF_07/2019</v>
          </cell>
          <cell r="E63" t="str">
            <v>M</v>
          </cell>
        </row>
        <row r="64">
          <cell r="A64" t="str">
            <v>6.5</v>
          </cell>
          <cell r="C64" t="str">
            <v>TRAMA DE MADEIRA COMPOSTA POR RIPAS, CAIBROS E TERÇAS PARA TELHADOS DE ATÉ 2 ÁGUAS PARA TELHA DE ENCAIXE DE CERÂMICA OU DE CONCRETO, INCLUSO TRANSPORTE VERTICAL. AF_07/2019</v>
          </cell>
          <cell r="E64" t="str">
            <v>M2</v>
          </cell>
        </row>
        <row r="65">
          <cell r="A65" t="str">
            <v>6.6</v>
          </cell>
          <cell r="C65" t="str">
            <v>FORRO EM PLACAS DE GESSO, PARA AMBIENTES COMERCIAIS. AF_05/2017_P</v>
          </cell>
          <cell r="E65" t="str">
            <v>M2</v>
          </cell>
        </row>
        <row r="66">
          <cell r="A66" t="str">
            <v>6.7</v>
          </cell>
          <cell r="C66" t="str">
            <v>Fornecimento e implantação de viga em concreto pré-moldado, seção = 12x20cm</v>
          </cell>
          <cell r="E66" t="str">
            <v>m</v>
          </cell>
        </row>
        <row r="67">
          <cell r="A67" t="str">
            <v>6.8</v>
          </cell>
          <cell r="C67" t="str">
            <v>CALHA EM CHAPA DE AÇO GALVANIZADO NÚMERO 24, DESENVOLVIMENTO DE 50 CM, INCLUSO TRANSPORTE VERTICAL. AF_07/2019</v>
          </cell>
          <cell r="E67" t="str">
            <v>M</v>
          </cell>
        </row>
        <row r="68">
          <cell r="A68" t="str">
            <v>6.9</v>
          </cell>
          <cell r="C68" t="str">
            <v>TUBO PVC, SÉRIE R, ÁGUA PLUVIAL, DN 75 MM, FORNECIDO E INSTALADO EM CONDUTORES VERTICAIS DE ÁGUAS PLUVIAIS. AF_12/2014</v>
          </cell>
          <cell r="E68" t="str">
            <v>M</v>
          </cell>
        </row>
        <row r="69">
          <cell r="A69" t="str">
            <v>6.10</v>
          </cell>
          <cell r="C69" t="str">
            <v>TUBO PVC, SÉRIE R, ÁGUA PLUVIAL, DN 100 MM, FORNECIDO E INSTALADO EM RAMAL DE ENCAMINHAMENTO. AF_12/2014</v>
          </cell>
          <cell r="E69" t="str">
            <v>M</v>
          </cell>
        </row>
        <row r="71">
          <cell r="A71" t="str">
            <v>7</v>
          </cell>
          <cell r="B71" t="str">
            <v>PAVIMENTAÇÃO</v>
          </cell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</row>
        <row r="72">
          <cell r="A72" t="str">
            <v>7.1</v>
          </cell>
          <cell r="C72" t="str">
            <v>LASTRO DE CONCRETO MAGRO, APLICADO EM PISOS, LAJES SOBRE SOLO OU RADIERS, ESPESSURA DE 5 CM. AF_07/2016</v>
          </cell>
          <cell r="E72" t="str">
            <v>M2</v>
          </cell>
        </row>
        <row r="73">
          <cell r="A73" t="str">
            <v>7.2</v>
          </cell>
          <cell r="C73" t="str">
            <v>Fornecimento e instalação de tela aço soldada nervurada CA-60, malha 15x15cm, ferro 4.2mm, painel 2x3m, (1,50kg/m²), Malha Pop Reforçada Gerdau ou similar</v>
          </cell>
          <cell r="E73" t="str">
            <v>m2</v>
          </cell>
        </row>
        <row r="74">
          <cell r="A74" t="str">
            <v>7.3</v>
          </cell>
          <cell r="C74" t="str">
            <v>CONTRAPISO EM ARGAMASSA TRAÇO 1:4 (CIMENTO E AREIA), PREPARO MANUAL, APLICADO EM ÁREAS SECAS SOBRE LAJE, ADERIDO, ACABAMENTO NÃO REFORÇADO, ESPESSURA 3CM. AF_07/2021</v>
          </cell>
          <cell r="E74" t="str">
            <v>M2</v>
          </cell>
        </row>
        <row r="75">
          <cell r="A75" t="str">
            <v>7.4</v>
          </cell>
          <cell r="C75" t="str">
            <v>LASTRO COM MATERIAL GRANULAR (AREIA MÉDIA), APLICADO EM PISOS OU LAJES SOBRE SOLO, ESPESSURA DE *10 CM*. AF_07/2019</v>
          </cell>
          <cell r="E75" t="str">
            <v>M3</v>
          </cell>
        </row>
        <row r="76">
          <cell r="A76" t="str">
            <v>7.5</v>
          </cell>
          <cell r="C76" t="str">
            <v>ASSENTAMENTO DE GUIA (MEIO-FIO) EM TRECHO RETO, CONFECCIONADA EM CONCRETO PRÉ-FABRICADO, DIMENSÕES 100X15X13X30 CM (COMPRIMENTO X BASE INFERIOR X BASE SUPERIOR X ALTURA), PARA VIAS URBANAS (USO VIÁRIO). AF_06/2016</v>
          </cell>
          <cell r="E76" t="str">
            <v>M</v>
          </cell>
        </row>
        <row r="77">
          <cell r="A77" t="str">
            <v>7.6</v>
          </cell>
          <cell r="C77" t="str">
            <v>RODAPÉ EM MARMORITE, ALTURA 10CM. AF_09/2020</v>
          </cell>
          <cell r="E77" t="str">
            <v>M</v>
          </cell>
        </row>
        <row r="78">
          <cell r="A78" t="str">
            <v>7.7</v>
          </cell>
          <cell r="C78" t="str">
            <v>EXECUÇÃO DE PÁTIO/ESTACIONAMENTO EM PISO INTERTRAVADO, COM BLOCO RETANGULAR COR NATURAL DE 20 X 10 CM, ESPESSURA 6 CM. AF_12/2015</v>
          </cell>
          <cell r="E78" t="str">
            <v>M2</v>
          </cell>
        </row>
        <row r="79">
          <cell r="A79" t="str">
            <v>7.8</v>
          </cell>
          <cell r="C79" t="str">
            <v>PISO EM GRANILITE, MARMORITE OU GRANITINA, AGREGADO COR PRETO, CINZA, PALHA OU BRANCO, E=  *8* MM (INCLUSO EXECUCAO)</v>
          </cell>
          <cell r="E79" t="str">
            <v>M2</v>
          </cell>
        </row>
        <row r="81">
          <cell r="A81" t="str">
            <v>8</v>
          </cell>
          <cell r="B81" t="str">
            <v>REVESTIMENTOS</v>
          </cell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</row>
        <row r="82">
          <cell r="A82" t="str">
            <v>8.1</v>
          </cell>
          <cell r="C82" t="str">
            <v>CHAPISCO APLICADO EM ALVENARIAS E ESTRUTURAS DE CONCRETO INTERNAS, COM COLHER DE PEDREIRO.  ARGAMASSA TRAÇO 1:3 COM PREPARO EM BETONEIRA 400L. AF_06/2014</v>
          </cell>
          <cell r="E82" t="str">
            <v>M2</v>
          </cell>
        </row>
        <row r="83">
          <cell r="A83" t="str">
            <v>8.2</v>
          </cell>
          <cell r="C83" t="str">
            <v>MASSA ÚNICA, PARA RECEBIMENTO DE PINTURA, EM ARGAMASSA TRAÇO 1:2:8, PREPARO MECÂNICO COM BETONEIRA 400L, APLICADA MANUALMENTE EM FACES INTERNAS DE PAREDES, ESPESSURA DE 10MM, COM EXECUÇÃO DE TALISCAS. AF_06/2014</v>
          </cell>
          <cell r="E83" t="str">
            <v>M2</v>
          </cell>
        </row>
        <row r="84">
          <cell r="A84" t="str">
            <v>8.3</v>
          </cell>
          <cell r="C84" t="str">
            <v>EMBOÇO, PARA RECEBIMENTO DE CERÂMICA, EM ARGAMASSA TRAÇO 1:2:8, PREPARO MECÂNICO COM BETONEIRA 400L, APLICADO MANUALMENTE EM FACES INTERNAS DE PAREDES, PARA AMBIENTE COM ÁREA MAIOR QUE 10M2, ESPESSURA DE 10MM, COM EXECUÇÃO DE TALISCAS. AF_06/2014</v>
          </cell>
          <cell r="E84" t="str">
            <v>M2</v>
          </cell>
        </row>
        <row r="85">
          <cell r="A85" t="str">
            <v>8.4</v>
          </cell>
          <cell r="C85" t="str">
            <v>REVESTIMENTO CERÂMICO PARA PISO COM PLACAS TIPO ESMALTADA EXTRA DE DIMENSÕES 45X45 CM APLICADA EM AMBIENTES DE ÁREA MAIOR QUE 10 M2. AF_06/2014</v>
          </cell>
          <cell r="E85" t="str">
            <v>M2</v>
          </cell>
        </row>
        <row r="86">
          <cell r="A86" t="str">
            <v>8.5</v>
          </cell>
          <cell r="C86" t="str">
            <v>ARGAMASSA TRAÇO 1:7 (EM VOLUME DE CIMENTO E AREIA MÉDIA ÚMIDA) COM ADIÇÃO DE PLASTIFICANTE PARA EMBOÇO/MASSA ÚNICA/ASSENTAMENTO DE ALVENARIA DE VEDAÇÃO, PREPARO MECÂNICO COM BETONEIRA 400 L. AF_08/2019</v>
          </cell>
          <cell r="E86" t="str">
            <v>M3</v>
          </cell>
        </row>
        <row r="88">
          <cell r="A88" t="str">
            <v>9</v>
          </cell>
          <cell r="B88" t="str">
            <v>ESQUADRIAS, FERRAGENS, VIDROS, BANCADAS E DIVISÓRIAS</v>
          </cell>
          <cell r="C88"/>
          <cell r="D88"/>
          <cell r="E88"/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</row>
        <row r="89">
          <cell r="A89" t="str">
            <v>9.1</v>
          </cell>
          <cell r="C89" t="str">
            <v>KIT DE PORTA DE MADEIRA PARA PINTURA, SEMI-OCA (LEVE OU MÉDIA), PADRÃO POPULAR, 60X210CM, ESPESSURA DE 3,5CM, ITENS INCLUSOS: DOBRADIÇAS, MONTAGEM E INSTALAÇÃO DO BATENTE, FECHADURA COM EXECUÇÃO DO FURO - FORNECIMENTO E INSTALAÇÃO. AF_12/2019</v>
          </cell>
          <cell r="E89" t="str">
            <v>UN</v>
          </cell>
        </row>
        <row r="90">
          <cell r="A90" t="str">
            <v>9.2</v>
          </cell>
          <cell r="C90" t="str">
            <v>KIT DE PORTA DE MADEIRA PARA PINTURA, SEMI-OCA (LEVE OU MÉDIA), PADRÃO POPULAR, 70X210CM, ESPESSURA DE 3,5CM, ITENS INCLUSOS: DOBRADIÇAS, MONTAGEM E INSTALAÇÃO DO BATENTE, FECHADURA COM EXECUÇÃO DO FURO - FORNECIMENTO E INSTALAÇÃO. AF_12/2019</v>
          </cell>
          <cell r="E90" t="str">
            <v>UN</v>
          </cell>
        </row>
        <row r="91">
          <cell r="A91" t="str">
            <v>9.3</v>
          </cell>
          <cell r="C91" t="str">
            <v>KIT DE PORTA DE MADEIRA PARA PINTURA, SEMI-OCA (LEVE OU MÉDIA), PADRÃO POPULAR, 80X210CM, ESPESSURA DE 3,5CM, ITENS INCLUSOS: DOBRADIÇAS, MONTAGEM E INSTALAÇÃO DO BATENTE, FECHADURA COM EXECUÇÃO DO FURO - FORNECIMENTO E INSTALAÇÃO. AF_12/2019</v>
          </cell>
          <cell r="E91" t="str">
            <v>UN</v>
          </cell>
        </row>
        <row r="92">
          <cell r="A92" t="str">
            <v>9.4</v>
          </cell>
          <cell r="C92" t="str">
            <v>KIT DE PORTA DE MADEIRA PARA PINTURA, SEMI-OCA (LEVE OU MÉDIA), PADRÃO POPULAR, 90X210CM, ESPESSURA DE 3,5CM, ITENS INCLUSOS: DOBRADIÇAS, MONTAGEM E INSTALAÇÃO DO BATENTE, FECHADURA COM EXECUÇÃO DO FURO - FORNECIMENTO E INSTALAÇÃO. AF_12/2019</v>
          </cell>
          <cell r="E92" t="str">
            <v>UN</v>
          </cell>
        </row>
        <row r="93">
          <cell r="A93" t="str">
            <v>9.5</v>
          </cell>
          <cell r="C93" t="str">
            <v>PORTA EM ALUMÍNIO DE ABRIR TIPO VENEZIANA COM GUARNIÇÃO, FIXAÇÃO COM PARAFUSOS - FORNECIMENTO E INSTALAÇÃO. AF_12/2019</v>
          </cell>
          <cell r="E93" t="str">
            <v>M2</v>
          </cell>
        </row>
        <row r="94">
          <cell r="A94" t="str">
            <v>9.6</v>
          </cell>
          <cell r="C94" t="str">
            <v>Janela basculante, moldura em barra chata de ferro 1x1/4, e cantoneira 1x1x1/4 - exclusive vidro</v>
          </cell>
          <cell r="E94" t="str">
            <v>m2</v>
          </cell>
        </row>
        <row r="95">
          <cell r="A95" t="str">
            <v>9.7</v>
          </cell>
          <cell r="C95" t="str">
            <v>Vidro fantasia canelado 4 mm</v>
          </cell>
          <cell r="E95" t="str">
            <v>m2</v>
          </cell>
        </row>
        <row r="96">
          <cell r="A96" t="str">
            <v>9.8</v>
          </cell>
          <cell r="C96" t="str">
            <v>JANELA DE ALUMÍNIO DE CORRER COM 2 FOLHAS PARA VIDROS, COM VIDROS, BATENTE, ACABAMENTO COM ACETATO OU BRILHANTE E FERRAGENS. EXCLUSIVE ALIZAR E CONTRAMARCO. FORNECIMENTO E INSTALAÇÃO. AF_12/2019</v>
          </cell>
          <cell r="E96" t="str">
            <v>M2</v>
          </cell>
        </row>
        <row r="97">
          <cell r="A97" t="str">
            <v>9.9</v>
          </cell>
          <cell r="C97" t="str">
            <v>JANELA DE ALUMÍNIO TIPO MAXIM-AR, COM VIDROS, BATENTE E FERRAGENS. EXCLUSIVE ALIZAR, ACABAMENTO E CONTRAMARCO. FORNECIMENTO E INSTALAÇÃO. AF_12/2019</v>
          </cell>
          <cell r="E97" t="str">
            <v>M2</v>
          </cell>
        </row>
        <row r="98">
          <cell r="A98" t="str">
            <v>9.10</v>
          </cell>
          <cell r="C98" t="str">
            <v>Portão de ferro de abrir, quadro em tubo de aço galv.1 1/2", barra quadrada 1/2" na vertical e barra chata de 1 x 3/16" na horizontal, inclusive dobradiças e e ferrolho</v>
          </cell>
          <cell r="E98" t="str">
            <v>m2</v>
          </cell>
        </row>
        <row r="99">
          <cell r="A99" t="str">
            <v>9.11</v>
          </cell>
          <cell r="C99" t="str">
            <v>Grade ferro 1/2 x 1/2"</v>
          </cell>
          <cell r="E99" t="str">
            <v>m2</v>
          </cell>
        </row>
        <row r="100">
          <cell r="A100" t="str">
            <v>9.12</v>
          </cell>
          <cell r="C100" t="str">
            <v>Divisória em granito cinza andorinha polido, e=2cm, inclusive montagem com ferragens - Rev 02</v>
          </cell>
          <cell r="E100" t="str">
            <v>m2</v>
          </cell>
        </row>
        <row r="101">
          <cell r="A101" t="str">
            <v>9.13</v>
          </cell>
          <cell r="C101" t="str">
            <v>Bancada em granito cinza andorinha, e=2cm</v>
          </cell>
          <cell r="E101" t="str">
            <v>m2</v>
          </cell>
        </row>
        <row r="102">
          <cell r="A102" t="str">
            <v>9.14</v>
          </cell>
          <cell r="C102" t="str">
            <v>Bandeira fixa em madeira para vidro</v>
          </cell>
          <cell r="E102" t="str">
            <v>m2</v>
          </cell>
        </row>
        <row r="104">
          <cell r="A104" t="str">
            <v>10</v>
          </cell>
          <cell r="B104" t="str">
            <v>IMPERMEABILIZAÇÃO</v>
          </cell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</row>
        <row r="105">
          <cell r="A105" t="str">
            <v>10.1</v>
          </cell>
          <cell r="C105" t="str">
            <v>Impermeabilização com asfalto elastomérico c/armação de véu de poliéster, inclusive primer  (p/fundação)</v>
          </cell>
          <cell r="E105" t="str">
            <v>m2</v>
          </cell>
        </row>
        <row r="106">
          <cell r="A106" t="str">
            <v>10.2</v>
          </cell>
          <cell r="C106" t="str">
            <v>IMPERMEABILIZAÇÃO DE SUPERFÍCIE COM MANTA ASFÁLTICA, UMA CAMADA, INCLUSIVE APLICAÇÃO DE PRIMER ASFÁLTICO, E=3MM. AF_06/2018</v>
          </cell>
          <cell r="E106" t="str">
            <v>M2</v>
          </cell>
        </row>
        <row r="108">
          <cell r="A108" t="str">
            <v>11</v>
          </cell>
          <cell r="B108" t="str">
            <v>INSTALAÇÃO DE COMBATE A INCÊNDIO</v>
          </cell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</row>
        <row r="109">
          <cell r="A109" t="str">
            <v>11.1</v>
          </cell>
          <cell r="C109" t="str">
            <v>EXTINTOR DE INCÊNDIO PORTÁTIL COM CARGA DE ÁGUA PRESSURIZADA DE 10 L, CLASSE A - FORNECIMENTO E INSTALAÇÃO. AF_10/2020_P</v>
          </cell>
          <cell r="E109" t="str">
            <v>UN</v>
          </cell>
        </row>
        <row r="110">
          <cell r="A110" t="str">
            <v>11.2</v>
          </cell>
          <cell r="C110" t="str">
            <v>EXTINTOR DE INCÊNDIO PORTÁTIL COM CARGA DE PQS DE 4 KG, CLASSE BC - FORNECIMENTO E INSTALAÇÃO. AF_10/2020_P</v>
          </cell>
          <cell r="E110" t="str">
            <v>UN</v>
          </cell>
        </row>
        <row r="111">
          <cell r="A111" t="str">
            <v>11.3</v>
          </cell>
          <cell r="C111" t="str">
            <v>Luminaria autônoma de emergencia com lâmapda halógena H3/12v, ref. Lux 110, da Luxtron ou similar - Rev.01</v>
          </cell>
          <cell r="E111" t="str">
            <v>un</v>
          </cell>
        </row>
        <row r="112">
          <cell r="A112" t="str">
            <v>11.4</v>
          </cell>
          <cell r="C112" t="str">
            <v>Placa de sinalizacao de seguranca contra incendio, fotoluminescente, retangular, *12 x 40* cm, em pvc *2* mm anti-chamas (simbolos, cores e pictogramas conforme nbr 13434)</v>
          </cell>
          <cell r="E112" t="str">
            <v>Un</v>
          </cell>
        </row>
        <row r="113">
          <cell r="A113" t="str">
            <v>11.5</v>
          </cell>
          <cell r="C113" t="str">
            <v>Placa de sinalizacao, fotoluminescente, em pvc , com logotipo "Extintor de incêndio portátil"- Placa E5</v>
          </cell>
          <cell r="E113" t="str">
            <v>un</v>
          </cell>
        </row>
        <row r="115">
          <cell r="A115" t="str">
            <v>12</v>
          </cell>
          <cell r="B115" t="str">
            <v>INSTALAÇÕES ELÉTRICAS</v>
          </cell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</row>
        <row r="116">
          <cell r="A116" t="str">
            <v>12.1</v>
          </cell>
          <cell r="C116" t="str">
            <v>CAIXA DE LIGAÇÃO PVC 4" X 2"</v>
          </cell>
          <cell r="E116" t="str">
            <v>UN</v>
          </cell>
        </row>
        <row r="117">
          <cell r="A117" t="str">
            <v>12.2</v>
          </cell>
          <cell r="C117" t="str">
            <v>CAIXA SEXTAVADA 3" X 3", METÁLICA, INSTALADA EM LAJE - FORNECIMENTO E INSTALAÇÃO. AF_12/2015</v>
          </cell>
          <cell r="E117" t="str">
            <v>UN</v>
          </cell>
        </row>
        <row r="118">
          <cell r="A118" t="str">
            <v>12.3</v>
          </cell>
          <cell r="C118" t="str">
            <v>CURVA 90 GRAUS PARA ELETRODUTO, PVC, ROSCÁVEL, DN 32 MM (1"), PARA CIRCUITOS TERMINAIS, INSTALADA EM PAREDE - FORNECIMENTO E INSTALAÇÃO. AF_12/2015</v>
          </cell>
          <cell r="E118" t="str">
            <v>UN</v>
          </cell>
        </row>
        <row r="119">
          <cell r="A119" t="str">
            <v>12.4</v>
          </cell>
          <cell r="C119" t="str">
            <v>CURVA 90 GRAUS PARA ELETRODUTO, PVC, ROSCÁVEL, DN 40 MM (1 1/4"), PARA CIRCUITOS TERMINAIS, INSTALADA EM PAREDE - FORNECIMENTO E INSTALAÇÃO. AF_12/2015</v>
          </cell>
          <cell r="E119" t="str">
            <v>UN</v>
          </cell>
        </row>
        <row r="120">
          <cell r="A120" t="str">
            <v>12.5</v>
          </cell>
          <cell r="C120" t="str">
            <v>ELETRODUTO FLEXÍVEL CORRUGADO REFORÇADO, PVC, DN 32 MM (1"), PARA CIRCUITOS TERMINAIS, INSTALADO EM PAREDE - FORNECIMENTO E INSTALAÇÃO. AF_12/2015</v>
          </cell>
          <cell r="E120" t="str">
            <v>M</v>
          </cell>
        </row>
        <row r="121">
          <cell r="A121" t="str">
            <v>12.6</v>
          </cell>
          <cell r="C121" t="str">
            <v>ELETRODUTO FLEXÍVEL CORRUGADO, PEAD, DN 40 MM (1 1/4"), PARA CIRCUITOS TERMINAIS, INSTALADO EM PAREDE - FORNECIMENTO E INSTALAÇÃO. AF_12/2015</v>
          </cell>
          <cell r="E121" t="str">
            <v>M</v>
          </cell>
        </row>
        <row r="122">
          <cell r="A122" t="str">
            <v>12.7</v>
          </cell>
          <cell r="C122" t="str">
            <v>ELETRODUTO FLEXÍVEL CORRUGADO REFORÇADO, PVC, DN 20 MM (1/2"), PARA CIRCUITOS TERMINAIS, INSTALADO EM PAREDE - FORNECIMENTO E INSTALAÇÃO. AF_12/2015</v>
          </cell>
          <cell r="E122" t="str">
            <v>M</v>
          </cell>
        </row>
        <row r="123">
          <cell r="A123" t="str">
            <v>12.8</v>
          </cell>
          <cell r="C123" t="str">
            <v>ELETRODUTO RÍGIDO ROSCÁVEL, PVC, DN 50 MM (1 1/2") - FORNECIMENTO E INSTALAÇÃO. AF_12/2015</v>
          </cell>
          <cell r="E123" t="str">
            <v>M</v>
          </cell>
        </row>
        <row r="124">
          <cell r="A124" t="str">
            <v>12.9</v>
          </cell>
          <cell r="C124" t="str">
            <v>ELETRODUTO RÍGIDO ROSCÁVEL, PVC, DN 40 MM (1 1/4"), PARA CIRCUITOS TERMINAIS, INSTALADO EM PAREDE - FORNECIMENTO E INSTALAÇÃO. AF_12/2015</v>
          </cell>
          <cell r="E124" t="str">
            <v>M</v>
          </cell>
        </row>
        <row r="125">
          <cell r="A125" t="str">
            <v>12.10</v>
          </cell>
          <cell r="C125" t="str">
            <v>ELETRODUTO RÍGIDO ROSCÁVEL, PVC, DN 32 MM (1"), PARA CIRCUITOS TERMINAIS, INSTALADO EM PAREDE - FORNECIMENTO E INSTALAÇÃO. AF_12/2015</v>
          </cell>
          <cell r="E125" t="str">
            <v>M</v>
          </cell>
        </row>
        <row r="126">
          <cell r="A126" t="str">
            <v>12.11</v>
          </cell>
          <cell r="C126" t="str">
            <v>LUVA PARA ELETRODUTO, PVC, ROSCÁVEL, DN 32 MM (1"), PARA CIRCUITOS TERMINAIS, INSTALADA EM FORRO - FORNECIMENTO E INSTALAÇÃO. AF_12/2015</v>
          </cell>
          <cell r="E126" t="str">
            <v>UN</v>
          </cell>
        </row>
        <row r="127">
          <cell r="A127" t="str">
            <v>12.12</v>
          </cell>
          <cell r="C127" t="str">
            <v>LUVA PARA ELETRODUTO, PVC, ROSCÁVEL, DN 40 MM (1 1/4"), PARA CIRCUITOS TERMINAIS, INSTALADA EM FORRO - FORNECIMENTO E INSTALAÇÃO. AF_12/2015</v>
          </cell>
          <cell r="E127" t="str">
            <v>UN</v>
          </cell>
        </row>
        <row r="128">
          <cell r="A128" t="str">
            <v>12.13</v>
          </cell>
          <cell r="C128" t="str">
            <v>LUVA PARA ELETRODUTO, PVC, ROSCÁVEL, DN 50 MM (1 1/2") - FORNECIMENTO E INSTALAÇÃO. AF_12/2015</v>
          </cell>
          <cell r="E128" t="str">
            <v>UN</v>
          </cell>
        </row>
        <row r="129">
          <cell r="A129" t="str">
            <v>12.14</v>
          </cell>
          <cell r="C129" t="str">
            <v>QUADRO DE DISTRIBUIÇÃO DE ENERGIA EM CHAPA DE AÇO GALVANIZADO, DE EMBUTIR, COM BARRAMENTO TRIFÁSICO, PARA 24 DISJUNTORES DIN 100A - FORNECIMENTO E INSTALAÇÃO. AF_10/2020</v>
          </cell>
          <cell r="E129" t="str">
            <v>UN</v>
          </cell>
        </row>
        <row r="130">
          <cell r="A130" t="str">
            <v>12.15</v>
          </cell>
          <cell r="C130" t="str">
            <v>QUADRO DE DISTRIBUIÇÃO DE ENERGIA EM CHAPA DE AÇO GALVANIZADO, DE SOBREPOR, COM BARRAMENTO TRIFÁSICO, PARA 18 DISJUNTORES DIN 100A - FORNECIMENTO E INSTALAÇÃO. AF_10/2020</v>
          </cell>
          <cell r="E130" t="str">
            <v>UN</v>
          </cell>
        </row>
        <row r="131">
          <cell r="A131" t="str">
            <v>12.16</v>
          </cell>
          <cell r="C131" t="str">
            <v>Tomada 2P + T - 10A</v>
          </cell>
          <cell r="E131" t="str">
            <v>PC</v>
          </cell>
        </row>
        <row r="132">
          <cell r="A132" t="str">
            <v>12.17</v>
          </cell>
          <cell r="C132" t="str">
            <v>Tomada 2p+t, ABNT, 10 A, para piso, com placa em metal amarelo e caixa pvc</v>
          </cell>
          <cell r="E132" t="str">
            <v>un</v>
          </cell>
        </row>
        <row r="133">
          <cell r="A133" t="str">
            <v>12.18</v>
          </cell>
          <cell r="C133" t="str">
            <v>TOMADA ALTA DE EMBUTIR (1 MÓDULO), 2P+T 10 A, INCLUINDO SUPORTE E PLACA - FORNECIMENTO E INSTALAÇÃO. AF_12/2015</v>
          </cell>
          <cell r="E133" t="str">
            <v>UN</v>
          </cell>
        </row>
        <row r="134">
          <cell r="A134" t="str">
            <v>12.19</v>
          </cell>
          <cell r="C134" t="str">
            <v>INTERRUPTOR SIMPLES (1 MÓDULO) COM 1 TOMADA DE EMBUTIR 2P+T 10 A,  INCLUINDO SUPORTE E PLACA - FORNECIMENTO E INSTALAÇÃO. AF_12/2015</v>
          </cell>
          <cell r="E134" t="str">
            <v>UN</v>
          </cell>
        </row>
        <row r="135">
          <cell r="A135" t="str">
            <v>12.20</v>
          </cell>
          <cell r="C135" t="str">
            <v>INTERRUPTOR SIMPLES (3 MÓDULOS) COM INTERRUPTOR PARALELO (1 MÓDULO), 10A/250V, INCLUINDO SUPORTE E PLACA - FORNECIMENTO E INSTALAÇÃO. AF_12/2015</v>
          </cell>
          <cell r="E135" t="str">
            <v>UN</v>
          </cell>
        </row>
        <row r="136">
          <cell r="A136" t="str">
            <v>12.21</v>
          </cell>
          <cell r="C136" t="str">
            <v>LUMINÁRIA TIPO CALHA, DE SOBREPOR, COM 2 LÂMPADAS TUBULARES FLUORESCENTES DE 18 W, COM REATOR DE PARTIDA RÁPIDA - FORNECIMENTO E INSTALAÇÃO. AF_02/2020</v>
          </cell>
          <cell r="E136" t="str">
            <v>UN</v>
          </cell>
        </row>
        <row r="137">
          <cell r="A137" t="str">
            <v>12.22</v>
          </cell>
          <cell r="C137" t="str">
            <v>LUMINÁRIA TIPO CALHA, DE SOBREPOR, COM 2 LÂMPADAS TUBULARES FLUORESCENTES DE 36 W, COM REATOR DE PARTIDA RÁPIDA - FORNECIMENTO E INSTALAÇÃO. AF_02/2020</v>
          </cell>
          <cell r="E137" t="str">
            <v>UN</v>
          </cell>
        </row>
        <row r="138">
          <cell r="A138" t="str">
            <v>12.23</v>
          </cell>
          <cell r="C138" t="str">
            <v>CABO DE COBRE FLEXÍVEL ISOLADO, 16 MM², 0,6/1,0 KV, PARA REDE AÉREA DE DISTRIBUIÇÃO DE ENERGIA ELÉTRICA DE BAIXA TENSÃO - FORNECIMENTO E INSTALAÇÃO. AF_07/2020</v>
          </cell>
          <cell r="E138" t="str">
            <v>M</v>
          </cell>
        </row>
        <row r="139">
          <cell r="A139" t="str">
            <v>12.24</v>
          </cell>
          <cell r="C139" t="str">
            <v>CABO DE COBRE FLEXÍVEL ISOLADO, 16 MM², 0,6/1,0 KV, PARA REDE AÉREA DE DISTRIBUIÇÃO DE ENERGIA ELÉTRICA DE BAIXA TENSÃO - FORNECIMENTO E INSTALAÇÃO. AF_07/2020</v>
          </cell>
          <cell r="E139" t="str">
            <v>M</v>
          </cell>
        </row>
        <row r="140">
          <cell r="A140" t="str">
            <v>12.25</v>
          </cell>
          <cell r="C140" t="str">
            <v>CABO DE COBRE FLEXÍVEL ISOLADO, 16 MM², 0,6/1,0 KV, PARA REDE AÉREA DE DISTRIBUIÇÃO DE ENERGIA ELÉTRICA DE BAIXA TENSÃO - FORNECIMENTO E INSTALAÇÃO. AF_07/2020</v>
          </cell>
          <cell r="E140" t="str">
            <v>M</v>
          </cell>
        </row>
        <row r="141">
          <cell r="A141" t="str">
            <v>12.26</v>
          </cell>
          <cell r="C141" t="str">
            <v>Disjuntor bipolar DR 25 A  - Dispositivo residual diferencial, tipo AC, 30MA, ref.5SM1 312-OMB, Siemens ou similar</v>
          </cell>
          <cell r="E141" t="str">
            <v>un</v>
          </cell>
        </row>
        <row r="142">
          <cell r="A142" t="str">
            <v>12.27</v>
          </cell>
          <cell r="C142" t="str">
            <v>DISJUNTOR MONOPOLAR TIPO DIN, CORRENTE NOMINAL DE 25A - FORNECIMENTO E INSTALAÇÃO. AF_10/2020</v>
          </cell>
          <cell r="E142" t="str">
            <v>UN</v>
          </cell>
        </row>
        <row r="143">
          <cell r="A143" t="str">
            <v>12.28</v>
          </cell>
          <cell r="C143" t="str">
            <v>DISJUNTOR MONOPOLAR TIPO DIN, CORRENTE NOMINAL DE 10A - FORNECIMENTO E INSTALAÇÃO. AF_10/2020</v>
          </cell>
          <cell r="E143" t="str">
            <v>UN</v>
          </cell>
        </row>
        <row r="144">
          <cell r="A144" t="str">
            <v>12.29</v>
          </cell>
          <cell r="C144" t="str">
            <v>DISJUNTOR TRIPOLAR TIPO NEMA, CORRENTE NOMINAL DE 10 ATÉ 50A - FORNECIMENTO E INSTALAÇÃO. AF_10/2020</v>
          </cell>
          <cell r="E144" t="str">
            <v>UN</v>
          </cell>
        </row>
        <row r="145">
          <cell r="A145" t="str">
            <v>12.30</v>
          </cell>
          <cell r="C145" t="str">
            <v>DISJUNTOR TRIPOLAR TIPO NEMA, CORRENTE NOMINAL DE 10 ATÉ 50A - FORNECIMENTO E INSTALAÇÃO. AF_10/2020</v>
          </cell>
          <cell r="E145" t="str">
            <v>UN</v>
          </cell>
        </row>
        <row r="146">
          <cell r="A146" t="str">
            <v>12.31</v>
          </cell>
          <cell r="C146" t="str">
            <v>CABO DE COBRE FLEXÍVEL ISOLADO, 4 MM², ANTI-CHAMA 450/750 V, PARA CIRCUITOS TERMINAIS - FORNECIMENTO E INSTALAÇÃO. AF_12/2015</v>
          </cell>
          <cell r="E146" t="str">
            <v>M</v>
          </cell>
        </row>
        <row r="147">
          <cell r="A147" t="str">
            <v>12.32</v>
          </cell>
          <cell r="C147" t="str">
            <v>CABO DE COBRE FLEXÍVEL ISOLADO, 1,5 MM², ANTI-CHAMA 450/750 V, PARA CIRCUITOS TERMINAIS - FORNECIMENTO E INSTALAÇÃO. AF_12/2015</v>
          </cell>
          <cell r="E147" t="str">
            <v>M</v>
          </cell>
        </row>
        <row r="148">
          <cell r="A148" t="str">
            <v>12.33</v>
          </cell>
          <cell r="C148" t="str">
            <v>CAIXA PARA MEDIDOR TRIFÁSICO - PADRÃO ENERGISA</v>
          </cell>
          <cell r="E148" t="str">
            <v>pc</v>
          </cell>
        </row>
        <row r="149">
          <cell r="A149" t="str">
            <v>12.34</v>
          </cell>
          <cell r="C149" t="str">
            <v>CAIXA DE INSPEÇÃO PARA ATERRAMENTO, CIRCULAR, EM POLIETILENO, DIÂMETRO INTERNO = 0,3 M. AF_12/2020</v>
          </cell>
          <cell r="E149" t="str">
            <v>UN</v>
          </cell>
        </row>
        <row r="150">
          <cell r="A150" t="str">
            <v>12.35</v>
          </cell>
          <cell r="C150" t="str">
            <v>CAIXA PARA MEDIDOR TRIFÁSICO - PADRÃO ENERGISA</v>
          </cell>
          <cell r="E150" t="str">
            <v>PC</v>
          </cell>
        </row>
        <row r="151">
          <cell r="A151" t="str">
            <v>12.36</v>
          </cell>
          <cell r="C151" t="str">
            <v>Massa 3M para calafetação (fornecimento)</v>
          </cell>
          <cell r="E151" t="str">
            <v>kg</v>
          </cell>
        </row>
        <row r="152">
          <cell r="A152" t="str">
            <v>12.37</v>
          </cell>
          <cell r="C152" t="str">
            <v>HASTE DE ATERRAMENTO 5/8  PARA SPDA - FORNECIMENTO E INSTALAÇÃO. AF_12/2017</v>
          </cell>
          <cell r="E152" t="str">
            <v>UN</v>
          </cell>
        </row>
        <row r="153">
          <cell r="A153" t="str">
            <v>12.38</v>
          </cell>
          <cell r="C153" t="str">
            <v>Fita isolante (rolo 20m) 3/4" - Fornecimento</v>
          </cell>
          <cell r="E153" t="str">
            <v>Un</v>
          </cell>
        </row>
        <row r="154">
          <cell r="A154" t="str">
            <v>12.39</v>
          </cell>
          <cell r="C154" t="str">
            <v>CABO DE COBRE FLEXÍVEL ISOLADO, 2,5 MM², ANTI-CHAMA 450/750 V, PARA CIRCUITOS TERMINAIS - FORNECIMENTO E INSTALAÇÃO. AF_12/2015</v>
          </cell>
          <cell r="E154" t="str">
            <v>M</v>
          </cell>
        </row>
        <row r="155">
          <cell r="A155" t="str">
            <v>12.40</v>
          </cell>
          <cell r="C155" t="str">
            <v>CABO DE COBRE FLEXÍVEL ISOLADO, 1,5 MM², ANTI-CHAMA 450/750 V, PARA CIRCUITOS TERMINAIS - FORNECIMENTO E INSTALAÇÃO. AF_12/2015</v>
          </cell>
          <cell r="E155" t="str">
            <v>M</v>
          </cell>
        </row>
        <row r="156">
          <cell r="A156" t="str">
            <v>12.41</v>
          </cell>
          <cell r="C156" t="str">
            <v>CABO DE COBRE FLEXÍVEL ISOLADO, 2,5 MM², ANTI-CHAMA 450/750 V, PARA CIRCUITOS TERMINAIS - FORNECIMENTO E INSTALAÇÃO. AF_12/2015</v>
          </cell>
          <cell r="E156" t="str">
            <v>M</v>
          </cell>
        </row>
        <row r="157">
          <cell r="A157" t="str">
            <v>12.42</v>
          </cell>
          <cell r="C157" t="str">
            <v>CABO DE COBRE FLEXÍVEL ISOLADO, 2,5 MM², ANTI-CHAMA 450/750 V, PARA CIRCUITOS TERMINAIS - FORNECIMENTO E INSTALAÇÃO. AF_12/2015</v>
          </cell>
          <cell r="E157" t="str">
            <v>M</v>
          </cell>
        </row>
        <row r="158">
          <cell r="A158" t="str">
            <v>12.43</v>
          </cell>
          <cell r="C158" t="str">
            <v>KIT DE PORTA DE MADEIRA FRISADA, SEMI-OCA (LEVE OU MÉDIA), PADRÃO POPULAR, 80X210CM, ESPESSURA DE 3,5CM, ITENS INCLUSOS: DOBRADIÇAS, MONTAGEM E INSTALAÇÃO DO BATENTE, SEM FECHADURA - FORNECIMENTO E INSTALAÇÃO. AF_12/2019</v>
          </cell>
          <cell r="E158" t="str">
            <v>M</v>
          </cell>
        </row>
        <row r="159">
          <cell r="A159" t="str">
            <v>12.44</v>
          </cell>
          <cell r="C159" t="str">
            <v>CABO DE COBRE FLEXÍVEL ISOLADO, 10 MM², ANTI-CHAMA 0,6/1,0 KV, PARA CIRCUITOS TERMINAIS - FORNECIMENTO E INSTALAÇÃO. AF_12/2015</v>
          </cell>
          <cell r="E159" t="str">
            <v>M</v>
          </cell>
        </row>
        <row r="160">
          <cell r="A160" t="str">
            <v>12.45</v>
          </cell>
          <cell r="C160" t="str">
            <v>CABO DE COBRE FLEXÍVEL ISOLADO, 10 MM², ANTI-CHAMA 0,6/1,0 KV, PARA CIRCUITOS TERMINAIS - FORNECIMENTO E INSTALAÇÃO. AF_12/2015</v>
          </cell>
          <cell r="E160" t="str">
            <v>M</v>
          </cell>
        </row>
        <row r="161">
          <cell r="A161" t="str">
            <v>12.46</v>
          </cell>
          <cell r="C161" t="str">
            <v>INTERRUPTOR SIMPLES (1 MÓDULO) COM 1 TOMADA DE EMBUTIR 2P+T 10 A,  INCLUINDO SUPORTE E PLACA - FORNECIMENTO E INSTALAÇÃO. AF_12/2015</v>
          </cell>
          <cell r="E161" t="str">
            <v>UN</v>
          </cell>
        </row>
        <row r="162">
          <cell r="A162" t="str">
            <v>12.47</v>
          </cell>
          <cell r="C162" t="str">
            <v>INTERRUPTOR SIMPLES (1 MÓDULO) COM 1 TOMADA DE EMBUTIR 2P+T 10 A,  SEM SUPORTE E SEM PLACA - FORNECIMENTO E INSTALAÇÃO. AF_12/2015</v>
          </cell>
          <cell r="E162" t="str">
            <v>UN</v>
          </cell>
        </row>
        <row r="164">
          <cell r="A164" t="str">
            <v>13</v>
          </cell>
          <cell r="B164" t="str">
            <v>INSTALAÇÕES HIDRO-SANITÁRIA</v>
          </cell>
          <cell r="C164"/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</row>
        <row r="165">
          <cell r="A165" t="str">
            <v>13.1</v>
          </cell>
          <cell r="C165" t="str">
            <v>CAIXA SIFONADA, PVC, DN 100 X 100 X 50 MM, JUNTA ELÁSTICA, FORNECIDA E INSTALADA EM RAMAL DE DESCARGA OU EM RAMAL DE ESGOTO SANITÁRIO. AF_12/2014</v>
          </cell>
          <cell r="E165" t="str">
            <v>UN</v>
          </cell>
        </row>
        <row r="166">
          <cell r="A166" t="str">
            <v>13.2</v>
          </cell>
          <cell r="C166" t="str">
            <v>CAIXA SIFONADA, PVC, 150 X 150 X 50 MM, COM GRELHA QUADRADA, BRANCA (NBR 5688)</v>
          </cell>
          <cell r="E166" t="str">
            <v>UN</v>
          </cell>
        </row>
        <row r="167">
          <cell r="A167" t="str">
            <v>13.3</v>
          </cell>
          <cell r="C167" t="str">
            <v>RALO SECO, PVC, DN 100 X 40 MM, JUNTA SOLDÁVEL, FORNECIDO E INSTALADO EM RAMAL DE DESCARGA OU EM RAMAL DE ESGOTO SANITÁRIO. AF_12/2014</v>
          </cell>
          <cell r="E167" t="str">
            <v>UN</v>
          </cell>
        </row>
        <row r="168">
          <cell r="A168" t="str">
            <v>13.4</v>
          </cell>
          <cell r="C168" t="str">
            <v>CAIXA ENTERRADA HIDRÁULICA RETANGULAR EM ALVENARIA COM TIJOLOS CERÂMICOS MACIÇOS, DIMENSÕES INTERNAS: 0,6X0,6X0,6 M PARA REDE DE ESGOTO. AF_12/2020</v>
          </cell>
          <cell r="E168" t="str">
            <v>UN</v>
          </cell>
        </row>
        <row r="169">
          <cell r="A169" t="str">
            <v>13.5</v>
          </cell>
          <cell r="C169" t="str">
            <v>BUCHA DE REDUCAO DE PVC, SOLDAVEL, CURTA, COM 60 X 50 MM, PARA AGUA FRIA PREDIAL</v>
          </cell>
          <cell r="E169" t="str">
            <v>UN</v>
          </cell>
        </row>
        <row r="170">
          <cell r="A170" t="str">
            <v>13.6</v>
          </cell>
          <cell r="C170" t="str">
            <v>BUCHA DE REDUCAO DE PVC, SOLDAVEL, CURTA, COM 25 X 20 MM, PARA AGUA FRIA PREDIAL</v>
          </cell>
          <cell r="E170" t="str">
            <v>UN</v>
          </cell>
        </row>
        <row r="171">
          <cell r="A171" t="str">
            <v>13.7</v>
          </cell>
          <cell r="C171" t="str">
            <v>BUCHA DE REDUCAO DE PVC, SOLDAVEL, LONGA, COM 50 X 25 MM, PARA AGUA FRIA PREDIAL</v>
          </cell>
          <cell r="E171" t="str">
            <v>UN</v>
          </cell>
        </row>
        <row r="172">
          <cell r="A172" t="str">
            <v>13.8</v>
          </cell>
          <cell r="C172" t="str">
            <v>BUCHA DE REDUCAO DE PVC, SOLDAVEL, LONGA, COM 50 X 32 MM, PARA AGUA FRIA PREDIAL</v>
          </cell>
          <cell r="E172" t="str">
            <v>UN</v>
          </cell>
        </row>
        <row r="173">
          <cell r="A173" t="str">
            <v>13.9</v>
          </cell>
          <cell r="C173" t="str">
            <v>JOELHO 90 GRAUS, PVC, SOLDÁVEL, DN 25MM, INSTALADO EM RAMAL OU SUB-RAMAL DE ÁGUA - FORNECIMENTO E INSTALAÇÃO. AF_12/2014</v>
          </cell>
          <cell r="E173" t="str">
            <v>UN</v>
          </cell>
        </row>
        <row r="174">
          <cell r="A174" t="str">
            <v>13.10</v>
          </cell>
          <cell r="C174" t="str">
            <v>JOELHO 90 GRAUS, PVC, SOLDÁVEL, DN 50MM, INSTALADO EM PRUMADA DE ÁGUA - FORNECIMENTO E INSTALAÇÃO. AF_12/2014</v>
          </cell>
          <cell r="E174" t="str">
            <v>UN</v>
          </cell>
        </row>
        <row r="175">
          <cell r="A175" t="str">
            <v>13.11</v>
          </cell>
          <cell r="C175" t="str">
            <v>Joelho 90 graus com bucha de latão, pvc, soldável, dn 25mm, x 3/4? instalado em ramal ou sub-ramal de água - fornecimento e instalação. af_12/2014</v>
          </cell>
          <cell r="E175" t="str">
            <v>UN</v>
          </cell>
        </row>
        <row r="176">
          <cell r="A176" t="str">
            <v>13.12</v>
          </cell>
          <cell r="C176" t="str">
            <v>LUVA DE REDUÇÃO, PVC, SOLDÁVEL, DN 50MM X 25MM, INSTALADO EM PRUMADA DE ÁGUA   FORNECIMENTO E INSTALAÇÃO. AF_12/2014</v>
          </cell>
          <cell r="E176" t="str">
            <v>UN</v>
          </cell>
        </row>
        <row r="177">
          <cell r="A177" t="str">
            <v>13.13</v>
          </cell>
          <cell r="C177" t="str">
            <v>TÊ DE REDUÇÃO, PVC, SOLDÁVEL, DN 50MM X 25MM, INSTALADO EM PRUMADA DE ÁGUA - FORNECIMENTO E INSTALAÇÃO. AF_12/2014</v>
          </cell>
          <cell r="E177" t="str">
            <v>UN</v>
          </cell>
        </row>
        <row r="178">
          <cell r="A178" t="str">
            <v>13.14</v>
          </cell>
          <cell r="C178" t="str">
            <v>TE, PVC, SOLDÁVEL, DN 20MM, INSTALADO EM RAMAL OU SUB-RAMAL DE ÁGUA - FORNECIMENTO E INSTALAÇÃO. AF_12/2014</v>
          </cell>
          <cell r="E178" t="str">
            <v>UN</v>
          </cell>
        </row>
        <row r="179">
          <cell r="A179" t="str">
            <v>13.15</v>
          </cell>
          <cell r="C179" t="str">
            <v>TE, PVC, SOLDÁVEL, DN 25MM, INSTALADO EM RAMAL OU SUB-RAMAL DE ÁGUA - FORNECIMENTO E INSTALAÇÃO. AF_12/2014</v>
          </cell>
          <cell r="E179" t="str">
            <v>UN</v>
          </cell>
        </row>
        <row r="180">
          <cell r="A180" t="str">
            <v>13.16</v>
          </cell>
          <cell r="C180" t="str">
            <v>TE, PVC, SOLDÁVEL, DN 50MM, INSTALADO EM PRUMADA DE ÁGUA - FORNECIMENTO E INSTALAÇÃO. AF_12/2014</v>
          </cell>
          <cell r="E180" t="str">
            <v>UN</v>
          </cell>
        </row>
        <row r="181">
          <cell r="A181" t="str">
            <v>13.17</v>
          </cell>
          <cell r="C181" t="str">
            <v>TÊ COM BUCHA DE LATÃO NA BOLSA CENTRAL, PVC, SOLDÁVEL, DN 25MM X 3/4?, INSTALADO EM RAMAL OU SUB-RAMAL DE ÁGUA - FORNECIMENTO E INSTALAÇÃO. AF_03/2015</v>
          </cell>
          <cell r="E181" t="str">
            <v>UN</v>
          </cell>
        </row>
        <row r="182">
          <cell r="A182" t="str">
            <v>13.18</v>
          </cell>
          <cell r="C182" t="str">
            <v>TUBO, PVC, SOLDÁVEL, DN 20MM, INSTALADO EM RAMAL DE DISTRIBUIÇÃO DE ÁGUA - FORNECIMENTO E INSTALAÇÃO. AF_12/2014</v>
          </cell>
          <cell r="E182" t="str">
            <v>M</v>
          </cell>
        </row>
        <row r="183">
          <cell r="A183" t="str">
            <v>13.19</v>
          </cell>
          <cell r="C183" t="str">
            <v>TUBO, PVC, SOLDÁVEL, DN 25MM, INSTALADO EM PRUMADA DE ÁGUA - FORNECIMENTO E INSTALAÇÃO. AF_12/2014</v>
          </cell>
          <cell r="E183" t="str">
            <v>M</v>
          </cell>
        </row>
        <row r="184">
          <cell r="A184" t="str">
            <v>13.20</v>
          </cell>
          <cell r="C184" t="str">
            <v>TUBO, PVC, SOLDÁVEL, DN 50MM, INSTALADO EM PRUMADA DE ÁGUA - FORNECIMENTO E INSTALAÇÃO. AF_12/2014</v>
          </cell>
          <cell r="E184" t="str">
            <v>M</v>
          </cell>
        </row>
        <row r="185">
          <cell r="A185" t="str">
            <v>13.21</v>
          </cell>
          <cell r="C185" t="str">
            <v>TUBO PVC, SERIE NORMAL, ESGOTO PREDIAL, DN 40 MM, FORNECIDO E INSTALADO EM RAMAL DE DESCARGA OU RAMAL DE ESGOTO SANITÁRIO. AF_12/2014</v>
          </cell>
          <cell r="E185" t="str">
            <v>M</v>
          </cell>
        </row>
        <row r="186">
          <cell r="A186" t="str">
            <v>13.22</v>
          </cell>
          <cell r="C186" t="str">
            <v>TUBO PVC, SERIE NORMAL, ESGOTO PREDIAL, DN 50 MM, FORNECIDO E INSTALADO EM PRUMADA DE ESGOTO SANITÁRIO OU VENTILAÇÃO. AF_12/2014</v>
          </cell>
          <cell r="E186" t="str">
            <v>M</v>
          </cell>
        </row>
        <row r="187">
          <cell r="A187" t="str">
            <v>13.23</v>
          </cell>
          <cell r="C187" t="str">
            <v>TUBO PVC, SERIE NORMAL, ESGOTO PREDIAL, DN 100 MM, FORNECIDO E INSTALADO EM PRUMADA DE ESGOTO SANITÁRIO OU VENTILAÇÃO. AF_12/2014</v>
          </cell>
          <cell r="E187" t="str">
            <v>M</v>
          </cell>
        </row>
        <row r="188">
          <cell r="A188" t="str">
            <v>13.24</v>
          </cell>
          <cell r="C188" t="str">
            <v>VASO SANITÁRIO SIFONADO COM CAIXA ACOPLADA LOUÇA BRANCA, INCLUSO ENGATE FLEXÍVEL EM PLÁSTICO BRANCO, 1/2  X 40CM - FORNECIMENTO E INSTALAÇÃO. AF_01/2020</v>
          </cell>
          <cell r="E188" t="str">
            <v>UN</v>
          </cell>
        </row>
        <row r="189">
          <cell r="A189" t="str">
            <v>13.25</v>
          </cell>
          <cell r="C189" t="str">
            <v>ASSENTO SANITARIO DE PLASTICO, TIPO CONVENCIONAL</v>
          </cell>
          <cell r="E189" t="str">
            <v>UN</v>
          </cell>
        </row>
        <row r="190">
          <cell r="A190" t="str">
            <v>13.26</v>
          </cell>
          <cell r="C190" t="str">
            <v>DUCHA HIGIENICA PLASTICA COM REGISTRO METALICO 1/2 "</v>
          </cell>
          <cell r="E190" t="str">
            <v>UN</v>
          </cell>
        </row>
        <row r="191">
          <cell r="A191" t="str">
            <v>13.27</v>
          </cell>
          <cell r="C191" t="str">
            <v>DUCHA / CHUVEIRO PLASTICO SIMPLES, 5 '', BRANCO, PARA ACOPLAR EM HASTE 1/2 ", AGUA FRIA</v>
          </cell>
          <cell r="E191" t="str">
            <v>UN</v>
          </cell>
        </row>
        <row r="192">
          <cell r="A192" t="str">
            <v>13.28</v>
          </cell>
          <cell r="C192" t="str">
            <v>MICTÓRIO SIFONADO LOUÇA BRANCA ? PADRÃO MÉDIO ? FORNECIMENTO E INSTALAÇÃO. AF_01/2020</v>
          </cell>
          <cell r="E192" t="str">
            <v>UN</v>
          </cell>
        </row>
        <row r="193">
          <cell r="A193" t="str">
            <v>13.29</v>
          </cell>
          <cell r="C193" t="str">
            <v>TORNEIRA PLÁSTICA 3/4? PARA TANQUE - FORNECIMENTO E INSTALAÇÃO. AF_01/2020</v>
          </cell>
          <cell r="E193" t="str">
            <v>UN</v>
          </cell>
        </row>
        <row r="194">
          <cell r="A194" t="str">
            <v>13.30</v>
          </cell>
          <cell r="C194" t="str">
            <v>KIT CAVALETE PARA MEDIÇÃO DE ÁGUA - ENTRADA PRINCIPAL, EM PVC SOLDÁVEL DN 25 (¾")   FORNECIMENTO E INSTALAÇÃO (EXCLUSIVE HIDRÔMETRO). AF_11/2016</v>
          </cell>
          <cell r="E194" t="str">
            <v>UN</v>
          </cell>
        </row>
        <row r="195">
          <cell r="A195" t="str">
            <v>13.31</v>
          </cell>
          <cell r="C195" t="str">
            <v>CUBA DE EMBUTIR DE AÇO INOXIDÁVEL MÉDIA, INCLUSO VÁLVULA TIPO AMERICANA EM METAL CROMADO E SIFÃO FLEXÍVEL EM PVC - FORNECIMENTO E INSTALAÇÃO. AF_01/2020</v>
          </cell>
          <cell r="E195" t="str">
            <v>UN</v>
          </cell>
        </row>
        <row r="196">
          <cell r="A196" t="str">
            <v>13.32</v>
          </cell>
          <cell r="C196" t="str">
            <v>TORNEIRA CROMADA LONGA, DE PAREDE, 1/2? OU 3/4?, PARA PIA DE COZINHA, PADRÃO POPULAR - FORNECIMENTO E INSTALAÇÃO. AF_01/2020</v>
          </cell>
          <cell r="E196" t="str">
            <v>UN</v>
          </cell>
        </row>
        <row r="197">
          <cell r="A197" t="str">
            <v>13.33</v>
          </cell>
          <cell r="C197" t="str">
            <v>CUBA DE EMBUTIR OVAL EM LOUÇA BRANCA, 35 X 50CM OU EQUIVALENTE, INCLUSO VÁLVULA EM METAL CROMADO E SIFÃO FLEXÍVEL EM PVC - FORNECIMENTO E INSTALAÇÃO. AF_01/2020</v>
          </cell>
          <cell r="E197" t="str">
            <v>UN</v>
          </cell>
        </row>
        <row r="198">
          <cell r="A198" t="str">
            <v>13.34</v>
          </cell>
          <cell r="C198" t="str">
            <v>TORNEIRA CROMADA DE MESA, 1/2? OU 3/4?, PARA LAVATÓRIO, PADRÃO POPULAR - FORNECIMENTO E INSTALAÇÃO. AF_01/2020</v>
          </cell>
          <cell r="E198" t="str">
            <v>UN</v>
          </cell>
        </row>
        <row r="199">
          <cell r="A199" t="str">
            <v>13.35</v>
          </cell>
          <cell r="C199" t="str">
            <v>TORNEIRA DE BOIA PARA CAIXA D'ÁGUA, ROSCÁVEL, 3/4" - FORNECIMENTO E INSTALAÇÃO. AF_08/2021</v>
          </cell>
          <cell r="E199" t="str">
            <v>UN</v>
          </cell>
        </row>
        <row r="200">
          <cell r="A200" t="str">
            <v>13.36</v>
          </cell>
          <cell r="C200" t="str">
            <v>BARRA DE APOIO RETA, EM ACO INOX POLIDO, COMPRIMENTO 70 CM,  FIXADA NA PAREDE - FORNECIMENTO E INSTALAÇÃO. AF_01/2020</v>
          </cell>
          <cell r="E200" t="str">
            <v>UN</v>
          </cell>
        </row>
        <row r="201">
          <cell r="A201" t="str">
            <v>13.37</v>
          </cell>
          <cell r="C201" t="str">
            <v>BARRA DE APOIO RETA, EM ACO INOX POLIDO, COMPRIMENTO 60CM, FIXADA NA PAREDE - FORNECIMENTO E INSTALAÇÃO. AF_01/2020</v>
          </cell>
          <cell r="E201" t="str">
            <v>UN</v>
          </cell>
        </row>
        <row r="202">
          <cell r="A202" t="str">
            <v>13.38</v>
          </cell>
          <cell r="C202" t="str">
            <v>LAVATÓRIO LOUÇA BRANCA SUSPENSO, 29,5 X 39CM OU EQUIVALENTE, PADRÃO POPULAR, INCLUSO SIFÃO FLEXÍVEL EM PVC, VÁLVULA E ENGATE FLEXÍVEL 30CM EM PLÁSTICO E TORNEIRA CROMADA DE MESA, PADRÃO POPULAR - FORNECIMENTO E INSTALAÇÃO. AF_01/2020</v>
          </cell>
          <cell r="E202" t="str">
            <v>UN</v>
          </cell>
        </row>
        <row r="203">
          <cell r="A203" t="str">
            <v>13.39</v>
          </cell>
          <cell r="C203" t="str">
            <v>PAPELEIRA DE PAREDE EM METAL CROMADO SEM TAMPA, INCLUSO FIXAÇÃO. AF_01/2020</v>
          </cell>
          <cell r="E203" t="str">
            <v>UN</v>
          </cell>
        </row>
        <row r="204">
          <cell r="A204" t="str">
            <v>13.40</v>
          </cell>
          <cell r="C204" t="str">
            <v>REGISTRO DE GAVETA BRUTO, LATÃO, ROSCÁVEL, 2" - FORNECIMENTO E INSTALAÇÃO. AF_08/2021</v>
          </cell>
          <cell r="E204" t="str">
            <v>UN</v>
          </cell>
        </row>
        <row r="205">
          <cell r="A205" t="str">
            <v>13.41</v>
          </cell>
          <cell r="C205" t="str">
            <v>REGISTRO DE GAVETA BRUTO, LATÃO, ROSCÁVEL, 1 1/2" - FORNECIMENTO E INSTALAÇÃO. AF_08/2021</v>
          </cell>
          <cell r="E205" t="str">
            <v>UN</v>
          </cell>
        </row>
        <row r="206">
          <cell r="A206" t="str">
            <v>13.42</v>
          </cell>
          <cell r="C206" t="str">
            <v>REGISTRO DE GAVETA BRUTO, LATÃO, ROSCÁVEL, 1/2" - FORNECIMENTO E INSTALAÇÃO. AF_08/2021</v>
          </cell>
          <cell r="E206" t="str">
            <v>UN</v>
          </cell>
        </row>
        <row r="207">
          <cell r="A207" t="str">
            <v>13.43</v>
          </cell>
          <cell r="C207" t="str">
            <v>REGISTRO DE GAVETA BRUTO, LATÃO, ROSCÁVEL, 3/4" - FORNECIMENTO E INSTALAÇÃO. AF_08/2021</v>
          </cell>
          <cell r="E207" t="str">
            <v>UN</v>
          </cell>
        </row>
        <row r="208">
          <cell r="A208" t="str">
            <v>13.44</v>
          </cell>
          <cell r="C208" t="str">
            <v>REGISTRO DE PRESSÃO BRUTO, LATÃO, ROSCÁVEL, 3/4", COM ACABAMENTO E CANOPLA CROMADOS - FORNECIMENTO E INSTALAÇÃO. AF_08/2021</v>
          </cell>
          <cell r="E208" t="str">
            <v>UN</v>
          </cell>
        </row>
        <row r="209">
          <cell r="A209" t="str">
            <v>13.45</v>
          </cell>
          <cell r="C209" t="str">
            <v>UNIÃO, CPVC, SOLDÁVEL, DN35MM, INSTALADO EM PRUMADA DE ÁGUA ? FORNECIMENTO E INSTALAÇÃO. AF_12/2014</v>
          </cell>
          <cell r="E209" t="str">
            <v>UN</v>
          </cell>
        </row>
        <row r="210">
          <cell r="A210" t="str">
            <v>13.46</v>
          </cell>
          <cell r="C210" t="str">
            <v>JOELHO 45 GRAUS, PVC, SERIE NORMAL, ESGOTO PREDIAL, DN 50 MM, JUNTA ELÁSTICA, FORNECIDO E INSTALADO EM PRUMADA DE ESGOTO SANITÁRIO OU VENTILAÇÃO. AF_12/2014</v>
          </cell>
          <cell r="E210" t="str">
            <v>UN</v>
          </cell>
        </row>
        <row r="211">
          <cell r="A211" t="str">
            <v>13.47</v>
          </cell>
          <cell r="C211" t="str">
            <v>JOELHO 45 GRAUS, PVC, SERIE NORMAL, ESGOTO PREDIAL, DN 100 MM, JUNTA ELÁSTICA, FORNECIDO E INSTALADO EM PRUMADA DE ESGOTO SANITÁRIO OU VENTILAÇÃO. AF_12/2014</v>
          </cell>
          <cell r="E211" t="str">
            <v>UN</v>
          </cell>
        </row>
        <row r="212">
          <cell r="A212" t="str">
            <v>13.48</v>
          </cell>
          <cell r="C212" t="str">
            <v>JOELHO 90 GRAUS, PVC, SERIE NORMAL, ESGOTO PREDIAL, DN 40 MM, JUNTA SOLDÁVEL, FORNECIDO E INSTALADO EM RAMAL DE DESCARGA OU RAMAL DE ESGOTO SANITÁRIO. AF_12/2014</v>
          </cell>
          <cell r="E212" t="str">
            <v>UN</v>
          </cell>
        </row>
        <row r="213">
          <cell r="A213" t="str">
            <v>13.49</v>
          </cell>
          <cell r="C213" t="str">
            <v>JOELHO 90 GRAUS, PVC, SERIE NORMAL, ESGOTO PREDIAL, DN 50 MM, JUNTA ELÁSTICA, FORNECIDO E INSTALADO EM PRUMADA DE ESGOTO SANITÁRIO OU VENTILAÇÃO. AF_12/2014</v>
          </cell>
          <cell r="E213" t="str">
            <v>UN</v>
          </cell>
        </row>
        <row r="214">
          <cell r="A214" t="str">
            <v>13.50</v>
          </cell>
          <cell r="C214" t="str">
            <v>JOELHO 90 GRAUS, PVC, SERIE NORMAL, ESGOTO PREDIAL, DN 100 MM, JUNTA ELÁSTICA, FORNECIDO E INSTALADO EM RAMAL DE DESCARGA OU RAMAL DE ESGOTO SANITÁRIO. AF_12/2014</v>
          </cell>
          <cell r="E214" t="str">
            <v>UN</v>
          </cell>
        </row>
        <row r="215">
          <cell r="A215" t="str">
            <v>13.51</v>
          </cell>
          <cell r="C215" t="str">
            <v>JUNÇÃO SIMPLES, PVC, SERIE NORMAL, ESGOTO PREDIAL, DN 50 X 50 MM, JUNTA ELÁSTICA, FORNECIDO E INSTALADO EM PRUMADA DE ESGOTO SANITÁRIO OU VENTILAÇÃO. AF_12/2014</v>
          </cell>
          <cell r="E215" t="str">
            <v>UN</v>
          </cell>
        </row>
        <row r="216">
          <cell r="A216" t="str">
            <v>13.52</v>
          </cell>
          <cell r="C216" t="str">
            <v>JUNCAO SIMPLES, PVC, DN 100 X 50 MM, SERIE NORMAL PARA ESGOTO PREDIAL</v>
          </cell>
          <cell r="E216" t="str">
            <v>UN</v>
          </cell>
        </row>
        <row r="217">
          <cell r="A217" t="str">
            <v>13.53</v>
          </cell>
          <cell r="C217" t="str">
            <v>JUNCAO SIMPLES, PVC, DN 100 X 75 MM, SERIE NORMAL PARA ESGOTO PREDIAL</v>
          </cell>
          <cell r="E217" t="str">
            <v>UN</v>
          </cell>
        </row>
        <row r="218">
          <cell r="A218" t="str">
            <v>13.54</v>
          </cell>
          <cell r="C218" t="str">
            <v>JUNÇÃO SIMPLES, PVC, SERIE NORMAL, ESGOTO PREDIAL, DN 100 X 100 MM, JUNTA ELÁSTICA, FORNECIDO E INSTALADO EM RAMAL DE DESCARGA OU RAMAL DE ESGOTO SANITÁRIO. AF_12/2014</v>
          </cell>
          <cell r="E218" t="str">
            <v>UN</v>
          </cell>
        </row>
        <row r="219">
          <cell r="A219" t="str">
            <v>13.55</v>
          </cell>
          <cell r="C219" t="str">
            <v>LUVA SIMPLES, PVC, SERIE NORMAL, ESGOTO PREDIAL, DN 50 MM, JUNTA ELÁSTICA, FORNECIDO E INSTALADO EM PRUMADA DE ESGOTO SANITÁRIO OU VENTILAÇÃO. AF_12/2014</v>
          </cell>
          <cell r="E219" t="str">
            <v>UN</v>
          </cell>
        </row>
        <row r="220">
          <cell r="A220" t="str">
            <v>13.56</v>
          </cell>
          <cell r="C220" t="str">
            <v>LUVA SIMPLES, PVC, SERIE NORMAL, ESGOTO PREDIAL, DN 75 MM, JUNTA ELÁSTICA, FORNECIDO E INSTALADO EM PRUMADA DE ESGOTO SANITÁRIO OU VENTILAÇÃO. AF_12/2014</v>
          </cell>
          <cell r="E220" t="str">
            <v>UN</v>
          </cell>
        </row>
        <row r="221">
          <cell r="A221" t="str">
            <v>13.57</v>
          </cell>
          <cell r="C221" t="str">
            <v>LUVA SIMPLES, PVC, SERIE NORMAL, ESGOTO PREDIAL, DN 100 MM, JUNTA ELÁSTICA, FORNECIDO E INSTALADO EM RAMAL DE DESCARGA OU RAMAL DE ESGOTO SANITÁRIO. AF_12/2014</v>
          </cell>
          <cell r="E221" t="str">
            <v>UN</v>
          </cell>
        </row>
        <row r="222">
          <cell r="A222" t="str">
            <v>13.58</v>
          </cell>
          <cell r="C222" t="str">
            <v>TE, PVC, SERIE NORMAL, ESGOTO PREDIAL, DN 50 X 50 MM, JUNTA ELÁSTICA, FORNECIDO E INSTALADO EM PRUMADA DE ESGOTO SANITÁRIO OU VENTILAÇÃO. AF_12/2014</v>
          </cell>
          <cell r="E222" t="str">
            <v>UN</v>
          </cell>
        </row>
        <row r="223">
          <cell r="A223" t="str">
            <v>13.59</v>
          </cell>
          <cell r="C223" t="str">
            <v>TE SANITARIO, PVC, DN 75 X 50 MM, SERIE NORMAL PARA ESGOTO PREDIAL</v>
          </cell>
          <cell r="E223" t="str">
            <v>UN</v>
          </cell>
        </row>
        <row r="224">
          <cell r="A224" t="str">
            <v>13.60</v>
          </cell>
          <cell r="C224" t="str">
            <v>TE SANITARIO, PVC, DN 100 X 75 MM, SERIE NORMAL PARA ESGOTO PREDIAL</v>
          </cell>
          <cell r="E224" t="str">
            <v>UN</v>
          </cell>
        </row>
        <row r="226">
          <cell r="A226" t="str">
            <v>14</v>
          </cell>
          <cell r="B226" t="str">
            <v>PINTURA</v>
          </cell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</row>
        <row r="227">
          <cell r="A227" t="str">
            <v>14.1</v>
          </cell>
          <cell r="C227" t="str">
            <v>APLICAÇÃO DE FUNDO SELADOR ACRÍLICO EM TETO, UMA DEMÃO. AF_06/2014</v>
          </cell>
          <cell r="E227" t="str">
            <v>M2</v>
          </cell>
        </row>
        <row r="228">
          <cell r="A228" t="str">
            <v>14.2</v>
          </cell>
          <cell r="C228" t="str">
            <v>APLICAÇÃO DE FUNDO SELADOR ACRÍLICO EM PAREDES, UMA DEMÃO. AF_06/2014</v>
          </cell>
          <cell r="E228" t="str">
            <v>M2</v>
          </cell>
        </row>
        <row r="229">
          <cell r="A229" t="str">
            <v>14.3</v>
          </cell>
          <cell r="C229" t="str">
            <v>APLICAÇÃO E LIXAMENTO DE MASSA LÁTEX EM TETO, UMA DEMÃO. AF_06/2014</v>
          </cell>
          <cell r="E229" t="str">
            <v>M2</v>
          </cell>
        </row>
        <row r="230">
          <cell r="A230" t="str">
            <v>14.4</v>
          </cell>
          <cell r="C230" t="str">
            <v>Emassamento de superfície, com aplicação de 02 demãos de massa acrílica, lixamento e retoques - Rev 01</v>
          </cell>
          <cell r="E230" t="str">
            <v>m2</v>
          </cell>
        </row>
        <row r="231">
          <cell r="A231" t="str">
            <v>14.5</v>
          </cell>
          <cell r="C231" t="str">
            <v>APLICAÇÃO MANUAL DE PINTURA COM TINTA LÁTEX ACRÍLICA EM PAREDES, DUAS DEMÃOS. AF_06/2014</v>
          </cell>
          <cell r="E231" t="str">
            <v>M2</v>
          </cell>
        </row>
        <row r="232">
          <cell r="A232" t="str">
            <v>14.6</v>
          </cell>
          <cell r="C232" t="str">
            <v>APLICAÇÃO MANUAL DE PINTURA COM TINTA LÁTEX ACRÍLICA EM TETO, DUAS DEMÃOS. AF_06/2014</v>
          </cell>
          <cell r="E232" t="str">
            <v>M2</v>
          </cell>
        </row>
        <row r="233">
          <cell r="A233" t="str">
            <v>14.7</v>
          </cell>
          <cell r="C233" t="str">
            <v>PINTURA TINTA DE ACABAMENTO (PIGMENTADA) ESMALTE SINTÉTICO FOSCO EM MADEIRA, 2 DEMÃOS. AF_01/2021</v>
          </cell>
          <cell r="E233" t="str">
            <v>M2</v>
          </cell>
        </row>
        <row r="234">
          <cell r="A234" t="str">
            <v>14.8</v>
          </cell>
          <cell r="C234" t="str">
            <v>PINTURA COM TINTA ALQUÍDICA DE FUNDO E ACABAMENTO (ESMALTE SINTÉTICO GRAFITE) APLICADA A ROLO OU PINCEL SOBRE PERFIL METÁLICO EXECUTADO EM FÁBRICA (POR DEMÃO). AF_01/2020</v>
          </cell>
          <cell r="E234" t="str">
            <v>M2</v>
          </cell>
        </row>
        <row r="235">
          <cell r="A235" t="str">
            <v>14.9</v>
          </cell>
          <cell r="C235" t="str">
            <v>PINTURA COM TINTA ALQUÍDICA DE FUNDO (TIPO ZARCÃO) APLICADA A ROLO OU PINCEL SOBRE PERFIL METÁLICO EXECUTADO EM FÁBRICA (POR DEMÃO). AF_01/2020</v>
          </cell>
          <cell r="E235" t="str">
            <v>M2</v>
          </cell>
        </row>
        <row r="237">
          <cell r="A237" t="str">
            <v>15</v>
          </cell>
          <cell r="B237" t="str">
            <v>SERVIÇOS COMPLEMENTARES</v>
          </cell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</row>
        <row r="238">
          <cell r="A238" t="str">
            <v>15.1</v>
          </cell>
          <cell r="C238" t="str">
            <v>Limpeza geral</v>
          </cell>
          <cell r="E238" t="str">
            <v>m2</v>
          </cell>
        </row>
        <row r="239">
          <cell r="A239" t="str">
            <v>15.2</v>
          </cell>
          <cell r="C239" t="str">
            <v>Escada de ferro com guarda corpo</v>
          </cell>
          <cell r="E239" t="str">
            <v>m</v>
          </cell>
        </row>
        <row r="240">
          <cell r="A240" t="str">
            <v>15.3</v>
          </cell>
          <cell r="C240" t="str">
            <v>ALVENARIA DE VEDAÇÃO DE BLOCOS CERÂMICOS FURADOS NA HORIZONTAL DE 9X19X19CM (ESPESSURA 9CM) DE PAREDES COM ÁREA LÍQUIDA MAIOR OU IGUAL A 6M² SEM VÃOS E ARGAMASSA DE ASSENTAMENTO COM PREPARO EM BETONEIRA. AF_06/2014</v>
          </cell>
          <cell r="E240" t="str">
            <v>M2</v>
          </cell>
        </row>
        <row r="241">
          <cell r="A241" t="str">
            <v>15.4</v>
          </cell>
          <cell r="C241" t="str">
            <v>ATERRO MANUAL DE VALAS COM SOLO ARGILO-ARENOSO E COMPACTAÇÃO MECANIZADA. AF_05/2016</v>
          </cell>
          <cell r="E241" t="str">
            <v>M3</v>
          </cell>
        </row>
        <row r="242">
          <cell r="A242" t="str">
            <v>15.5</v>
          </cell>
          <cell r="C242" t="str">
            <v>EXECUÇÃO DE PASSEIO (CALÇADA) OU PISO DE CONCRETO COM CONCRETO MOLDADO IN LOCO, FEITO EM OBRA, ACABAMENTO CONVENCIONAL, ESPESSURA 6 CM, ARMADO. AF_07/2016</v>
          </cell>
          <cell r="E242" t="str">
            <v>M2</v>
          </cell>
        </row>
        <row r="243">
          <cell r="A243" t="str">
            <v>15.6</v>
          </cell>
          <cell r="C243" t="str">
            <v>CONTRAPISO EM ARGAMASSA TRAÇO 1:4 (CIMENTO E AREIA), PREPARO MANUAL, APLICADO EM ÁREAS SECAS SOBRE LAJE, ADERIDO, ACABAMENTO NÃO REFORÇADO, ESPESSURA 3CM. AF_07/2021</v>
          </cell>
          <cell r="E243" t="str">
            <v>M2</v>
          </cell>
        </row>
        <row r="244">
          <cell r="A244" t="str">
            <v>15.7</v>
          </cell>
          <cell r="C244" t="str">
            <v>CHAPISCO APLICADO EM ALVENARIAS E ESTRUTURAS DE CONCRETO INTERNAS, COM COLHER DE PEDREIRO.  ARGAMASSA TRAÇO 1:3 COM PREPARO EM BETONEIRA 400L. AF_06/2014</v>
          </cell>
          <cell r="E244" t="str">
            <v>M2</v>
          </cell>
        </row>
        <row r="245">
          <cell r="A245" t="str">
            <v>15.8</v>
          </cell>
          <cell r="C245" t="str">
            <v>MASSA ÚNICA, PARA RECEBIMENTO DE PINTURA, EM ARGAMASSA TRAÇO 1:2:8, PREPARO MECÂNICO COM BETONEIRA 400L, APLICADA MANUALMENTE EM FACES INTERNAS DE PAREDES, ESPESSURA DE 10MM, COM EXECUÇÃO DE TALISCAS. AF_06/2014</v>
          </cell>
          <cell r="E245" t="str">
            <v>M2</v>
          </cell>
        </row>
        <row r="246">
          <cell r="A246" t="str">
            <v>15.9</v>
          </cell>
          <cell r="C246" t="str">
            <v>Emassamento de superfície, com aplicação de 02 demãos de massa acrílica, lixamento e retoques - Rev 01</v>
          </cell>
          <cell r="E246" t="str">
            <v>m2</v>
          </cell>
        </row>
        <row r="247">
          <cell r="A247" t="str">
            <v>15.10</v>
          </cell>
          <cell r="C247" t="str">
            <v>APLICAÇÃO DE FUNDO SELADOR ACRÍLICO EM PAREDES, UMA DEMÃO. AF_06/2014</v>
          </cell>
          <cell r="E247" t="str">
            <v>M2</v>
          </cell>
        </row>
        <row r="248">
          <cell r="A248" t="str">
            <v>15.11</v>
          </cell>
          <cell r="C248" t="str">
            <v>APLICAÇÃO MANUAL DE PINTURA COM TINTA LÁTEX ACRÍLICA EM PAREDES, DUAS DEMÃOS. AF_06/2014</v>
          </cell>
          <cell r="E248" t="str">
            <v>M2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6"/>
      <sheetName val="MEMORIA BM 06"/>
      <sheetName val="RELATÓRIO FOTOGRÁFICO"/>
      <sheetName val="MEMORIA ATERRO"/>
      <sheetName val="MEMÓRIA ALVENARIA"/>
      <sheetName val="MEMÓRIA PILARES"/>
      <sheetName val="MEMÓRIA VIGAS"/>
    </sheetNames>
    <sheetDataSet>
      <sheetData sheetId="0" refreshError="1"/>
      <sheetData sheetId="1">
        <row r="29">
          <cell r="E29">
            <v>129.72</v>
          </cell>
        </row>
        <row r="31">
          <cell r="E31">
            <v>167.4</v>
          </cell>
        </row>
        <row r="46">
          <cell r="E46">
            <v>131.45999999999992</v>
          </cell>
        </row>
        <row r="48">
          <cell r="E48">
            <v>1</v>
          </cell>
        </row>
        <row r="49">
          <cell r="E49">
            <v>98.35</v>
          </cell>
        </row>
        <row r="53">
          <cell r="E53">
            <v>178.09</v>
          </cell>
        </row>
        <row r="57">
          <cell r="E57">
            <v>288.67</v>
          </cell>
        </row>
        <row r="58">
          <cell r="E58">
            <v>288.67</v>
          </cell>
        </row>
        <row r="59">
          <cell r="E59">
            <v>336.96999999999991</v>
          </cell>
        </row>
        <row r="66">
          <cell r="E66">
            <v>305.08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EQUAÇÃO"/>
      <sheetName val="MEMORIA ADITIVO"/>
      <sheetName val="RELATÓRIO FOTOGRÁFICO_EVIDÊNCIA"/>
      <sheetName val="MEMORIA DE CÁLCULO ATERRO"/>
      <sheetName val="MEMORIA ATERRO (2)"/>
      <sheetName val="MEMORIA MURO"/>
      <sheetName val="MEMORIA BM 03"/>
      <sheetName val="MEMORIA ATERRO"/>
      <sheetName val="MEMÓRIA ALVENARIA"/>
      <sheetName val="MEMÓRIA PILARES"/>
      <sheetName val="MEMÓRIA VIGAS"/>
      <sheetName val="COMPOSIÇÕES NOVAS"/>
      <sheetName val="Plan1"/>
    </sheetNames>
    <sheetDataSet>
      <sheetData sheetId="0">
        <row r="10">
          <cell r="N10">
            <v>2207.4084899999998</v>
          </cell>
        </row>
        <row r="11">
          <cell r="N11">
            <v>15662.598210000002</v>
          </cell>
        </row>
        <row r="12">
          <cell r="N12">
            <v>8375.6923379999989</v>
          </cell>
        </row>
        <row r="13">
          <cell r="N13">
            <v>2617.437285</v>
          </cell>
        </row>
        <row r="17">
          <cell r="N17">
            <v>28219.529289600003</v>
          </cell>
        </row>
        <row r="18">
          <cell r="N18">
            <v>32742.727996500005</v>
          </cell>
        </row>
        <row r="19">
          <cell r="N19">
            <v>9369.096710400001</v>
          </cell>
        </row>
        <row r="20">
          <cell r="N20">
            <v>401.35049336429819</v>
          </cell>
        </row>
        <row r="21">
          <cell r="N21">
            <v>4620.1147572823775</v>
          </cell>
        </row>
        <row r="22">
          <cell r="N22">
            <v>1596.1485822555403</v>
          </cell>
        </row>
        <row r="27">
          <cell r="N27">
            <v>9502.0671753000006</v>
          </cell>
        </row>
        <row r="28">
          <cell r="N28">
            <v>38603.738962800002</v>
          </cell>
        </row>
        <row r="29">
          <cell r="N29">
            <v>224.3153088</v>
          </cell>
        </row>
        <row r="30">
          <cell r="N30">
            <v>49898.287188000009</v>
          </cell>
        </row>
        <row r="31">
          <cell r="N31">
            <v>5850.1441908000006</v>
          </cell>
        </row>
        <row r="32">
          <cell r="N32">
            <v>10163.006034299999</v>
          </cell>
        </row>
        <row r="33">
          <cell r="N33">
            <v>26057.544507000002</v>
          </cell>
        </row>
        <row r="34">
          <cell r="N34">
            <v>2045.4727770000002</v>
          </cell>
        </row>
        <row r="35">
          <cell r="N35">
            <v>7575.2176032870284</v>
          </cell>
        </row>
        <row r="39">
          <cell r="N39">
            <v>73290.418353899993</v>
          </cell>
        </row>
        <row r="40">
          <cell r="N40">
            <v>2721.2148000000002</v>
          </cell>
        </row>
        <row r="41">
          <cell r="N41">
            <v>12253.795289999998</v>
          </cell>
        </row>
        <row r="42">
          <cell r="N42">
            <v>18677.785959816269</v>
          </cell>
        </row>
        <row r="46">
          <cell r="N46">
            <v>65347.09238295001</v>
          </cell>
        </row>
        <row r="47">
          <cell r="N47">
            <v>272.43679860000003</v>
          </cell>
        </row>
        <row r="48">
          <cell r="N48">
            <v>55106.538985800005</v>
          </cell>
        </row>
        <row r="49">
          <cell r="N49">
            <v>10592.152611300004</v>
          </cell>
        </row>
        <row r="50">
          <cell r="N50">
            <v>21436.997422500004</v>
          </cell>
        </row>
        <row r="51">
          <cell r="N51">
            <v>20094.571781999999</v>
          </cell>
        </row>
        <row r="52">
          <cell r="N52">
            <v>1595.9514735000002</v>
          </cell>
        </row>
        <row r="53">
          <cell r="N53">
            <v>18388.236130199999</v>
          </cell>
        </row>
        <row r="54">
          <cell r="N54">
            <v>822.68100000000004</v>
          </cell>
        </row>
        <row r="55">
          <cell r="N55">
            <v>4553.1496439999992</v>
          </cell>
        </row>
        <row r="56">
          <cell r="N56">
            <v>213.46495031031347</v>
          </cell>
        </row>
        <row r="58">
          <cell r="N58">
            <v>77978.153260800013</v>
          </cell>
        </row>
        <row r="59">
          <cell r="N59">
            <v>2259.0663950610001</v>
          </cell>
        </row>
        <row r="60">
          <cell r="N60">
            <v>3495.3448859999999</v>
          </cell>
        </row>
        <row r="61">
          <cell r="N61">
            <v>331.02305433450005</v>
          </cell>
        </row>
        <row r="62">
          <cell r="N62">
            <v>350.99697600000002</v>
          </cell>
        </row>
        <row r="63">
          <cell r="N63">
            <v>1917.1880280000003</v>
          </cell>
        </row>
        <row r="67">
          <cell r="N67">
            <v>28552.326422400001</v>
          </cell>
        </row>
        <row r="68">
          <cell r="N68">
            <v>34323.295590000002</v>
          </cell>
        </row>
        <row r="69">
          <cell r="N69">
            <v>8622.9703800000007</v>
          </cell>
        </row>
        <row r="70">
          <cell r="N70">
            <v>1803.5816399999999</v>
          </cell>
        </row>
        <row r="71">
          <cell r="N71">
            <v>55899.159782399998</v>
          </cell>
        </row>
        <row r="72">
          <cell r="N72">
            <v>23056.769458800001</v>
          </cell>
        </row>
        <row r="73">
          <cell r="N73">
            <v>6365.7056385000014</v>
          </cell>
        </row>
        <row r="74">
          <cell r="N74">
            <v>15988.850189550001</v>
          </cell>
        </row>
        <row r="75">
          <cell r="N75">
            <v>2040.1470000000002</v>
          </cell>
        </row>
        <row r="76">
          <cell r="N76">
            <v>1614.6961200000001</v>
          </cell>
        </row>
        <row r="80">
          <cell r="N80">
            <v>23365.951062300006</v>
          </cell>
        </row>
        <row r="81">
          <cell r="N81">
            <v>35241.437003849998</v>
          </cell>
        </row>
        <row r="82">
          <cell r="N82">
            <v>32798.961171900002</v>
          </cell>
        </row>
        <row r="83">
          <cell r="N83">
            <v>9446.8556016000002</v>
          </cell>
        </row>
        <row r="84">
          <cell r="N84">
            <v>2404.6150590000002</v>
          </cell>
        </row>
        <row r="85">
          <cell r="N85">
            <v>8352.2380338000003</v>
          </cell>
        </row>
        <row r="86">
          <cell r="N86">
            <v>17166.476652300003</v>
          </cell>
        </row>
        <row r="87">
          <cell r="N87">
            <v>86762.035587150007</v>
          </cell>
        </row>
        <row r="88">
          <cell r="N88">
            <v>0</v>
          </cell>
        </row>
        <row r="92">
          <cell r="N92">
            <v>7958.6883287999999</v>
          </cell>
        </row>
        <row r="93">
          <cell r="N93">
            <v>40362.133511700005</v>
          </cell>
        </row>
        <row r="94">
          <cell r="N94">
            <v>2535.1493183999996</v>
          </cell>
        </row>
        <row r="95">
          <cell r="N95">
            <v>9632.6480448000002</v>
          </cell>
        </row>
        <row r="96">
          <cell r="N96">
            <v>140.78848140000002</v>
          </cell>
        </row>
        <row r="100">
          <cell r="N100">
            <v>1353.7559700000002</v>
          </cell>
        </row>
        <row r="101">
          <cell r="N101">
            <v>2684.8945800000006</v>
          </cell>
        </row>
        <row r="102">
          <cell r="N102">
            <v>7040.9268000000011</v>
          </cell>
        </row>
        <row r="103">
          <cell r="N103">
            <v>4607.5230000000001</v>
          </cell>
        </row>
        <row r="104">
          <cell r="N104">
            <v>4872.5587260000002</v>
          </cell>
        </row>
        <row r="105">
          <cell r="N105">
            <v>18704.70954</v>
          </cell>
        </row>
        <row r="106">
          <cell r="N106">
            <v>5164.9339500000006</v>
          </cell>
        </row>
        <row r="107">
          <cell r="N107">
            <v>1244.6042850000001</v>
          </cell>
        </row>
        <row r="108">
          <cell r="N108">
            <v>2716.0392960000004</v>
          </cell>
        </row>
        <row r="109">
          <cell r="N109">
            <v>18215.204921100001</v>
          </cell>
        </row>
        <row r="110">
          <cell r="N110">
            <v>3639.6375300000009</v>
          </cell>
        </row>
        <row r="111">
          <cell r="N111">
            <v>7874.2135079999998</v>
          </cell>
        </row>
        <row r="112">
          <cell r="N112">
            <v>12793.025244599998</v>
          </cell>
        </row>
        <row r="113">
          <cell r="N113">
            <v>178.3776168</v>
          </cell>
        </row>
        <row r="118">
          <cell r="N118">
            <v>15155.701911000002</v>
          </cell>
        </row>
        <row r="122">
          <cell r="N122">
            <v>474.58251000000007</v>
          </cell>
        </row>
        <row r="123">
          <cell r="N123">
            <v>690.17332500000009</v>
          </cell>
        </row>
        <row r="124">
          <cell r="N124">
            <v>1042.9965</v>
          </cell>
        </row>
        <row r="125">
          <cell r="N125">
            <v>298.45746000000003</v>
          </cell>
        </row>
        <row r="126">
          <cell r="N126">
            <v>82.395449999999997</v>
          </cell>
        </row>
        <row r="130">
          <cell r="N130">
            <v>1071.433755</v>
          </cell>
        </row>
        <row r="131">
          <cell r="N131">
            <v>59.396040000000006</v>
          </cell>
        </row>
        <row r="132">
          <cell r="N132">
            <v>139.70295000000002</v>
          </cell>
        </row>
        <row r="133">
          <cell r="N133">
            <v>95.512500000000003</v>
          </cell>
        </row>
        <row r="134">
          <cell r="N134">
            <v>2233.7903160000001</v>
          </cell>
        </row>
        <row r="135">
          <cell r="N135">
            <v>222.53763014999998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300.14230050000003</v>
          </cell>
        </row>
        <row r="139">
          <cell r="N139">
            <v>2503.6373250000001</v>
          </cell>
        </row>
        <row r="140">
          <cell r="N140">
            <v>40.497300000000003</v>
          </cell>
        </row>
        <row r="141">
          <cell r="N141">
            <v>124.98129</v>
          </cell>
        </row>
        <row r="142">
          <cell r="N142">
            <v>0</v>
          </cell>
        </row>
        <row r="143">
          <cell r="N143">
            <v>625.22482500000001</v>
          </cell>
        </row>
        <row r="144">
          <cell r="N144">
            <v>586.1156400000001</v>
          </cell>
        </row>
        <row r="145">
          <cell r="N145">
            <v>1162.27251</v>
          </cell>
        </row>
        <row r="146">
          <cell r="N146">
            <v>544.65048000000002</v>
          </cell>
        </row>
        <row r="147">
          <cell r="N147">
            <v>368.98389000000003</v>
          </cell>
        </row>
        <row r="148">
          <cell r="N148">
            <v>309.91896000000003</v>
          </cell>
        </row>
        <row r="149">
          <cell r="N149">
            <v>69.584040000000002</v>
          </cell>
        </row>
        <row r="150">
          <cell r="N150">
            <v>654.29883000000007</v>
          </cell>
        </row>
        <row r="151">
          <cell r="N151">
            <v>12077.21178</v>
          </cell>
        </row>
        <row r="152">
          <cell r="N152">
            <v>1147.24075275</v>
          </cell>
        </row>
        <row r="153">
          <cell r="N153">
            <v>382.41358424999999</v>
          </cell>
        </row>
        <row r="154">
          <cell r="N154">
            <v>541.38458924999998</v>
          </cell>
        </row>
        <row r="155">
          <cell r="N155">
            <v>700.47594000000004</v>
          </cell>
        </row>
        <row r="156">
          <cell r="N156">
            <v>159.31485000000001</v>
          </cell>
        </row>
        <row r="157">
          <cell r="N157">
            <v>27.584009999999999</v>
          </cell>
        </row>
        <row r="158">
          <cell r="N158">
            <v>146.35062000000002</v>
          </cell>
        </row>
        <row r="159">
          <cell r="N159">
            <v>146.35062000000002</v>
          </cell>
        </row>
        <row r="160">
          <cell r="N160">
            <v>3890.8812509999993</v>
          </cell>
        </row>
        <row r="161">
          <cell r="N161">
            <v>1231.1225046000002</v>
          </cell>
        </row>
        <row r="162">
          <cell r="N162">
            <v>229.23000000000002</v>
          </cell>
        </row>
        <row r="163">
          <cell r="N163">
            <v>118.58832000000001</v>
          </cell>
        </row>
        <row r="164">
          <cell r="N164">
            <v>15.358409999999999</v>
          </cell>
        </row>
        <row r="165">
          <cell r="N165">
            <v>13.047007499999999</v>
          </cell>
        </row>
        <row r="166">
          <cell r="N166">
            <v>180.86247000000003</v>
          </cell>
        </row>
        <row r="167">
          <cell r="N167">
            <v>122.12865000000001</v>
          </cell>
        </row>
        <row r="168">
          <cell r="N168">
            <v>2355.3993780000005</v>
          </cell>
        </row>
        <row r="169">
          <cell r="N169">
            <v>1231.1225046000002</v>
          </cell>
        </row>
        <row r="170">
          <cell r="N170">
            <v>1108.6836300000002</v>
          </cell>
        </row>
        <row r="171">
          <cell r="N171">
            <v>1204.2195624000003</v>
          </cell>
        </row>
        <row r="172">
          <cell r="N172">
            <v>1033.6530852000001</v>
          </cell>
        </row>
        <row r="173">
          <cell r="N173">
            <v>344.55102840000001</v>
          </cell>
        </row>
        <row r="174">
          <cell r="N174">
            <v>344.55102840000001</v>
          </cell>
        </row>
        <row r="175">
          <cell r="N175">
            <v>581.09805000000006</v>
          </cell>
        </row>
        <row r="176">
          <cell r="N176">
            <v>767.76768000000015</v>
          </cell>
        </row>
        <row r="180">
          <cell r="N180">
            <v>180.48042000000001</v>
          </cell>
        </row>
        <row r="181">
          <cell r="N181">
            <v>0</v>
          </cell>
        </row>
        <row r="182">
          <cell r="N182">
            <v>58.759290000000007</v>
          </cell>
        </row>
        <row r="183">
          <cell r="N183">
            <v>6453.7414200000003</v>
          </cell>
        </row>
        <row r="184">
          <cell r="N184">
            <v>13.804740000000001</v>
          </cell>
        </row>
        <row r="185">
          <cell r="N185">
            <v>0.54760500000000001</v>
          </cell>
        </row>
        <row r="186">
          <cell r="N186">
            <v>5.3104950000000004</v>
          </cell>
        </row>
        <row r="187">
          <cell r="N187">
            <v>74.104965000000007</v>
          </cell>
        </row>
        <row r="188">
          <cell r="N188">
            <v>480.05856</v>
          </cell>
        </row>
        <row r="189">
          <cell r="N189">
            <v>66.604050000000001</v>
          </cell>
        </row>
        <row r="190">
          <cell r="N190">
            <v>316.08269999999999</v>
          </cell>
        </row>
        <row r="191">
          <cell r="N191">
            <v>10.97757</v>
          </cell>
        </row>
        <row r="192">
          <cell r="N192">
            <v>39.835080000000005</v>
          </cell>
        </row>
        <row r="193">
          <cell r="N193">
            <v>17.599770000000003</v>
          </cell>
        </row>
        <row r="194">
          <cell r="N194">
            <v>231.42041999999998</v>
          </cell>
        </row>
        <row r="195">
          <cell r="N195">
            <v>21.394800000000004</v>
          </cell>
        </row>
        <row r="196">
          <cell r="N196">
            <v>389.9074950000001</v>
          </cell>
        </row>
        <row r="197">
          <cell r="N197">
            <v>488.00214360000001</v>
          </cell>
        </row>
        <row r="198">
          <cell r="N198">
            <v>833.11351200000013</v>
          </cell>
        </row>
        <row r="199">
          <cell r="N199">
            <v>556.86079800000005</v>
          </cell>
        </row>
        <row r="200">
          <cell r="N200">
            <v>1191.3668910000004</v>
          </cell>
        </row>
        <row r="201">
          <cell r="N201">
            <v>514.57677750000005</v>
          </cell>
        </row>
        <row r="202">
          <cell r="N202">
            <v>775.56150000000002</v>
          </cell>
        </row>
        <row r="203">
          <cell r="N203">
            <v>4200.5123999999996</v>
          </cell>
        </row>
        <row r="204">
          <cell r="N204">
            <v>365.2398</v>
          </cell>
        </row>
        <row r="205">
          <cell r="N205">
            <v>1101.1954499999999</v>
          </cell>
        </row>
        <row r="206">
          <cell r="N206">
            <v>16.83567</v>
          </cell>
        </row>
        <row r="207">
          <cell r="N207">
            <v>1724.6883150000001</v>
          </cell>
        </row>
        <row r="208">
          <cell r="N208">
            <v>102.89880000000001</v>
          </cell>
        </row>
        <row r="209">
          <cell r="N209">
            <v>173.34882000000002</v>
          </cell>
        </row>
        <row r="210">
          <cell r="N210">
            <v>956.19474000000014</v>
          </cell>
        </row>
        <row r="211">
          <cell r="N211">
            <v>330.04026000000005</v>
          </cell>
        </row>
        <row r="212">
          <cell r="N212">
            <v>1508.1296400000001</v>
          </cell>
        </row>
        <row r="213">
          <cell r="N213">
            <v>564.10955999999999</v>
          </cell>
        </row>
        <row r="214">
          <cell r="N214">
            <v>34.142535000000002</v>
          </cell>
        </row>
        <row r="215">
          <cell r="N215">
            <v>485.71289999999999</v>
          </cell>
        </row>
        <row r="216">
          <cell r="N216">
            <v>1808.3700000000001</v>
          </cell>
        </row>
        <row r="217">
          <cell r="N217">
            <v>421.24833000000001</v>
          </cell>
        </row>
        <row r="218">
          <cell r="N218">
            <v>281.18880000000001</v>
          </cell>
        </row>
        <row r="219">
          <cell r="N219">
            <v>298.45746000000003</v>
          </cell>
        </row>
        <row r="220">
          <cell r="N220">
            <v>107.90365500000001</v>
          </cell>
        </row>
        <row r="221">
          <cell r="N221">
            <v>36.906030000000001</v>
          </cell>
        </row>
        <row r="222">
          <cell r="N222">
            <v>523.48491000000001</v>
          </cell>
        </row>
        <row r="223">
          <cell r="N223">
            <v>182.54349000000002</v>
          </cell>
        </row>
        <row r="224">
          <cell r="N224">
            <v>703.99080000000015</v>
          </cell>
        </row>
        <row r="225">
          <cell r="N225">
            <v>86.954580000000021</v>
          </cell>
        </row>
        <row r="226">
          <cell r="N226">
            <v>90.673200000000008</v>
          </cell>
        </row>
        <row r="227">
          <cell r="N227">
            <v>339.26040000000006</v>
          </cell>
        </row>
        <row r="228">
          <cell r="N228">
            <v>91.284480000000016</v>
          </cell>
        </row>
        <row r="229">
          <cell r="N229">
            <v>232.0317</v>
          </cell>
        </row>
        <row r="230">
          <cell r="N230">
            <v>16.78473</v>
          </cell>
        </row>
        <row r="231">
          <cell r="N231">
            <v>153.12564</v>
          </cell>
        </row>
        <row r="232">
          <cell r="N232">
            <v>27.584010000000003</v>
          </cell>
        </row>
        <row r="233">
          <cell r="N233">
            <v>228.91162500000004</v>
          </cell>
        </row>
        <row r="234">
          <cell r="N234">
            <v>131.6799</v>
          </cell>
        </row>
        <row r="235">
          <cell r="N235">
            <v>46.559160000000006</v>
          </cell>
        </row>
        <row r="236">
          <cell r="N236">
            <v>302.44351500000005</v>
          </cell>
        </row>
        <row r="237">
          <cell r="N237">
            <v>161.79817500000001</v>
          </cell>
        </row>
        <row r="238">
          <cell r="N238">
            <v>16.377210000000002</v>
          </cell>
        </row>
        <row r="239">
          <cell r="N239">
            <v>75.136499999999998</v>
          </cell>
        </row>
        <row r="243">
          <cell r="N243">
            <v>6101.9036793000005</v>
          </cell>
        </row>
        <row r="244">
          <cell r="N244">
            <v>1572.0524631000001</v>
          </cell>
        </row>
        <row r="245">
          <cell r="N245">
            <v>11362.029971399999</v>
          </cell>
        </row>
        <row r="246">
          <cell r="N246">
            <v>33220.028155500004</v>
          </cell>
        </row>
        <row r="247">
          <cell r="N247">
            <v>27682.489627650004</v>
          </cell>
        </row>
        <row r="248">
          <cell r="N248">
            <v>9340.8196617000012</v>
          </cell>
        </row>
        <row r="249">
          <cell r="N249">
            <v>885.2205474000001</v>
          </cell>
        </row>
        <row r="250">
          <cell r="N250">
            <v>683.62205895</v>
          </cell>
        </row>
        <row r="251">
          <cell r="N251">
            <v>537.30875250000008</v>
          </cell>
        </row>
        <row r="255">
          <cell r="N255">
            <v>2478.8076408000002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T448"/>
  <sheetViews>
    <sheetView view="pageBreakPreview" zoomScale="69" zoomScaleSheetLayoutView="69" workbookViewId="0">
      <pane xSplit="1" ySplit="7" topLeftCell="I266" activePane="bottomRight" state="frozen"/>
      <selection pane="topRight" activeCell="B1" sqref="B1"/>
      <selection pane="bottomLeft" activeCell="A8" sqref="A8"/>
      <selection pane="bottomRight" activeCell="N269" sqref="N269"/>
    </sheetView>
  </sheetViews>
  <sheetFormatPr defaultRowHeight="15"/>
  <cols>
    <col min="1" max="1" width="7.42578125" style="144" customWidth="1"/>
    <col min="2" max="2" width="9.85546875" bestFit="1" customWidth="1"/>
    <col min="3" max="3" width="50.28515625" style="120" customWidth="1"/>
    <col min="4" max="4" width="9.7109375" bestFit="1" customWidth="1"/>
    <col min="5" max="5" width="5.85546875" bestFit="1" customWidth="1"/>
    <col min="6" max="6" width="15" style="58" bestFit="1" customWidth="1"/>
    <col min="7" max="8" width="18.7109375" style="123" customWidth="1"/>
    <col min="9" max="9" width="14.42578125" style="58" bestFit="1" customWidth="1"/>
    <col min="10" max="10" width="19.140625" style="123" bestFit="1" customWidth="1"/>
    <col min="11" max="11" width="30.85546875" style="123" bestFit="1" customWidth="1"/>
    <col min="12" max="12" width="27.140625" style="123" bestFit="1" customWidth="1"/>
    <col min="13" max="13" width="25.140625" style="123" bestFit="1" customWidth="1"/>
    <col min="14" max="14" width="30.85546875" style="130" bestFit="1" customWidth="1"/>
    <col min="15" max="15" width="19" style="144" customWidth="1"/>
    <col min="16" max="16" width="11.5703125" style="144" bestFit="1" customWidth="1"/>
    <col min="17" max="17" width="43.28515625" bestFit="1" customWidth="1"/>
    <col min="19" max="19" width="17.7109375" bestFit="1" customWidth="1"/>
  </cols>
  <sheetData>
    <row r="1" spans="1:20" ht="15" customHeight="1">
      <c r="A1" s="371"/>
      <c r="B1" s="372"/>
      <c r="C1" s="373"/>
      <c r="D1" s="387" t="s">
        <v>1043</v>
      </c>
      <c r="E1" s="388"/>
      <c r="F1" s="388"/>
      <c r="G1" s="388"/>
      <c r="H1" s="388"/>
      <c r="I1" s="388"/>
      <c r="J1" s="388"/>
      <c r="K1" s="388"/>
      <c r="L1" s="388"/>
      <c r="M1" s="388"/>
      <c r="N1" s="389"/>
    </row>
    <row r="2" spans="1:20" ht="27.75" customHeight="1">
      <c r="A2" s="374"/>
      <c r="B2" s="375"/>
      <c r="C2" s="376"/>
      <c r="D2" s="390"/>
      <c r="E2" s="391"/>
      <c r="F2" s="391"/>
      <c r="G2" s="391"/>
      <c r="H2" s="391"/>
      <c r="I2" s="391"/>
      <c r="J2" s="391"/>
      <c r="K2" s="391"/>
      <c r="L2" s="391"/>
      <c r="M2" s="391"/>
      <c r="N2" s="392"/>
    </row>
    <row r="3" spans="1:20" ht="27" customHeight="1">
      <c r="A3" s="377"/>
      <c r="B3" s="378"/>
      <c r="C3" s="379"/>
      <c r="D3" s="384" t="s">
        <v>602</v>
      </c>
      <c r="E3" s="385"/>
      <c r="F3" s="385"/>
      <c r="G3" s="385"/>
      <c r="H3" s="385"/>
      <c r="I3" s="385"/>
      <c r="J3" s="385"/>
      <c r="K3" s="385"/>
      <c r="L3" s="385"/>
      <c r="M3" s="385"/>
      <c r="N3" s="386"/>
    </row>
    <row r="4" spans="1:20" ht="16.5" customHeight="1">
      <c r="A4" s="393" t="s">
        <v>1025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5"/>
    </row>
    <row r="5" spans="1:20" ht="22.5" customHeight="1" thickBot="1">
      <c r="A5" s="396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8"/>
      <c r="R5" s="174" t="s">
        <v>1020</v>
      </c>
      <c r="S5" s="152">
        <v>1478786.25</v>
      </c>
    </row>
    <row r="6" spans="1:20" ht="18" customHeight="1" thickBot="1">
      <c r="A6" s="402" t="s">
        <v>0</v>
      </c>
      <c r="B6" s="404" t="s">
        <v>1</v>
      </c>
      <c r="C6" s="404" t="s">
        <v>2</v>
      </c>
      <c r="D6" s="404" t="s">
        <v>3</v>
      </c>
      <c r="E6" s="404" t="s">
        <v>4</v>
      </c>
      <c r="F6" s="399" t="s">
        <v>793</v>
      </c>
      <c r="G6" s="400"/>
      <c r="H6" s="400"/>
      <c r="I6" s="400"/>
      <c r="J6" s="400"/>
      <c r="K6" s="400"/>
      <c r="L6" s="400"/>
      <c r="M6" s="400"/>
      <c r="N6" s="401"/>
      <c r="O6" s="154" t="s">
        <v>1011</v>
      </c>
      <c r="P6" s="155">
        <v>0.27350000000000002</v>
      </c>
      <c r="R6" s="174" t="s">
        <v>1021</v>
      </c>
      <c r="S6" s="152">
        <v>1292562.49</v>
      </c>
      <c r="T6">
        <f>S6/S5</f>
        <v>0.8740698596568639</v>
      </c>
    </row>
    <row r="7" spans="1:20" ht="56.25" customHeight="1" thickBot="1">
      <c r="A7" s="403"/>
      <c r="B7" s="405"/>
      <c r="C7" s="405"/>
      <c r="D7" s="405"/>
      <c r="E7" s="406"/>
      <c r="F7" s="219" t="s">
        <v>1022</v>
      </c>
      <c r="G7" s="149" t="s">
        <v>1023</v>
      </c>
      <c r="H7" s="150" t="s">
        <v>1013</v>
      </c>
      <c r="I7" s="199" t="s">
        <v>5</v>
      </c>
      <c r="J7" s="151" t="s">
        <v>1014</v>
      </c>
      <c r="K7" s="147" t="s">
        <v>1015</v>
      </c>
      <c r="L7" s="172" t="s">
        <v>1016</v>
      </c>
      <c r="M7" s="172" t="s">
        <v>1017</v>
      </c>
      <c r="N7" s="148" t="s">
        <v>791</v>
      </c>
      <c r="O7" s="166" t="s">
        <v>1012</v>
      </c>
      <c r="P7" s="167">
        <v>0.87</v>
      </c>
      <c r="Q7" s="175"/>
    </row>
    <row r="8" spans="1:20" s="144" customFormat="1" ht="20.25" customHeight="1" thickBot="1">
      <c r="A8" s="381"/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3"/>
      <c r="O8" s="168"/>
      <c r="P8" s="169"/>
    </row>
    <row r="9" spans="1:20" ht="20.100000000000001" customHeight="1">
      <c r="A9" s="229">
        <v>1</v>
      </c>
      <c r="B9" s="380" t="s">
        <v>6</v>
      </c>
      <c r="C9" s="380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8"/>
      <c r="O9" s="170"/>
      <c r="P9" s="170"/>
    </row>
    <row r="10" spans="1:20" ht="26.25" customHeight="1">
      <c r="A10" s="140" t="s">
        <v>7</v>
      </c>
      <c r="B10" s="1" t="s">
        <v>8</v>
      </c>
      <c r="C10" s="117" t="s">
        <v>9</v>
      </c>
      <c r="D10" s="1" t="s">
        <v>10</v>
      </c>
      <c r="E10" s="1" t="s">
        <v>11</v>
      </c>
      <c r="F10" s="56">
        <v>6</v>
      </c>
      <c r="G10" s="56"/>
      <c r="H10" s="121"/>
      <c r="I10" s="56">
        <f>288.89</f>
        <v>288.89</v>
      </c>
      <c r="J10" s="121">
        <f>I10*$O$10</f>
        <v>367.90141499999999</v>
      </c>
      <c r="K10" s="125">
        <f>J10*F10</f>
        <v>2207.4084899999998</v>
      </c>
      <c r="L10" s="125"/>
      <c r="M10" s="125"/>
      <c r="N10" s="126">
        <f>K10+L10+M10</f>
        <v>2207.4084899999998</v>
      </c>
      <c r="O10" s="156">
        <v>1.2735000000000001</v>
      </c>
      <c r="P10" s="156"/>
    </row>
    <row r="11" spans="1:20" ht="28.5" customHeight="1">
      <c r="A11" s="140" t="s">
        <v>12</v>
      </c>
      <c r="B11" s="1" t="s">
        <v>13</v>
      </c>
      <c r="C11" s="117" t="s">
        <v>14</v>
      </c>
      <c r="D11" s="1" t="s">
        <v>10</v>
      </c>
      <c r="E11" s="1" t="s">
        <v>15</v>
      </c>
      <c r="F11" s="56">
        <v>1</v>
      </c>
      <c r="G11" s="56"/>
      <c r="H11" s="121"/>
      <c r="I11" s="56">
        <f>12298.86</f>
        <v>12298.86</v>
      </c>
      <c r="J11" s="121">
        <f>I11*$O$10</f>
        <v>15662.598210000002</v>
      </c>
      <c r="K11" s="125">
        <f t="shared" ref="K11:K13" si="0">J11*F11</f>
        <v>15662.598210000002</v>
      </c>
      <c r="L11" s="125"/>
      <c r="M11" s="125"/>
      <c r="N11" s="126">
        <f t="shared" ref="N11:N13" si="1">K11+L11+M11</f>
        <v>15662.598210000002</v>
      </c>
    </row>
    <row r="12" spans="1:20" ht="38.25">
      <c r="A12" s="140" t="s">
        <v>16</v>
      </c>
      <c r="B12" s="1" t="s">
        <v>17</v>
      </c>
      <c r="C12" s="117" t="s">
        <v>18</v>
      </c>
      <c r="D12" s="1" t="s">
        <v>19</v>
      </c>
      <c r="E12" s="1" t="s">
        <v>20</v>
      </c>
      <c r="F12" s="56">
        <v>160.1</v>
      </c>
      <c r="G12" s="56"/>
      <c r="H12" s="121"/>
      <c r="I12" s="56">
        <f>41.08</f>
        <v>41.08</v>
      </c>
      <c r="J12" s="121">
        <f>I12*$O$10</f>
        <v>52.315379999999998</v>
      </c>
      <c r="K12" s="125">
        <f t="shared" si="0"/>
        <v>8375.6923379999989</v>
      </c>
      <c r="L12" s="125"/>
      <c r="M12" s="125"/>
      <c r="N12" s="126">
        <f t="shared" si="1"/>
        <v>8375.6923379999989</v>
      </c>
    </row>
    <row r="13" spans="1:20" ht="36" customHeight="1">
      <c r="A13" s="140" t="s">
        <v>21</v>
      </c>
      <c r="B13" s="1" t="s">
        <v>22</v>
      </c>
      <c r="C13" s="117" t="s">
        <v>23</v>
      </c>
      <c r="D13" s="1" t="s">
        <v>10</v>
      </c>
      <c r="E13" s="1" t="s">
        <v>15</v>
      </c>
      <c r="F13" s="56">
        <v>1</v>
      </c>
      <c r="G13" s="56"/>
      <c r="H13" s="121"/>
      <c r="I13" s="56">
        <f>2055.31</f>
        <v>2055.31</v>
      </c>
      <c r="J13" s="121">
        <f>I13*$O$10</f>
        <v>2617.437285</v>
      </c>
      <c r="K13" s="125">
        <f t="shared" si="0"/>
        <v>2617.437285</v>
      </c>
      <c r="L13" s="125"/>
      <c r="M13" s="125"/>
      <c r="N13" s="126">
        <f t="shared" si="1"/>
        <v>2617.437285</v>
      </c>
    </row>
    <row r="14" spans="1:20" s="3" customFormat="1">
      <c r="A14" s="140"/>
      <c r="B14" s="2"/>
      <c r="C14" s="118"/>
      <c r="D14" s="2"/>
      <c r="E14" s="2"/>
      <c r="F14" s="57"/>
      <c r="G14" s="122"/>
      <c r="H14" s="122"/>
      <c r="I14" s="57"/>
      <c r="J14" s="122"/>
      <c r="K14" s="127">
        <f>SUM(K10:K13)</f>
        <v>28863.136322999999</v>
      </c>
      <c r="L14" s="127">
        <f>SUM(L10:L13)</f>
        <v>0</v>
      </c>
      <c r="M14" s="127"/>
      <c r="N14" s="128">
        <f>SUM(N10:N13)</f>
        <v>28863.136322999999</v>
      </c>
      <c r="O14" s="144"/>
      <c r="P14" s="144"/>
    </row>
    <row r="15" spans="1:20" s="144" customFormat="1">
      <c r="A15" s="140"/>
      <c r="B15" s="162"/>
      <c r="C15" s="163"/>
      <c r="D15" s="141"/>
      <c r="E15" s="141"/>
      <c r="F15" s="142"/>
      <c r="G15" s="143"/>
      <c r="H15" s="143"/>
      <c r="I15" s="142"/>
      <c r="J15" s="143"/>
      <c r="K15" s="164"/>
      <c r="L15" s="164"/>
      <c r="M15" s="164"/>
      <c r="N15" s="165"/>
    </row>
    <row r="16" spans="1:20" ht="20.100000000000001" customHeight="1">
      <c r="A16" s="230" t="s">
        <v>24</v>
      </c>
      <c r="B16" s="367" t="s">
        <v>25</v>
      </c>
      <c r="C16" s="368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24"/>
    </row>
    <row r="17" spans="1:18" ht="38.25">
      <c r="A17" s="140" t="s">
        <v>26</v>
      </c>
      <c r="B17" s="1" t="s">
        <v>27</v>
      </c>
      <c r="C17" s="117" t="s">
        <v>28</v>
      </c>
      <c r="D17" s="1" t="s">
        <v>19</v>
      </c>
      <c r="E17" s="1" t="s">
        <v>29</v>
      </c>
      <c r="F17" s="56">
        <v>477.87</v>
      </c>
      <c r="G17" s="121">
        <f>F17+258.8</f>
        <v>736.67000000000007</v>
      </c>
      <c r="H17" s="121">
        <f>G17-F17</f>
        <v>258.80000000000007</v>
      </c>
      <c r="I17" s="56">
        <v>30.08</v>
      </c>
      <c r="J17" s="121">
        <f>I17*$O$10</f>
        <v>38.30688</v>
      </c>
      <c r="K17" s="125">
        <f>J17*F17</f>
        <v>18305.708745600001</v>
      </c>
      <c r="L17" s="125">
        <f>J17*H17</f>
        <v>9913.820544000002</v>
      </c>
      <c r="M17" s="125"/>
      <c r="N17" s="126">
        <f t="shared" ref="N17:N22" si="2">K17+L17+M17</f>
        <v>28219.529289600003</v>
      </c>
    </row>
    <row r="18" spans="1:18" ht="63.75" customHeight="1">
      <c r="A18" s="140" t="s">
        <v>30</v>
      </c>
      <c r="B18" s="1" t="s">
        <v>31</v>
      </c>
      <c r="C18" s="117" t="s">
        <v>32</v>
      </c>
      <c r="D18" s="1" t="s">
        <v>19</v>
      </c>
      <c r="E18" s="1" t="s">
        <v>29</v>
      </c>
      <c r="F18" s="56">
        <v>139.80000000000001</v>
      </c>
      <c r="G18" s="121">
        <f>139.8+265.35</f>
        <v>405.15000000000003</v>
      </c>
      <c r="H18" s="121">
        <f>G18-F18</f>
        <v>265.35000000000002</v>
      </c>
      <c r="I18" s="56">
        <v>63.46</v>
      </c>
      <c r="J18" s="121">
        <f>I18*$O$10</f>
        <v>80.816310000000001</v>
      </c>
      <c r="K18" s="125">
        <f t="shared" ref="K18:K22" si="3">J18*F18</f>
        <v>11298.120138</v>
      </c>
      <c r="L18" s="125">
        <f t="shared" ref="L18:L80" si="4">J18*H18</f>
        <v>21444.607858500003</v>
      </c>
      <c r="M18" s="125"/>
      <c r="N18" s="126">
        <f t="shared" si="2"/>
        <v>32742.727996500005</v>
      </c>
    </row>
    <row r="19" spans="1:18" ht="38.25">
      <c r="A19" s="140" t="s">
        <v>33</v>
      </c>
      <c r="B19" s="1" t="s">
        <v>27</v>
      </c>
      <c r="C19" s="117" t="s">
        <v>28</v>
      </c>
      <c r="D19" s="1" t="s">
        <v>19</v>
      </c>
      <c r="E19" s="1" t="s">
        <v>29</v>
      </c>
      <c r="F19" s="56">
        <v>244.58</v>
      </c>
      <c r="G19" s="56"/>
      <c r="H19" s="121"/>
      <c r="I19" s="56">
        <v>30.08</v>
      </c>
      <c r="J19" s="121">
        <f>I19*$O$10</f>
        <v>38.30688</v>
      </c>
      <c r="K19" s="125">
        <f t="shared" si="3"/>
        <v>9369.096710400001</v>
      </c>
      <c r="L19" s="125">
        <f t="shared" si="4"/>
        <v>0</v>
      </c>
      <c r="M19" s="125"/>
      <c r="N19" s="126">
        <f t="shared" si="2"/>
        <v>9369.096710400001</v>
      </c>
    </row>
    <row r="20" spans="1:18" s="137" customFormat="1" ht="120.75" customHeight="1">
      <c r="A20" s="140" t="s">
        <v>795</v>
      </c>
      <c r="B20" s="133">
        <v>102326</v>
      </c>
      <c r="C20" s="134" t="s">
        <v>870</v>
      </c>
      <c r="D20" s="133" t="s">
        <v>19</v>
      </c>
      <c r="E20" s="133" t="s">
        <v>29</v>
      </c>
      <c r="F20" s="135">
        <v>0</v>
      </c>
      <c r="G20" s="136">
        <v>57.32</v>
      </c>
      <c r="H20" s="121">
        <f>G20-F20</f>
        <v>57.32</v>
      </c>
      <c r="I20" s="135">
        <v>6.3197429999999999</v>
      </c>
      <c r="J20" s="136">
        <f>I20*$O$10*$P$7</f>
        <v>7.0019276581350001</v>
      </c>
      <c r="K20" s="125">
        <f t="shared" si="3"/>
        <v>0</v>
      </c>
      <c r="L20" s="125">
        <f t="shared" si="4"/>
        <v>401.35049336429819</v>
      </c>
      <c r="M20" s="125"/>
      <c r="N20" s="126">
        <f t="shared" si="2"/>
        <v>401.35049336429819</v>
      </c>
      <c r="O20" s="144"/>
      <c r="P20" s="144"/>
      <c r="R20" s="137">
        <f>8.05*0.87</f>
        <v>7.0035000000000007</v>
      </c>
    </row>
    <row r="21" spans="1:18" s="137" customFormat="1">
      <c r="A21" s="140" t="s">
        <v>1034</v>
      </c>
      <c r="B21" s="133">
        <v>9898</v>
      </c>
      <c r="C21" s="138" t="s">
        <v>1035</v>
      </c>
      <c r="D21" s="133" t="s">
        <v>10</v>
      </c>
      <c r="E21" s="133" t="s">
        <v>29</v>
      </c>
      <c r="F21" s="210">
        <v>0</v>
      </c>
      <c r="G21" s="211">
        <v>531.84</v>
      </c>
      <c r="H21" s="210">
        <v>7.8406770000000003</v>
      </c>
      <c r="I21" s="210">
        <v>7.8406770000000003</v>
      </c>
      <c r="J21" s="136">
        <f>I21*$O$10*$P$7</f>
        <v>8.6870388787649997</v>
      </c>
      <c r="K21" s="212">
        <f t="shared" ref="K21:L21" si="5">F21*I21</f>
        <v>0</v>
      </c>
      <c r="L21" s="213">
        <f t="shared" si="5"/>
        <v>4620.1147572823775</v>
      </c>
      <c r="M21" s="214"/>
      <c r="N21" s="126">
        <f t="shared" si="2"/>
        <v>4620.1147572823775</v>
      </c>
      <c r="O21" s="144"/>
      <c r="P21" s="144"/>
    </row>
    <row r="22" spans="1:18" s="137" customFormat="1" ht="30">
      <c r="A22" s="140" t="s">
        <v>796</v>
      </c>
      <c r="B22" s="133" t="s">
        <v>797</v>
      </c>
      <c r="C22" s="138" t="s">
        <v>871</v>
      </c>
      <c r="D22" s="133" t="s">
        <v>259</v>
      </c>
      <c r="E22" s="133" t="s">
        <v>20</v>
      </c>
      <c r="F22" s="135">
        <v>0</v>
      </c>
      <c r="G22" s="136">
        <v>30.23</v>
      </c>
      <c r="H22" s="121">
        <f t="shared" ref="H22" si="6">G22-F22</f>
        <v>30.23</v>
      </c>
      <c r="I22" s="135">
        <v>47.655932</v>
      </c>
      <c r="J22" s="136">
        <f>I22*$O$10*$P$7</f>
        <v>52.800151579740003</v>
      </c>
      <c r="K22" s="125">
        <f t="shared" si="3"/>
        <v>0</v>
      </c>
      <c r="L22" s="125">
        <f t="shared" si="4"/>
        <v>1596.1485822555403</v>
      </c>
      <c r="M22" s="125"/>
      <c r="N22" s="143">
        <f t="shared" si="2"/>
        <v>1596.1485822555403</v>
      </c>
      <c r="O22" s="157"/>
      <c r="P22" s="144"/>
    </row>
    <row r="23" spans="1:18" s="137" customFormat="1">
      <c r="A23" s="140"/>
      <c r="B23" s="141"/>
      <c r="C23" s="190"/>
      <c r="D23" s="141"/>
      <c r="E23" s="141"/>
      <c r="F23" s="142"/>
      <c r="G23" s="143"/>
      <c r="H23" s="143"/>
      <c r="I23" s="142"/>
      <c r="J23" s="143"/>
      <c r="K23" s="177"/>
      <c r="L23" s="177"/>
      <c r="M23" s="177"/>
      <c r="N23" s="143"/>
      <c r="O23" s="157"/>
      <c r="P23" s="144"/>
    </row>
    <row r="24" spans="1:18">
      <c r="A24" s="140"/>
      <c r="B24" s="2"/>
      <c r="C24" s="118"/>
      <c r="D24" s="2"/>
      <c r="E24" s="2"/>
      <c r="F24" s="57"/>
      <c r="G24" s="122"/>
      <c r="H24" s="122"/>
      <c r="I24" s="57"/>
      <c r="J24" s="122"/>
      <c r="K24" s="127">
        <f>SUM(K17:K23)</f>
        <v>38972.925594</v>
      </c>
      <c r="L24" s="127">
        <f>SUM(L17:L23)</f>
        <v>37976.042235402223</v>
      </c>
      <c r="M24" s="127"/>
      <c r="N24" s="128">
        <f>SUM(N17:N23)</f>
        <v>76948.967829402231</v>
      </c>
    </row>
    <row r="25" spans="1:18" s="144" customFormat="1">
      <c r="A25" s="140"/>
      <c r="B25" s="162"/>
      <c r="C25" s="163"/>
      <c r="D25" s="141"/>
      <c r="E25" s="141"/>
      <c r="F25" s="142"/>
      <c r="G25" s="143"/>
      <c r="H25" s="143"/>
      <c r="I25" s="142"/>
      <c r="J25" s="143"/>
      <c r="K25" s="164"/>
      <c r="L25" s="125">
        <f t="shared" si="4"/>
        <v>0</v>
      </c>
      <c r="M25" s="164"/>
      <c r="N25" s="165"/>
    </row>
    <row r="26" spans="1:18" ht="20.100000000000001" customHeight="1">
      <c r="A26" s="230" t="s">
        <v>34</v>
      </c>
      <c r="B26" s="367" t="s">
        <v>35</v>
      </c>
      <c r="C26" s="368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24"/>
    </row>
    <row r="27" spans="1:18" ht="51">
      <c r="A27" s="140" t="s">
        <v>36</v>
      </c>
      <c r="B27" s="1" t="s">
        <v>37</v>
      </c>
      <c r="C27" s="117" t="s">
        <v>38</v>
      </c>
      <c r="D27" s="1" t="s">
        <v>19</v>
      </c>
      <c r="E27" s="1" t="s">
        <v>29</v>
      </c>
      <c r="F27" s="56">
        <v>5.42</v>
      </c>
      <c r="G27" s="121">
        <f>F27+25.36</f>
        <v>30.78</v>
      </c>
      <c r="H27" s="121">
        <f t="shared" ref="H27:H28" si="7">G27-F27</f>
        <v>25.36</v>
      </c>
      <c r="I27" s="56">
        <v>242.41</v>
      </c>
      <c r="J27" s="121">
        <f t="shared" ref="J27:J34" si="8">I27*$O$10</f>
        <v>308.709135</v>
      </c>
      <c r="K27" s="125">
        <f t="shared" ref="K27:K34" si="9">J27*F27</f>
        <v>1673.2035117</v>
      </c>
      <c r="L27" s="125">
        <f t="shared" si="4"/>
        <v>7828.8636636000001</v>
      </c>
      <c r="M27" s="125"/>
      <c r="N27" s="126">
        <f t="shared" ref="N27:N35" si="10">K27+L27+M27</f>
        <v>9502.0671753000006</v>
      </c>
      <c r="O27" s="157"/>
    </row>
    <row r="28" spans="1:18" ht="25.5">
      <c r="A28" s="140" t="s">
        <v>39</v>
      </c>
      <c r="B28" s="1" t="s">
        <v>40</v>
      </c>
      <c r="C28" s="117" t="s">
        <v>41</v>
      </c>
      <c r="D28" s="1" t="s">
        <v>10</v>
      </c>
      <c r="E28" s="1" t="s">
        <v>42</v>
      </c>
      <c r="F28" s="56">
        <v>476.29</v>
      </c>
      <c r="G28" s="121">
        <f>F28+37.84</f>
        <v>514.13</v>
      </c>
      <c r="H28" s="121">
        <f t="shared" si="7"/>
        <v>37.839999999999975</v>
      </c>
      <c r="I28" s="56">
        <v>58.96</v>
      </c>
      <c r="J28" s="121">
        <f t="shared" si="8"/>
        <v>75.085560000000001</v>
      </c>
      <c r="K28" s="125">
        <f t="shared" si="9"/>
        <v>35762.501372400002</v>
      </c>
      <c r="L28" s="125">
        <f t="shared" si="4"/>
        <v>2841.2375903999982</v>
      </c>
      <c r="M28" s="125"/>
      <c r="N28" s="126">
        <f t="shared" si="10"/>
        <v>38603.738962800002</v>
      </c>
    </row>
    <row r="29" spans="1:18" ht="38.25">
      <c r="A29" s="140" t="s">
        <v>43</v>
      </c>
      <c r="B29" s="1" t="s">
        <v>44</v>
      </c>
      <c r="C29" s="117" t="s">
        <v>45</v>
      </c>
      <c r="D29" s="1" t="s">
        <v>19</v>
      </c>
      <c r="E29" s="1" t="s">
        <v>46</v>
      </c>
      <c r="F29" s="56">
        <v>11.12</v>
      </c>
      <c r="G29" s="56"/>
      <c r="H29" s="121"/>
      <c r="I29" s="56">
        <v>15.84</v>
      </c>
      <c r="J29" s="121">
        <f t="shared" si="8"/>
        <v>20.172240000000002</v>
      </c>
      <c r="K29" s="125">
        <f t="shared" si="9"/>
        <v>224.3153088</v>
      </c>
      <c r="L29" s="125">
        <f t="shared" si="4"/>
        <v>0</v>
      </c>
      <c r="M29" s="125"/>
      <c r="N29" s="126">
        <f t="shared" si="10"/>
        <v>224.3153088</v>
      </c>
    </row>
    <row r="30" spans="1:18" ht="62.25" customHeight="1">
      <c r="A30" s="140" t="s">
        <v>47</v>
      </c>
      <c r="B30" s="1" t="s">
        <v>48</v>
      </c>
      <c r="C30" s="176" t="s">
        <v>49</v>
      </c>
      <c r="D30" s="1" t="s">
        <v>19</v>
      </c>
      <c r="E30" s="1" t="s">
        <v>46</v>
      </c>
      <c r="F30" s="56">
        <v>2763.11</v>
      </c>
      <c r="G30" s="121">
        <f>F30+117.92</f>
        <v>2881.03</v>
      </c>
      <c r="H30" s="121">
        <f t="shared" ref="H30" si="11">G30-F30</f>
        <v>117.92000000000007</v>
      </c>
      <c r="I30" s="56">
        <v>13.6</v>
      </c>
      <c r="J30" s="121">
        <f t="shared" si="8"/>
        <v>17.319600000000001</v>
      </c>
      <c r="K30" s="125">
        <f t="shared" si="9"/>
        <v>47855.959956000006</v>
      </c>
      <c r="L30" s="125">
        <f t="shared" si="4"/>
        <v>2042.3272320000015</v>
      </c>
      <c r="M30" s="125"/>
      <c r="N30" s="126">
        <f t="shared" si="10"/>
        <v>49898.287188000009</v>
      </c>
    </row>
    <row r="31" spans="1:18" ht="52.5" customHeight="1">
      <c r="A31" s="140" t="s">
        <v>50</v>
      </c>
      <c r="B31" s="1" t="s">
        <v>51</v>
      </c>
      <c r="C31" s="176" t="s">
        <v>52</v>
      </c>
      <c r="D31" s="1" t="s">
        <v>19</v>
      </c>
      <c r="E31" s="1" t="s">
        <v>46</v>
      </c>
      <c r="F31" s="56">
        <v>397.04</v>
      </c>
      <c r="G31" s="56"/>
      <c r="H31" s="121"/>
      <c r="I31" s="56">
        <v>11.57</v>
      </c>
      <c r="J31" s="121">
        <f t="shared" si="8"/>
        <v>14.734395000000001</v>
      </c>
      <c r="K31" s="125">
        <f t="shared" si="9"/>
        <v>5850.1441908000006</v>
      </c>
      <c r="L31" s="125">
        <f t="shared" si="4"/>
        <v>0</v>
      </c>
      <c r="M31" s="125"/>
      <c r="N31" s="126">
        <f t="shared" si="10"/>
        <v>5850.1441908000006</v>
      </c>
    </row>
    <row r="32" spans="1:18" ht="38.25">
      <c r="A32" s="140" t="s">
        <v>53</v>
      </c>
      <c r="B32" s="1" t="s">
        <v>54</v>
      </c>
      <c r="C32" s="117" t="s">
        <v>55</v>
      </c>
      <c r="D32" s="1" t="s">
        <v>19</v>
      </c>
      <c r="E32" s="1" t="s">
        <v>46</v>
      </c>
      <c r="F32" s="56">
        <v>437.7</v>
      </c>
      <c r="G32" s="121">
        <f>F32+46.84</f>
        <v>484.53999999999996</v>
      </c>
      <c r="H32" s="121">
        <f t="shared" ref="H32:H34" si="12">G32-F32</f>
        <v>46.839999999999975</v>
      </c>
      <c r="I32" s="56">
        <v>16.47</v>
      </c>
      <c r="J32" s="121">
        <f t="shared" si="8"/>
        <v>20.974544999999999</v>
      </c>
      <c r="K32" s="125">
        <f t="shared" si="9"/>
        <v>9180.5583465</v>
      </c>
      <c r="L32" s="125">
        <f t="shared" si="4"/>
        <v>982.44768779999947</v>
      </c>
      <c r="M32" s="125"/>
      <c r="N32" s="126">
        <f t="shared" si="10"/>
        <v>10163.006034299999</v>
      </c>
    </row>
    <row r="33" spans="1:16" ht="51">
      <c r="A33" s="140" t="s">
        <v>56</v>
      </c>
      <c r="B33" s="1" t="s">
        <v>57</v>
      </c>
      <c r="C33" s="117" t="s">
        <v>58</v>
      </c>
      <c r="D33" s="1" t="s">
        <v>19</v>
      </c>
      <c r="E33" s="1" t="s">
        <v>29</v>
      </c>
      <c r="F33" s="56">
        <v>65.67</v>
      </c>
      <c r="G33" s="121">
        <f>F33+2.13</f>
        <v>67.8</v>
      </c>
      <c r="H33" s="121">
        <f t="shared" si="12"/>
        <v>2.1299999999999955</v>
      </c>
      <c r="I33" s="56">
        <v>301.79000000000002</v>
      </c>
      <c r="J33" s="121">
        <f t="shared" si="8"/>
        <v>384.32956500000006</v>
      </c>
      <c r="K33" s="125">
        <f t="shared" si="9"/>
        <v>25238.922533550005</v>
      </c>
      <c r="L33" s="125">
        <f t="shared" si="4"/>
        <v>818.62197344999834</v>
      </c>
      <c r="M33" s="125"/>
      <c r="N33" s="126">
        <f t="shared" si="10"/>
        <v>26057.544507000002</v>
      </c>
    </row>
    <row r="34" spans="1:16" ht="38.25">
      <c r="A34" s="140" t="s">
        <v>59</v>
      </c>
      <c r="B34" s="1" t="s">
        <v>60</v>
      </c>
      <c r="C34" s="117" t="s">
        <v>61</v>
      </c>
      <c r="D34" s="1" t="s">
        <v>19</v>
      </c>
      <c r="E34" s="1" t="s">
        <v>29</v>
      </c>
      <c r="F34" s="56">
        <v>65.67</v>
      </c>
      <c r="G34" s="121">
        <f>F34+2.13</f>
        <v>67.8</v>
      </c>
      <c r="H34" s="121">
        <f t="shared" si="12"/>
        <v>2.1299999999999955</v>
      </c>
      <c r="I34" s="56">
        <v>23.69</v>
      </c>
      <c r="J34" s="121">
        <f t="shared" si="8"/>
        <v>30.169215000000005</v>
      </c>
      <c r="K34" s="125">
        <f t="shared" si="9"/>
        <v>1981.2123490500003</v>
      </c>
      <c r="L34" s="125">
        <f t="shared" si="4"/>
        <v>64.26042794999988</v>
      </c>
      <c r="M34" s="125"/>
      <c r="N34" s="126">
        <f t="shared" si="10"/>
        <v>2045.4727770000002</v>
      </c>
    </row>
    <row r="35" spans="1:16" s="137" customFormat="1" ht="55.5" customHeight="1">
      <c r="A35" s="140" t="s">
        <v>1036</v>
      </c>
      <c r="B35" s="133">
        <v>4953</v>
      </c>
      <c r="C35" s="138" t="s">
        <v>872</v>
      </c>
      <c r="D35" s="133" t="s">
        <v>10</v>
      </c>
      <c r="E35" s="133" t="s">
        <v>67</v>
      </c>
      <c r="F35" s="135" t="s">
        <v>799</v>
      </c>
      <c r="G35" s="136">
        <v>289.06</v>
      </c>
      <c r="H35" s="121">
        <f>G35</f>
        <v>289.06</v>
      </c>
      <c r="I35" s="135">
        <v>23.653146</v>
      </c>
      <c r="J35" s="136">
        <f>I35*$O$10*$P$7</f>
        <v>26.20638484497</v>
      </c>
      <c r="K35" s="125"/>
      <c r="L35" s="125">
        <f t="shared" si="4"/>
        <v>7575.2176032870284</v>
      </c>
      <c r="M35" s="125"/>
      <c r="N35" s="126">
        <f t="shared" si="10"/>
        <v>7575.2176032870284</v>
      </c>
      <c r="O35" s="144"/>
      <c r="P35" s="144"/>
    </row>
    <row r="36" spans="1:16">
      <c r="A36" s="140"/>
      <c r="B36" s="2"/>
      <c r="C36" s="118"/>
      <c r="D36" s="2"/>
      <c r="E36" s="2"/>
      <c r="F36" s="57"/>
      <c r="G36" s="122"/>
      <c r="H36" s="122"/>
      <c r="I36" s="57"/>
      <c r="J36" s="122"/>
      <c r="K36" s="127">
        <f>SUM(K27:K35)</f>
        <v>127766.8175688</v>
      </c>
      <c r="L36" s="127">
        <f>SUM(L27:L35)</f>
        <v>22152.976178487024</v>
      </c>
      <c r="M36" s="127"/>
      <c r="N36" s="128">
        <f>SUM(N27:N35)</f>
        <v>149919.79374728701</v>
      </c>
    </row>
    <row r="37" spans="1:16" s="144" customFormat="1">
      <c r="A37" s="140"/>
      <c r="B37" s="162"/>
      <c r="C37" s="163"/>
      <c r="D37" s="141"/>
      <c r="E37" s="141"/>
      <c r="F37" s="142"/>
      <c r="G37" s="143"/>
      <c r="H37" s="143"/>
      <c r="I37" s="142"/>
      <c r="J37" s="143"/>
      <c r="K37" s="164"/>
      <c r="L37" s="125">
        <f t="shared" si="4"/>
        <v>0</v>
      </c>
      <c r="M37" s="164"/>
      <c r="N37" s="165"/>
    </row>
    <row r="38" spans="1:16" ht="20.100000000000001" customHeight="1">
      <c r="A38" s="230" t="s">
        <v>62</v>
      </c>
      <c r="B38" s="367" t="s">
        <v>63</v>
      </c>
      <c r="C38" s="368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24"/>
    </row>
    <row r="39" spans="1:16" ht="76.5">
      <c r="A39" s="140" t="s">
        <v>64</v>
      </c>
      <c r="B39" s="1" t="s">
        <v>65</v>
      </c>
      <c r="C39" s="117" t="s">
        <v>66</v>
      </c>
      <c r="D39" s="1" t="s">
        <v>19</v>
      </c>
      <c r="E39" s="1" t="s">
        <v>67</v>
      </c>
      <c r="F39" s="56">
        <v>1094.53</v>
      </c>
      <c r="G39" s="56"/>
      <c r="H39" s="121"/>
      <c r="I39" s="56">
        <v>52.58</v>
      </c>
      <c r="J39" s="121">
        <f>I39*$O$10</f>
        <v>66.960629999999995</v>
      </c>
      <c r="K39" s="125">
        <f t="shared" ref="K39:K42" si="13">J39*F39</f>
        <v>73290.418353899993</v>
      </c>
      <c r="L39" s="125">
        <f t="shared" si="4"/>
        <v>0</v>
      </c>
      <c r="M39" s="125"/>
      <c r="N39" s="126">
        <f t="shared" ref="N39:N42" si="14">K39+L39+M39</f>
        <v>73290.418353899993</v>
      </c>
    </row>
    <row r="40" spans="1:16" ht="51">
      <c r="A40" s="140" t="s">
        <v>68</v>
      </c>
      <c r="B40" s="1" t="s">
        <v>69</v>
      </c>
      <c r="C40" s="117" t="s">
        <v>70</v>
      </c>
      <c r="D40" s="1" t="s">
        <v>19</v>
      </c>
      <c r="E40" s="1" t="s">
        <v>67</v>
      </c>
      <c r="F40" s="56">
        <v>16</v>
      </c>
      <c r="G40" s="56"/>
      <c r="H40" s="121"/>
      <c r="I40" s="56">
        <v>133.55000000000001</v>
      </c>
      <c r="J40" s="121">
        <f>I40*$O$10</f>
        <v>170.07592500000001</v>
      </c>
      <c r="K40" s="125">
        <f t="shared" si="13"/>
        <v>2721.2148000000002</v>
      </c>
      <c r="L40" s="125">
        <f t="shared" si="4"/>
        <v>0</v>
      </c>
      <c r="M40" s="125"/>
      <c r="N40" s="126">
        <f t="shared" si="14"/>
        <v>2721.2148000000002</v>
      </c>
    </row>
    <row r="41" spans="1:16" ht="76.5">
      <c r="A41" s="140" t="s">
        <v>71</v>
      </c>
      <c r="B41" s="1" t="s">
        <v>65</v>
      </c>
      <c r="C41" s="117" t="s">
        <v>66</v>
      </c>
      <c r="D41" s="1" t="s">
        <v>19</v>
      </c>
      <c r="E41" s="1" t="s">
        <v>67</v>
      </c>
      <c r="F41" s="56">
        <v>183</v>
      </c>
      <c r="G41" s="56"/>
      <c r="H41" s="121"/>
      <c r="I41" s="56">
        <v>52.58</v>
      </c>
      <c r="J41" s="121">
        <f>I41*$O$10</f>
        <v>66.960629999999995</v>
      </c>
      <c r="K41" s="125">
        <f t="shared" si="13"/>
        <v>12253.795289999998</v>
      </c>
      <c r="L41" s="125">
        <f t="shared" si="4"/>
        <v>0</v>
      </c>
      <c r="M41" s="125"/>
      <c r="N41" s="126">
        <f t="shared" si="14"/>
        <v>12253.795289999998</v>
      </c>
    </row>
    <row r="42" spans="1:16" s="137" customFormat="1" ht="123" customHeight="1">
      <c r="A42" s="140" t="s">
        <v>800</v>
      </c>
      <c r="B42" s="133">
        <v>89977</v>
      </c>
      <c r="C42" s="133" t="s">
        <v>873</v>
      </c>
      <c r="D42" s="133" t="s">
        <v>19</v>
      </c>
      <c r="E42" s="133" t="s">
        <v>67</v>
      </c>
      <c r="F42" s="135">
        <v>0</v>
      </c>
      <c r="G42" s="136">
        <v>166.07400000000001</v>
      </c>
      <c r="H42" s="121">
        <f t="shared" ref="H42" si="15">G42-F42</f>
        <v>166.07400000000001</v>
      </c>
      <c r="I42" s="135">
        <v>101.50923299999999</v>
      </c>
      <c r="J42" s="136">
        <f>I42*$O$10*$P$7</f>
        <v>112.466647156185</v>
      </c>
      <c r="K42" s="125">
        <f t="shared" si="13"/>
        <v>0</v>
      </c>
      <c r="L42" s="125">
        <f t="shared" si="4"/>
        <v>18677.785959816269</v>
      </c>
      <c r="M42" s="125"/>
      <c r="N42" s="126">
        <f t="shared" si="14"/>
        <v>18677.785959816269</v>
      </c>
      <c r="O42" s="144"/>
      <c r="P42" s="144"/>
    </row>
    <row r="43" spans="1:16">
      <c r="A43" s="140"/>
      <c r="B43" s="2"/>
      <c r="C43" s="118"/>
      <c r="D43" s="2"/>
      <c r="E43" s="2"/>
      <c r="F43" s="57"/>
      <c r="G43" s="122"/>
      <c r="H43" s="122"/>
      <c r="I43" s="57"/>
      <c r="J43" s="122"/>
      <c r="K43" s="127">
        <f>SUM(K39:K42)</f>
        <v>88265.428443899989</v>
      </c>
      <c r="L43" s="127">
        <f>SUM(L39:L42)</f>
        <v>18677.785959816269</v>
      </c>
      <c r="M43" s="127"/>
      <c r="N43" s="128">
        <f>SUM(N39:N42)</f>
        <v>106943.21440371627</v>
      </c>
    </row>
    <row r="44" spans="1:16" s="144" customFormat="1">
      <c r="A44" s="140"/>
      <c r="B44" s="162"/>
      <c r="C44" s="163"/>
      <c r="D44" s="141"/>
      <c r="E44" s="141"/>
      <c r="F44" s="142"/>
      <c r="G44" s="143"/>
      <c r="H44" s="143"/>
      <c r="I44" s="142"/>
      <c r="J44" s="143"/>
      <c r="K44" s="164"/>
      <c r="L44" s="125">
        <f t="shared" si="4"/>
        <v>0</v>
      </c>
      <c r="M44" s="164"/>
      <c r="N44" s="165"/>
    </row>
    <row r="45" spans="1:16" ht="20.100000000000001" customHeight="1">
      <c r="A45" s="230" t="s">
        <v>72</v>
      </c>
      <c r="B45" s="367" t="s">
        <v>73</v>
      </c>
      <c r="C45" s="368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24"/>
    </row>
    <row r="46" spans="1:16" ht="38.25">
      <c r="A46" s="140" t="s">
        <v>74</v>
      </c>
      <c r="B46" s="1" t="s">
        <v>75</v>
      </c>
      <c r="C46" s="117" t="s">
        <v>76</v>
      </c>
      <c r="D46" s="1" t="s">
        <v>10</v>
      </c>
      <c r="E46" s="1" t="s">
        <v>11</v>
      </c>
      <c r="F46" s="56">
        <v>774.39</v>
      </c>
      <c r="G46" s="121">
        <f>F46+271.32</f>
        <v>1045.71</v>
      </c>
      <c r="H46" s="121">
        <f t="shared" ref="H46" si="16">G46-F46</f>
        <v>271.32000000000005</v>
      </c>
      <c r="I46" s="56">
        <v>49.07</v>
      </c>
      <c r="J46" s="121">
        <f t="shared" ref="J46:J55" si="17">I46*$O$10</f>
        <v>62.490645000000001</v>
      </c>
      <c r="K46" s="125">
        <f t="shared" ref="K46:K63" si="18">J46*F46</f>
        <v>48392.130581550002</v>
      </c>
      <c r="L46" s="125">
        <f t="shared" si="4"/>
        <v>16954.961801400004</v>
      </c>
      <c r="M46" s="125"/>
      <c r="N46" s="126">
        <f t="shared" ref="N46:N63" si="19">K46+L46+M46</f>
        <v>65347.09238295001</v>
      </c>
    </row>
    <row r="47" spans="1:16" ht="82.5" customHeight="1">
      <c r="A47" s="140" t="s">
        <v>77</v>
      </c>
      <c r="B47" s="1" t="s">
        <v>78</v>
      </c>
      <c r="C47" s="117" t="s">
        <v>79</v>
      </c>
      <c r="D47" s="1" t="s">
        <v>19</v>
      </c>
      <c r="E47" s="1" t="s">
        <v>46</v>
      </c>
      <c r="F47" s="56">
        <v>13.48</v>
      </c>
      <c r="G47" s="56"/>
      <c r="H47" s="121"/>
      <c r="I47" s="56">
        <v>15.87</v>
      </c>
      <c r="J47" s="121">
        <f t="shared" si="17"/>
        <v>20.210445</v>
      </c>
      <c r="K47" s="125">
        <f t="shared" si="18"/>
        <v>272.43679860000003</v>
      </c>
      <c r="L47" s="125">
        <f t="shared" si="4"/>
        <v>0</v>
      </c>
      <c r="M47" s="125"/>
      <c r="N47" s="126">
        <f t="shared" si="19"/>
        <v>272.43679860000003</v>
      </c>
    </row>
    <row r="48" spans="1:16" ht="64.5" customHeight="1">
      <c r="A48" s="140" t="s">
        <v>80</v>
      </c>
      <c r="B48" s="1" t="s">
        <v>81</v>
      </c>
      <c r="C48" s="117" t="s">
        <v>82</v>
      </c>
      <c r="D48" s="1" t="s">
        <v>19</v>
      </c>
      <c r="E48" s="1" t="s">
        <v>46</v>
      </c>
      <c r="F48" s="56">
        <v>2421.11</v>
      </c>
      <c r="G48" s="121">
        <f>F48+770.02</f>
        <v>3191.13</v>
      </c>
      <c r="H48" s="121">
        <f t="shared" ref="H48:H56" si="20">G48-F48</f>
        <v>770.02</v>
      </c>
      <c r="I48" s="56">
        <v>13.56</v>
      </c>
      <c r="J48" s="121">
        <f t="shared" si="17"/>
        <v>17.268660000000001</v>
      </c>
      <c r="K48" s="125">
        <f t="shared" si="18"/>
        <v>41809.325412600003</v>
      </c>
      <c r="L48" s="223">
        <f t="shared" si="4"/>
        <v>13297.213573200001</v>
      </c>
      <c r="M48" s="125"/>
      <c r="N48" s="126">
        <f t="shared" si="19"/>
        <v>55106.538985800005</v>
      </c>
    </row>
    <row r="49" spans="1:16" ht="73.5" customHeight="1">
      <c r="A49" s="140" t="s">
        <v>83</v>
      </c>
      <c r="B49" s="1" t="s">
        <v>84</v>
      </c>
      <c r="C49" s="117" t="s">
        <v>85</v>
      </c>
      <c r="D49" s="1" t="s">
        <v>19</v>
      </c>
      <c r="E49" s="1" t="s">
        <v>46</v>
      </c>
      <c r="F49" s="56">
        <v>632.69000000000005</v>
      </c>
      <c r="G49" s="121">
        <f>F49+92.45</f>
        <v>725.1400000000001</v>
      </c>
      <c r="H49" s="121">
        <f t="shared" si="20"/>
        <v>92.450000000000045</v>
      </c>
      <c r="I49" s="56">
        <v>11.47</v>
      </c>
      <c r="J49" s="121">
        <f t="shared" si="17"/>
        <v>14.607045000000001</v>
      </c>
      <c r="K49" s="125">
        <f t="shared" si="18"/>
        <v>9241.731301050002</v>
      </c>
      <c r="L49" s="125">
        <f t="shared" si="4"/>
        <v>1350.4213102500007</v>
      </c>
      <c r="M49" s="125"/>
      <c r="N49" s="126">
        <f t="shared" si="19"/>
        <v>10592.152611300004</v>
      </c>
    </row>
    <row r="50" spans="1:16" ht="70.5" customHeight="1">
      <c r="A50" s="140" t="s">
        <v>86</v>
      </c>
      <c r="B50" s="1" t="s">
        <v>87</v>
      </c>
      <c r="C50" s="117" t="s">
        <v>88</v>
      </c>
      <c r="D50" s="1" t="s">
        <v>19</v>
      </c>
      <c r="E50" s="1" t="s">
        <v>46</v>
      </c>
      <c r="F50" s="56">
        <v>729.34</v>
      </c>
      <c r="G50" s="121">
        <f>F50+290.85</f>
        <v>1020.19</v>
      </c>
      <c r="H50" s="121">
        <f t="shared" si="20"/>
        <v>290.85000000000002</v>
      </c>
      <c r="I50" s="56">
        <v>16.5</v>
      </c>
      <c r="J50" s="121">
        <f t="shared" si="17"/>
        <v>21.01275</v>
      </c>
      <c r="K50" s="125">
        <f t="shared" si="18"/>
        <v>15325.439085000002</v>
      </c>
      <c r="L50" s="125">
        <f t="shared" si="4"/>
        <v>6111.5583375000006</v>
      </c>
      <c r="M50" s="125"/>
      <c r="N50" s="126">
        <f t="shared" si="19"/>
        <v>21436.997422500004</v>
      </c>
    </row>
    <row r="51" spans="1:16" ht="51">
      <c r="A51" s="140" t="s">
        <v>89</v>
      </c>
      <c r="B51" s="1" t="s">
        <v>90</v>
      </c>
      <c r="C51" s="117" t="s">
        <v>91</v>
      </c>
      <c r="D51" s="1" t="s">
        <v>19</v>
      </c>
      <c r="E51" s="1" t="s">
        <v>29</v>
      </c>
      <c r="F51" s="56">
        <v>39.65</v>
      </c>
      <c r="G51" s="121">
        <f>F51+13.25</f>
        <v>52.9</v>
      </c>
      <c r="H51" s="121">
        <f t="shared" si="20"/>
        <v>13.25</v>
      </c>
      <c r="I51" s="56">
        <v>298.27999999999997</v>
      </c>
      <c r="J51" s="121">
        <f t="shared" si="17"/>
        <v>379.85957999999999</v>
      </c>
      <c r="K51" s="125">
        <f t="shared" si="18"/>
        <v>15061.432347</v>
      </c>
      <c r="L51" s="125">
        <f t="shared" si="4"/>
        <v>5033.139435</v>
      </c>
      <c r="M51" s="125"/>
      <c r="N51" s="126">
        <f t="shared" si="19"/>
        <v>20094.571781999999</v>
      </c>
    </row>
    <row r="52" spans="1:16" ht="38.25">
      <c r="A52" s="140" t="s">
        <v>92</v>
      </c>
      <c r="B52" s="1" t="s">
        <v>60</v>
      </c>
      <c r="C52" s="117" t="s">
        <v>61</v>
      </c>
      <c r="D52" s="1" t="s">
        <v>19</v>
      </c>
      <c r="E52" s="1" t="s">
        <v>29</v>
      </c>
      <c r="F52" s="56">
        <v>39.65</v>
      </c>
      <c r="G52" s="121">
        <f>F52+13.25</f>
        <v>52.9</v>
      </c>
      <c r="H52" s="121">
        <f t="shared" si="20"/>
        <v>13.25</v>
      </c>
      <c r="I52" s="56">
        <v>23.69</v>
      </c>
      <c r="J52" s="121">
        <f t="shared" si="17"/>
        <v>30.169215000000005</v>
      </c>
      <c r="K52" s="125">
        <f t="shared" si="18"/>
        <v>1196.2093747500001</v>
      </c>
      <c r="L52" s="125">
        <f t="shared" si="4"/>
        <v>399.74209875000008</v>
      </c>
      <c r="M52" s="125"/>
      <c r="N52" s="126">
        <f t="shared" si="19"/>
        <v>1595.9514735000002</v>
      </c>
    </row>
    <row r="53" spans="1:16" ht="68.25" customHeight="1">
      <c r="A53" s="140" t="s">
        <v>93</v>
      </c>
      <c r="B53" s="1" t="s">
        <v>94</v>
      </c>
      <c r="C53" s="119" t="s">
        <v>95</v>
      </c>
      <c r="D53" s="1" t="s">
        <v>19</v>
      </c>
      <c r="E53" s="1" t="s">
        <v>67</v>
      </c>
      <c r="F53" s="56">
        <v>111.31</v>
      </c>
      <c r="G53" s="143"/>
      <c r="H53" s="121"/>
      <c r="I53" s="56">
        <v>129.72</v>
      </c>
      <c r="J53" s="121">
        <f t="shared" si="17"/>
        <v>165.19842</v>
      </c>
      <c r="K53" s="125">
        <f t="shared" si="18"/>
        <v>18388.236130199999</v>
      </c>
      <c r="L53" s="125">
        <f t="shared" si="4"/>
        <v>0</v>
      </c>
      <c r="M53" s="125"/>
      <c r="N53" s="126">
        <f t="shared" si="19"/>
        <v>18388.236130199999</v>
      </c>
    </row>
    <row r="54" spans="1:16" ht="25.5">
      <c r="A54" s="140" t="s">
        <v>96</v>
      </c>
      <c r="B54" s="1" t="s">
        <v>97</v>
      </c>
      <c r="C54" s="117" t="s">
        <v>98</v>
      </c>
      <c r="D54" s="1" t="s">
        <v>19</v>
      </c>
      <c r="E54" s="1" t="s">
        <v>20</v>
      </c>
      <c r="F54" s="56">
        <v>25</v>
      </c>
      <c r="G54" s="143"/>
      <c r="H54" s="121"/>
      <c r="I54" s="56">
        <v>25.84</v>
      </c>
      <c r="J54" s="121">
        <f t="shared" si="17"/>
        <v>32.907240000000002</v>
      </c>
      <c r="K54" s="125">
        <f t="shared" si="18"/>
        <v>822.68100000000004</v>
      </c>
      <c r="L54" s="125">
        <f t="shared" si="4"/>
        <v>0</v>
      </c>
      <c r="M54" s="125"/>
      <c r="N54" s="126">
        <f t="shared" si="19"/>
        <v>822.68100000000004</v>
      </c>
    </row>
    <row r="55" spans="1:16" ht="25.5">
      <c r="A55" s="140" t="s">
        <v>99</v>
      </c>
      <c r="B55" s="1" t="s">
        <v>100</v>
      </c>
      <c r="C55" s="117" t="s">
        <v>101</v>
      </c>
      <c r="D55" s="1" t="s">
        <v>19</v>
      </c>
      <c r="E55" s="1" t="s">
        <v>20</v>
      </c>
      <c r="F55" s="56">
        <v>101.6</v>
      </c>
      <c r="G55" s="143"/>
      <c r="H55" s="121"/>
      <c r="I55" s="56">
        <v>35.19</v>
      </c>
      <c r="J55" s="121">
        <f t="shared" si="17"/>
        <v>44.814464999999998</v>
      </c>
      <c r="K55" s="125">
        <f t="shared" si="18"/>
        <v>4553.1496439999992</v>
      </c>
      <c r="L55" s="125">
        <f t="shared" si="4"/>
        <v>0</v>
      </c>
      <c r="M55" s="125"/>
      <c r="N55" s="126">
        <f t="shared" si="19"/>
        <v>4553.1496439999992</v>
      </c>
    </row>
    <row r="56" spans="1:16" s="137" customFormat="1" ht="72.75" customHeight="1">
      <c r="A56" s="140" t="s">
        <v>801</v>
      </c>
      <c r="B56" s="133">
        <v>92777</v>
      </c>
      <c r="C56" s="138" t="s">
        <v>874</v>
      </c>
      <c r="D56" s="133" t="s">
        <v>19</v>
      </c>
      <c r="E56" s="133" t="s">
        <v>67</v>
      </c>
      <c r="F56" s="135">
        <v>0</v>
      </c>
      <c r="G56" s="136">
        <v>12.39</v>
      </c>
      <c r="H56" s="121">
        <f t="shared" si="20"/>
        <v>12.39</v>
      </c>
      <c r="I56" s="135">
        <v>15.550238999999999</v>
      </c>
      <c r="J56" s="136">
        <f>I56*$O$10*$P$7</f>
        <v>17.228809548855001</v>
      </c>
      <c r="K56" s="125">
        <f t="shared" si="18"/>
        <v>0</v>
      </c>
      <c r="L56" s="125">
        <f t="shared" si="4"/>
        <v>213.46495031031347</v>
      </c>
      <c r="M56" s="125"/>
      <c r="N56" s="126">
        <f t="shared" si="19"/>
        <v>213.46495031031347</v>
      </c>
      <c r="O56" s="144"/>
      <c r="P56" s="144"/>
    </row>
    <row r="57" spans="1:16" ht="20.100000000000001" customHeight="1">
      <c r="A57" s="230" t="s">
        <v>102</v>
      </c>
      <c r="B57" s="367" t="s">
        <v>103</v>
      </c>
      <c r="C57" s="368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24"/>
    </row>
    <row r="58" spans="1:16" ht="51">
      <c r="A58" s="140" t="s">
        <v>104</v>
      </c>
      <c r="B58" s="1" t="s">
        <v>105</v>
      </c>
      <c r="C58" s="117" t="s">
        <v>106</v>
      </c>
      <c r="D58" s="1" t="s">
        <v>10</v>
      </c>
      <c r="E58" s="1" t="s">
        <v>11</v>
      </c>
      <c r="F58" s="56">
        <v>382.72</v>
      </c>
      <c r="G58" s="56"/>
      <c r="H58" s="121"/>
      <c r="I58" s="56">
        <v>159.99</v>
      </c>
      <c r="J58" s="121">
        <f>I58*$O$10</f>
        <v>203.74726500000003</v>
      </c>
      <c r="K58" s="125">
        <f t="shared" si="18"/>
        <v>77978.153260800013</v>
      </c>
      <c r="L58" s="125">
        <f t="shared" si="4"/>
        <v>0</v>
      </c>
      <c r="M58" s="125"/>
      <c r="N58" s="126">
        <f t="shared" si="19"/>
        <v>77978.153260800013</v>
      </c>
    </row>
    <row r="59" spans="1:16" s="137" customFormat="1" ht="62.25" customHeight="1">
      <c r="A59" s="140" t="s">
        <v>802</v>
      </c>
      <c r="B59" s="133">
        <v>96523</v>
      </c>
      <c r="C59" s="139" t="str">
        <f>C18</f>
        <v>ESCAVAÇÃO MANUAL PARA BLOCO DE COROAMENTO OU SAPATA (INCLUINDO ESCAVAÇÃO PARA COLOCAÇÃO DE FÔRMAS). AF_06/2017</v>
      </c>
      <c r="D59" s="133" t="str">
        <f>D18</f>
        <v>SINAPI</v>
      </c>
      <c r="E59" s="133" t="str">
        <f>E18</f>
        <v>M3</v>
      </c>
      <c r="F59" s="135">
        <v>0</v>
      </c>
      <c r="G59" s="136">
        <v>32.130000000000003</v>
      </c>
      <c r="H59" s="121">
        <f t="shared" ref="H59:H63" si="21">G59-F59</f>
        <v>32.130000000000003</v>
      </c>
      <c r="I59" s="135">
        <f>I18</f>
        <v>63.46</v>
      </c>
      <c r="J59" s="136">
        <f>I59*$O$10*$P$7</f>
        <v>70.310189699999995</v>
      </c>
      <c r="K59" s="125">
        <f t="shared" si="18"/>
        <v>0</v>
      </c>
      <c r="L59" s="125">
        <f t="shared" si="4"/>
        <v>2259.0663950610001</v>
      </c>
      <c r="M59" s="125"/>
      <c r="N59" s="126">
        <f t="shared" si="19"/>
        <v>2259.0663950610001</v>
      </c>
      <c r="O59" s="144"/>
      <c r="P59" s="144"/>
    </row>
    <row r="60" spans="1:16" s="137" customFormat="1" ht="76.5">
      <c r="A60" s="140" t="s">
        <v>803</v>
      </c>
      <c r="B60" s="133">
        <v>87503</v>
      </c>
      <c r="C60" s="139" t="str">
        <f>C39</f>
        <v>ALVENARIA DE VEDAÇÃO DE BLOCOS CERÂMICOS FURADOS NA HORIZONTAL DE 9X19X19CM (ESPESSURA 9CM) DE PAREDES COM ÁREA LÍQUIDA MAIOR OU IGUAL A 6M² SEM VÃOS E ARGAMASSA DE ASSENTAMENTO COM PREPARO EM BETONEIRA. AF_06/2014</v>
      </c>
      <c r="D60" s="133" t="str">
        <f>D39</f>
        <v>SINAPI</v>
      </c>
      <c r="E60" s="133" t="str">
        <f>E39</f>
        <v>M2</v>
      </c>
      <c r="F60" s="135">
        <v>0</v>
      </c>
      <c r="G60" s="136">
        <v>60</v>
      </c>
      <c r="H60" s="121">
        <f t="shared" si="21"/>
        <v>60</v>
      </c>
      <c r="I60" s="135">
        <f>I39</f>
        <v>52.58</v>
      </c>
      <c r="J60" s="136">
        <f>I60*$O$10*$P$7</f>
        <v>58.255748099999998</v>
      </c>
      <c r="K60" s="125">
        <f t="shared" si="18"/>
        <v>0</v>
      </c>
      <c r="L60" s="125">
        <f t="shared" si="4"/>
        <v>3495.3448859999999</v>
      </c>
      <c r="M60" s="125"/>
      <c r="N60" s="126">
        <f t="shared" si="19"/>
        <v>3495.3448859999999</v>
      </c>
      <c r="O60" s="144"/>
      <c r="P60" s="144"/>
    </row>
    <row r="61" spans="1:16" s="137" customFormat="1" ht="51">
      <c r="A61" s="140" t="s">
        <v>804</v>
      </c>
      <c r="B61" s="133">
        <v>94965</v>
      </c>
      <c r="C61" s="139" t="s">
        <v>58</v>
      </c>
      <c r="D61" s="133" t="s">
        <v>19</v>
      </c>
      <c r="E61" s="133" t="s">
        <v>29</v>
      </c>
      <c r="F61" s="135">
        <v>0</v>
      </c>
      <c r="G61" s="136">
        <v>0.99</v>
      </c>
      <c r="H61" s="121">
        <f t="shared" si="21"/>
        <v>0.99</v>
      </c>
      <c r="I61" s="135">
        <v>301.79000000000002</v>
      </c>
      <c r="J61" s="136">
        <f>I61*$O$10*$P$7</f>
        <v>334.36672155000002</v>
      </c>
      <c r="K61" s="125">
        <f t="shared" si="18"/>
        <v>0</v>
      </c>
      <c r="L61" s="125">
        <f t="shared" si="4"/>
        <v>331.02305433450005</v>
      </c>
      <c r="M61" s="125"/>
      <c r="N61" s="126">
        <f t="shared" si="19"/>
        <v>331.02305433450005</v>
      </c>
      <c r="O61" s="144"/>
      <c r="P61" s="144"/>
    </row>
    <row r="62" spans="1:16" s="137" customFormat="1" ht="51">
      <c r="A62" s="140" t="s">
        <v>805</v>
      </c>
      <c r="B62" s="133">
        <v>87879</v>
      </c>
      <c r="C62" s="139" t="s">
        <v>171</v>
      </c>
      <c r="D62" s="133" t="s">
        <v>19</v>
      </c>
      <c r="E62" s="133" t="s">
        <v>67</v>
      </c>
      <c r="F62" s="135">
        <v>0</v>
      </c>
      <c r="G62" s="136">
        <v>120</v>
      </c>
      <c r="H62" s="121">
        <f t="shared" si="21"/>
        <v>120</v>
      </c>
      <c r="I62" s="135">
        <v>2.64</v>
      </c>
      <c r="J62" s="136">
        <f>I62*$O$10*$P$7</f>
        <v>2.9249748000000002</v>
      </c>
      <c r="K62" s="125">
        <f t="shared" si="18"/>
        <v>0</v>
      </c>
      <c r="L62" s="125">
        <f t="shared" si="4"/>
        <v>350.99697600000002</v>
      </c>
      <c r="M62" s="125"/>
      <c r="N62" s="126">
        <f t="shared" si="19"/>
        <v>350.99697600000002</v>
      </c>
      <c r="O62" s="144"/>
      <c r="P62" s="144"/>
    </row>
    <row r="63" spans="1:16" s="137" customFormat="1" ht="63.75">
      <c r="A63" s="140" t="s">
        <v>806</v>
      </c>
      <c r="B63" s="133">
        <v>87547</v>
      </c>
      <c r="C63" s="139" t="s">
        <v>174</v>
      </c>
      <c r="D63" s="133" t="s">
        <v>19</v>
      </c>
      <c r="E63" s="133" t="s">
        <v>67</v>
      </c>
      <c r="F63" s="135">
        <v>0</v>
      </c>
      <c r="G63" s="136">
        <v>120</v>
      </c>
      <c r="H63" s="121">
        <f t="shared" si="21"/>
        <v>120</v>
      </c>
      <c r="I63" s="135">
        <v>14.42</v>
      </c>
      <c r="J63" s="136">
        <f>I63*$O$10*$P$7</f>
        <v>15.976566900000002</v>
      </c>
      <c r="K63" s="125">
        <f t="shared" si="18"/>
        <v>0</v>
      </c>
      <c r="L63" s="125">
        <f t="shared" si="4"/>
        <v>1917.1880280000003</v>
      </c>
      <c r="M63" s="125"/>
      <c r="N63" s="126">
        <f t="shared" si="19"/>
        <v>1917.1880280000003</v>
      </c>
      <c r="O63" s="144"/>
      <c r="P63" s="144"/>
    </row>
    <row r="64" spans="1:16">
      <c r="A64" s="140"/>
      <c r="B64" s="2"/>
      <c r="C64" s="118"/>
      <c r="D64" s="2"/>
      <c r="E64" s="2"/>
      <c r="F64" s="57"/>
      <c r="G64" s="122"/>
      <c r="H64" s="122"/>
      <c r="I64" s="57"/>
      <c r="J64" s="122"/>
      <c r="K64" s="127">
        <f>SUM(K46:K63)</f>
        <v>233040.92493555002</v>
      </c>
      <c r="L64" s="127">
        <f>SUM(L46:L63)</f>
        <v>51714.120845805817</v>
      </c>
      <c r="M64" s="127"/>
      <c r="N64" s="128">
        <f>SUM(N46:N63)</f>
        <v>284755.04578135582</v>
      </c>
    </row>
    <row r="65" spans="1:14" s="144" customFormat="1">
      <c r="A65" s="140"/>
      <c r="B65" s="162"/>
      <c r="C65" s="163"/>
      <c r="D65" s="141"/>
      <c r="E65" s="141"/>
      <c r="F65" s="142"/>
      <c r="G65" s="143"/>
      <c r="H65" s="143"/>
      <c r="I65" s="142"/>
      <c r="J65" s="143"/>
      <c r="K65" s="164"/>
      <c r="L65" s="125">
        <f t="shared" si="4"/>
        <v>0</v>
      </c>
      <c r="M65" s="164"/>
      <c r="N65" s="165"/>
    </row>
    <row r="66" spans="1:14" ht="20.100000000000001" customHeight="1">
      <c r="A66" s="230" t="s">
        <v>107</v>
      </c>
      <c r="B66" s="367" t="s">
        <v>108</v>
      </c>
      <c r="C66" s="368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24"/>
    </row>
    <row r="67" spans="1:14" ht="38.25">
      <c r="A67" s="140" t="s">
        <v>109</v>
      </c>
      <c r="B67" s="1" t="s">
        <v>110</v>
      </c>
      <c r="C67" s="117" t="s">
        <v>111</v>
      </c>
      <c r="D67" s="1" t="s">
        <v>19</v>
      </c>
      <c r="E67" s="1" t="s">
        <v>67</v>
      </c>
      <c r="F67" s="56">
        <v>876.48</v>
      </c>
      <c r="G67" s="56"/>
      <c r="H67" s="121"/>
      <c r="I67" s="56">
        <v>25.58</v>
      </c>
      <c r="J67" s="121">
        <f t="shared" ref="J67:J76" si="22">I67*$O$10</f>
        <v>32.576129999999999</v>
      </c>
      <c r="K67" s="125">
        <f t="shared" ref="K67:K76" si="23">J67*F67</f>
        <v>28552.326422400001</v>
      </c>
      <c r="L67" s="125">
        <f t="shared" si="4"/>
        <v>0</v>
      </c>
      <c r="M67" s="125"/>
      <c r="N67" s="126">
        <f t="shared" ref="N67:N76" si="24">K67+L67+M67</f>
        <v>28552.326422400001</v>
      </c>
    </row>
    <row r="68" spans="1:14" ht="51">
      <c r="A68" s="140" t="s">
        <v>112</v>
      </c>
      <c r="B68" s="1" t="s">
        <v>113</v>
      </c>
      <c r="C68" s="117" t="s">
        <v>114</v>
      </c>
      <c r="D68" s="1" t="s">
        <v>19</v>
      </c>
      <c r="E68" s="1" t="s">
        <v>115</v>
      </c>
      <c r="F68" s="56">
        <v>18</v>
      </c>
      <c r="G68" s="56"/>
      <c r="H68" s="121"/>
      <c r="I68" s="56">
        <v>1497.33</v>
      </c>
      <c r="J68" s="121">
        <f t="shared" si="22"/>
        <v>1906.849755</v>
      </c>
      <c r="K68" s="125">
        <f t="shared" si="23"/>
        <v>34323.295590000002</v>
      </c>
      <c r="L68" s="125">
        <f t="shared" si="4"/>
        <v>0</v>
      </c>
      <c r="M68" s="125"/>
      <c r="N68" s="126">
        <f t="shared" si="24"/>
        <v>34323.295590000002</v>
      </c>
    </row>
    <row r="69" spans="1:14" ht="51">
      <c r="A69" s="140" t="s">
        <v>116</v>
      </c>
      <c r="B69" s="1" t="s">
        <v>117</v>
      </c>
      <c r="C69" s="117" t="s">
        <v>118</v>
      </c>
      <c r="D69" s="1" t="s">
        <v>19</v>
      </c>
      <c r="E69" s="1" t="s">
        <v>115</v>
      </c>
      <c r="F69" s="56">
        <v>4</v>
      </c>
      <c r="G69" s="56"/>
      <c r="H69" s="121"/>
      <c r="I69" s="56">
        <v>1692.77</v>
      </c>
      <c r="J69" s="121">
        <f t="shared" si="22"/>
        <v>2155.7425950000002</v>
      </c>
      <c r="K69" s="125">
        <f t="shared" si="23"/>
        <v>8622.9703800000007</v>
      </c>
      <c r="L69" s="125">
        <f t="shared" si="4"/>
        <v>0</v>
      </c>
      <c r="M69" s="125"/>
      <c r="N69" s="126">
        <f t="shared" si="24"/>
        <v>8622.9703800000007</v>
      </c>
    </row>
    <row r="70" spans="1:14" ht="51">
      <c r="A70" s="140" t="s">
        <v>119</v>
      </c>
      <c r="B70" s="1" t="s">
        <v>120</v>
      </c>
      <c r="C70" s="117" t="s">
        <v>121</v>
      </c>
      <c r="D70" s="1" t="s">
        <v>19</v>
      </c>
      <c r="E70" s="1" t="s">
        <v>20</v>
      </c>
      <c r="F70" s="56">
        <v>98.35</v>
      </c>
      <c r="G70" s="56"/>
      <c r="H70" s="121"/>
      <c r="I70" s="56">
        <v>14.4</v>
      </c>
      <c r="J70" s="121">
        <f t="shared" si="22"/>
        <v>18.3384</v>
      </c>
      <c r="K70" s="125">
        <f t="shared" si="23"/>
        <v>1803.5816399999999</v>
      </c>
      <c r="L70" s="125">
        <f t="shared" si="4"/>
        <v>0</v>
      </c>
      <c r="M70" s="125"/>
      <c r="N70" s="126">
        <f t="shared" si="24"/>
        <v>1803.5816399999999</v>
      </c>
    </row>
    <row r="71" spans="1:14" ht="63.75">
      <c r="A71" s="140" t="s">
        <v>122</v>
      </c>
      <c r="B71" s="1" t="s">
        <v>123</v>
      </c>
      <c r="C71" s="117" t="s">
        <v>124</v>
      </c>
      <c r="D71" s="1" t="s">
        <v>19</v>
      </c>
      <c r="E71" s="1" t="s">
        <v>67</v>
      </c>
      <c r="F71" s="56">
        <v>876.48</v>
      </c>
      <c r="G71" s="56"/>
      <c r="H71" s="121"/>
      <c r="I71" s="56">
        <v>50.08</v>
      </c>
      <c r="J71" s="121">
        <f t="shared" si="22"/>
        <v>63.776879999999998</v>
      </c>
      <c r="K71" s="125">
        <f t="shared" si="23"/>
        <v>55899.159782399998</v>
      </c>
      <c r="L71" s="125">
        <f t="shared" si="4"/>
        <v>0</v>
      </c>
      <c r="M71" s="125"/>
      <c r="N71" s="126">
        <f t="shared" si="24"/>
        <v>55899.159782399998</v>
      </c>
    </row>
    <row r="72" spans="1:14" ht="25.5">
      <c r="A72" s="140" t="s">
        <v>125</v>
      </c>
      <c r="B72" s="1" t="s">
        <v>126</v>
      </c>
      <c r="C72" s="117" t="s">
        <v>127</v>
      </c>
      <c r="D72" s="1" t="s">
        <v>19</v>
      </c>
      <c r="E72" s="1" t="s">
        <v>67</v>
      </c>
      <c r="F72" s="56">
        <v>653.14</v>
      </c>
      <c r="G72" s="56"/>
      <c r="H72" s="121"/>
      <c r="I72" s="56">
        <v>27.72</v>
      </c>
      <c r="J72" s="121">
        <f t="shared" si="22"/>
        <v>35.30142</v>
      </c>
      <c r="K72" s="125">
        <f t="shared" si="23"/>
        <v>23056.769458800001</v>
      </c>
      <c r="L72" s="125">
        <f t="shared" si="4"/>
        <v>0</v>
      </c>
      <c r="M72" s="125"/>
      <c r="N72" s="126">
        <f t="shared" si="24"/>
        <v>23056.769458800001</v>
      </c>
    </row>
    <row r="73" spans="1:14" ht="25.5">
      <c r="A73" s="140" t="s">
        <v>128</v>
      </c>
      <c r="B73" s="1" t="s">
        <v>129</v>
      </c>
      <c r="C73" s="119" t="s">
        <v>130</v>
      </c>
      <c r="D73" s="1" t="s">
        <v>10</v>
      </c>
      <c r="E73" s="1" t="s">
        <v>131</v>
      </c>
      <c r="F73" s="56">
        <v>91.65</v>
      </c>
      <c r="G73" s="56"/>
      <c r="H73" s="121"/>
      <c r="I73" s="56">
        <v>54.54</v>
      </c>
      <c r="J73" s="121">
        <f t="shared" si="22"/>
        <v>69.456690000000009</v>
      </c>
      <c r="K73" s="125">
        <f t="shared" si="23"/>
        <v>6365.7056385000014</v>
      </c>
      <c r="L73" s="125">
        <f t="shared" si="4"/>
        <v>0</v>
      </c>
      <c r="M73" s="125"/>
      <c r="N73" s="126">
        <f t="shared" si="24"/>
        <v>6365.7056385000014</v>
      </c>
    </row>
    <row r="74" spans="1:14" ht="38.25">
      <c r="A74" s="140" t="s">
        <v>132</v>
      </c>
      <c r="B74" s="1" t="s">
        <v>133</v>
      </c>
      <c r="C74" s="117" t="s">
        <v>134</v>
      </c>
      <c r="D74" s="1" t="s">
        <v>19</v>
      </c>
      <c r="E74" s="1" t="s">
        <v>20</v>
      </c>
      <c r="F74" s="56">
        <v>178.01</v>
      </c>
      <c r="G74" s="56"/>
      <c r="H74" s="121"/>
      <c r="I74" s="56">
        <v>70.53</v>
      </c>
      <c r="J74" s="121">
        <f t="shared" si="22"/>
        <v>89.819955000000007</v>
      </c>
      <c r="K74" s="125">
        <f t="shared" si="23"/>
        <v>15988.850189550001</v>
      </c>
      <c r="L74" s="125">
        <f t="shared" si="4"/>
        <v>0</v>
      </c>
      <c r="M74" s="125"/>
      <c r="N74" s="126">
        <f t="shared" si="24"/>
        <v>15988.850189550001</v>
      </c>
    </row>
    <row r="75" spans="1:14" ht="38.25">
      <c r="A75" s="140" t="s">
        <v>135</v>
      </c>
      <c r="B75" s="1" t="s">
        <v>136</v>
      </c>
      <c r="C75" s="117" t="s">
        <v>137</v>
      </c>
      <c r="D75" s="1" t="s">
        <v>19</v>
      </c>
      <c r="E75" s="1" t="s">
        <v>20</v>
      </c>
      <c r="F75" s="56">
        <v>72</v>
      </c>
      <c r="G75" s="56"/>
      <c r="H75" s="121"/>
      <c r="I75" s="56">
        <v>22.25</v>
      </c>
      <c r="J75" s="121">
        <f t="shared" si="22"/>
        <v>28.335375000000003</v>
      </c>
      <c r="K75" s="125">
        <f t="shared" si="23"/>
        <v>2040.1470000000002</v>
      </c>
      <c r="L75" s="125">
        <f t="shared" si="4"/>
        <v>0</v>
      </c>
      <c r="M75" s="125"/>
      <c r="N75" s="126">
        <f t="shared" si="24"/>
        <v>2040.1470000000002</v>
      </c>
    </row>
    <row r="76" spans="1:14" ht="38.25">
      <c r="A76" s="140" t="s">
        <v>138</v>
      </c>
      <c r="B76" s="1" t="s">
        <v>139</v>
      </c>
      <c r="C76" s="117" t="s">
        <v>140</v>
      </c>
      <c r="D76" s="1" t="s">
        <v>19</v>
      </c>
      <c r="E76" s="1" t="s">
        <v>20</v>
      </c>
      <c r="F76" s="56">
        <v>24</v>
      </c>
      <c r="G76" s="56"/>
      <c r="H76" s="121"/>
      <c r="I76" s="56">
        <v>52.83</v>
      </c>
      <c r="J76" s="121">
        <f t="shared" si="22"/>
        <v>67.279004999999998</v>
      </c>
      <c r="K76" s="125">
        <f t="shared" si="23"/>
        <v>1614.6961200000001</v>
      </c>
      <c r="L76" s="125">
        <f t="shared" si="4"/>
        <v>0</v>
      </c>
      <c r="M76" s="125"/>
      <c r="N76" s="126">
        <f t="shared" si="24"/>
        <v>1614.6961200000001</v>
      </c>
    </row>
    <row r="77" spans="1:14">
      <c r="A77" s="140"/>
      <c r="B77" s="2"/>
      <c r="C77" s="118"/>
      <c r="D77" s="2"/>
      <c r="E77" s="2"/>
      <c r="F77" s="57"/>
      <c r="G77" s="122"/>
      <c r="H77" s="122"/>
      <c r="I77" s="57"/>
      <c r="J77" s="122"/>
      <c r="K77" s="127">
        <f>SUM(K67:K76)</f>
        <v>178267.50222165001</v>
      </c>
      <c r="L77" s="127">
        <f>SUM(L67:L76)</f>
        <v>0</v>
      </c>
      <c r="M77" s="127"/>
      <c r="N77" s="128">
        <f>SUM(N67:N76)</f>
        <v>178267.50222165001</v>
      </c>
    </row>
    <row r="78" spans="1:14" s="144" customFormat="1">
      <c r="A78" s="140"/>
      <c r="B78" s="162"/>
      <c r="C78" s="163"/>
      <c r="D78" s="141"/>
      <c r="E78" s="141"/>
      <c r="F78" s="142"/>
      <c r="G78" s="143"/>
      <c r="H78" s="143"/>
      <c r="I78" s="142"/>
      <c r="J78" s="143"/>
      <c r="K78" s="164"/>
      <c r="L78" s="125">
        <f t="shared" si="4"/>
        <v>0</v>
      </c>
      <c r="M78" s="164"/>
      <c r="N78" s="165"/>
    </row>
    <row r="79" spans="1:14" ht="20.100000000000001" customHeight="1">
      <c r="A79" s="230" t="s">
        <v>141</v>
      </c>
      <c r="B79" s="367" t="s">
        <v>142</v>
      </c>
      <c r="C79" s="368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24"/>
    </row>
    <row r="80" spans="1:14" ht="38.25">
      <c r="A80" s="140" t="s">
        <v>143</v>
      </c>
      <c r="B80" s="1" t="s">
        <v>144</v>
      </c>
      <c r="C80" s="117" t="s">
        <v>145</v>
      </c>
      <c r="D80" s="1" t="s">
        <v>19</v>
      </c>
      <c r="E80" s="1" t="s">
        <v>67</v>
      </c>
      <c r="F80" s="56">
        <v>944.79</v>
      </c>
      <c r="G80" s="56"/>
      <c r="H80" s="121"/>
      <c r="I80" s="56">
        <v>19.420000000000002</v>
      </c>
      <c r="J80" s="121">
        <f t="shared" ref="J80:J87" si="25">I80*$O$10</f>
        <v>24.731370000000005</v>
      </c>
      <c r="K80" s="125">
        <f t="shared" ref="K80:K88" si="26">J80*F80</f>
        <v>23365.951062300006</v>
      </c>
      <c r="L80" s="125">
        <f t="shared" si="4"/>
        <v>0</v>
      </c>
      <c r="M80" s="125"/>
      <c r="N80" s="126">
        <f t="shared" ref="N80:N88" si="27">K80+L80+M80</f>
        <v>23365.951062300006</v>
      </c>
    </row>
    <row r="81" spans="1:14" ht="51" customHeight="1">
      <c r="A81" s="140" t="s">
        <v>146</v>
      </c>
      <c r="B81" s="1" t="s">
        <v>147</v>
      </c>
      <c r="C81" s="117" t="s">
        <v>148</v>
      </c>
      <c r="D81" s="1" t="s">
        <v>10</v>
      </c>
      <c r="E81" s="1" t="s">
        <v>11</v>
      </c>
      <c r="F81" s="56">
        <v>944.79</v>
      </c>
      <c r="G81" s="56"/>
      <c r="H81" s="121"/>
      <c r="I81" s="56">
        <v>29.29</v>
      </c>
      <c r="J81" s="121">
        <f t="shared" si="25"/>
        <v>37.300815</v>
      </c>
      <c r="K81" s="125">
        <f t="shared" si="26"/>
        <v>35241.437003849998</v>
      </c>
      <c r="L81" s="125">
        <f t="shared" ref="L81:L144" si="28">J81*H81</f>
        <v>0</v>
      </c>
      <c r="M81" s="125"/>
      <c r="N81" s="126">
        <f t="shared" si="27"/>
        <v>35241.437003849998</v>
      </c>
    </row>
    <row r="82" spans="1:14" ht="51">
      <c r="A82" s="140" t="s">
        <v>149</v>
      </c>
      <c r="B82" s="1" t="s">
        <v>150</v>
      </c>
      <c r="C82" s="117" t="s">
        <v>151</v>
      </c>
      <c r="D82" s="1" t="s">
        <v>19</v>
      </c>
      <c r="E82" s="1" t="s">
        <v>67</v>
      </c>
      <c r="F82" s="56">
        <v>944.79</v>
      </c>
      <c r="G82" s="56"/>
      <c r="H82" s="121"/>
      <c r="I82" s="56">
        <v>27.26</v>
      </c>
      <c r="J82" s="121">
        <f t="shared" si="25"/>
        <v>34.715610000000005</v>
      </c>
      <c r="K82" s="125">
        <f t="shared" si="26"/>
        <v>32798.961171900002</v>
      </c>
      <c r="L82" s="125">
        <f t="shared" si="28"/>
        <v>0</v>
      </c>
      <c r="M82" s="125"/>
      <c r="N82" s="126">
        <f t="shared" si="27"/>
        <v>32798.961171900002</v>
      </c>
    </row>
    <row r="83" spans="1:14" ht="38.25">
      <c r="A83" s="140" t="s">
        <v>152</v>
      </c>
      <c r="B83" s="1" t="s">
        <v>153</v>
      </c>
      <c r="C83" s="117" t="s">
        <v>154</v>
      </c>
      <c r="D83" s="1" t="s">
        <v>19</v>
      </c>
      <c r="E83" s="1" t="s">
        <v>29</v>
      </c>
      <c r="F83" s="56">
        <v>72.84</v>
      </c>
      <c r="G83" s="56"/>
      <c r="H83" s="121"/>
      <c r="I83" s="56">
        <v>101.84</v>
      </c>
      <c r="J83" s="121">
        <f t="shared" si="25"/>
        <v>129.69324</v>
      </c>
      <c r="K83" s="125">
        <f t="shared" si="26"/>
        <v>9446.8556016000002</v>
      </c>
      <c r="L83" s="125">
        <f t="shared" si="28"/>
        <v>0</v>
      </c>
      <c r="M83" s="125"/>
      <c r="N83" s="126">
        <f t="shared" si="27"/>
        <v>9446.8556016000002</v>
      </c>
    </row>
    <row r="84" spans="1:14" ht="76.5">
      <c r="A84" s="140" t="s">
        <v>155</v>
      </c>
      <c r="B84" s="1" t="s">
        <v>156</v>
      </c>
      <c r="C84" s="117" t="s">
        <v>157</v>
      </c>
      <c r="D84" s="1" t="s">
        <v>19</v>
      </c>
      <c r="E84" s="1" t="s">
        <v>20</v>
      </c>
      <c r="F84" s="56">
        <v>46.2</v>
      </c>
      <c r="G84" s="56"/>
      <c r="H84" s="121"/>
      <c r="I84" s="56">
        <v>40.869999999999997</v>
      </c>
      <c r="J84" s="121">
        <f t="shared" si="25"/>
        <v>52.047944999999999</v>
      </c>
      <c r="K84" s="125">
        <f t="shared" si="26"/>
        <v>2404.6150590000002</v>
      </c>
      <c r="L84" s="125">
        <f t="shared" si="28"/>
        <v>0</v>
      </c>
      <c r="M84" s="125"/>
      <c r="N84" s="126">
        <f t="shared" si="27"/>
        <v>2404.6150590000002</v>
      </c>
    </row>
    <row r="85" spans="1:14">
      <c r="A85" s="140" t="s">
        <v>158</v>
      </c>
      <c r="B85" s="1" t="s">
        <v>159</v>
      </c>
      <c r="C85" s="117" t="s">
        <v>160</v>
      </c>
      <c r="D85" s="1" t="s">
        <v>19</v>
      </c>
      <c r="E85" s="1" t="s">
        <v>20</v>
      </c>
      <c r="F85" s="56">
        <v>436.36</v>
      </c>
      <c r="G85" s="56"/>
      <c r="H85" s="121"/>
      <c r="I85" s="56">
        <v>15.03</v>
      </c>
      <c r="J85" s="121">
        <f t="shared" si="25"/>
        <v>19.140705000000001</v>
      </c>
      <c r="K85" s="125">
        <f t="shared" si="26"/>
        <v>8352.2380338000003</v>
      </c>
      <c r="L85" s="125">
        <f t="shared" si="28"/>
        <v>0</v>
      </c>
      <c r="M85" s="125"/>
      <c r="N85" s="126">
        <f t="shared" si="27"/>
        <v>8352.2380338000003</v>
      </c>
    </row>
    <row r="86" spans="1:14" ht="51">
      <c r="A86" s="140" t="s">
        <v>161</v>
      </c>
      <c r="B86" s="1" t="s">
        <v>162</v>
      </c>
      <c r="C86" s="117" t="s">
        <v>163</v>
      </c>
      <c r="D86" s="1" t="s">
        <v>19</v>
      </c>
      <c r="E86" s="1" t="s">
        <v>67</v>
      </c>
      <c r="F86" s="56">
        <v>393.34</v>
      </c>
      <c r="G86" s="56"/>
      <c r="H86" s="121"/>
      <c r="I86" s="56">
        <v>34.270000000000003</v>
      </c>
      <c r="J86" s="121">
        <f t="shared" si="25"/>
        <v>43.642845000000008</v>
      </c>
      <c r="K86" s="125">
        <f t="shared" si="26"/>
        <v>17166.476652300003</v>
      </c>
      <c r="L86" s="125">
        <f t="shared" si="28"/>
        <v>0</v>
      </c>
      <c r="M86" s="125"/>
      <c r="N86" s="126">
        <f t="shared" si="27"/>
        <v>17166.476652300003</v>
      </c>
    </row>
    <row r="87" spans="1:14" ht="38.25">
      <c r="A87" s="140" t="s">
        <v>164</v>
      </c>
      <c r="B87" s="1" t="s">
        <v>165</v>
      </c>
      <c r="C87" s="117" t="s">
        <v>166</v>
      </c>
      <c r="D87" s="1" t="s">
        <v>19</v>
      </c>
      <c r="E87" s="1" t="s">
        <v>67</v>
      </c>
      <c r="F87" s="56">
        <v>944.79</v>
      </c>
      <c r="G87" s="56"/>
      <c r="H87" s="121"/>
      <c r="I87" s="56">
        <v>72.11</v>
      </c>
      <c r="J87" s="121">
        <f t="shared" si="25"/>
        <v>91.832085000000006</v>
      </c>
      <c r="K87" s="125">
        <f t="shared" si="26"/>
        <v>86762.035587150007</v>
      </c>
      <c r="L87" s="125">
        <f t="shared" si="28"/>
        <v>0</v>
      </c>
      <c r="M87" s="125"/>
      <c r="N87" s="126">
        <f t="shared" si="27"/>
        <v>86762.035587150007</v>
      </c>
    </row>
    <row r="88" spans="1:14" s="144" customFormat="1" ht="47.25" customHeight="1">
      <c r="A88" s="140" t="s">
        <v>794</v>
      </c>
      <c r="B88" s="141">
        <v>88489</v>
      </c>
      <c r="C88" s="176" t="s">
        <v>580</v>
      </c>
      <c r="D88" s="141" t="s">
        <v>19</v>
      </c>
      <c r="E88" s="141" t="s">
        <v>67</v>
      </c>
      <c r="F88" s="142">
        <v>0</v>
      </c>
      <c r="G88" s="143"/>
      <c r="H88" s="143"/>
      <c r="I88" s="142">
        <v>9.89</v>
      </c>
      <c r="J88" s="143">
        <f>I88*$O$10*$P$7</f>
        <v>10.957576050000002</v>
      </c>
      <c r="K88" s="177">
        <f t="shared" si="26"/>
        <v>0</v>
      </c>
      <c r="L88" s="177">
        <f t="shared" si="28"/>
        <v>0</v>
      </c>
      <c r="M88" s="177"/>
      <c r="N88" s="143">
        <f t="shared" si="27"/>
        <v>0</v>
      </c>
    </row>
    <row r="89" spans="1:14">
      <c r="A89" s="140"/>
      <c r="B89" s="2"/>
      <c r="C89" s="118"/>
      <c r="D89" s="2"/>
      <c r="E89" s="2"/>
      <c r="F89" s="57"/>
      <c r="G89" s="122"/>
      <c r="H89" s="122"/>
      <c r="I89" s="57"/>
      <c r="J89" s="122"/>
      <c r="K89" s="127">
        <f>SUM(K80:K88)</f>
        <v>215538.57017190001</v>
      </c>
      <c r="L89" s="127">
        <f>SUM(L80:L88)</f>
        <v>0</v>
      </c>
      <c r="M89" s="127"/>
      <c r="N89" s="128">
        <f>SUM(N80:N88)</f>
        <v>215538.57017190001</v>
      </c>
    </row>
    <row r="90" spans="1:14" s="144" customFormat="1">
      <c r="A90" s="140"/>
      <c r="B90" s="162"/>
      <c r="C90" s="163"/>
      <c r="D90" s="141"/>
      <c r="E90" s="141"/>
      <c r="F90" s="142"/>
      <c r="G90" s="143"/>
      <c r="H90" s="143"/>
      <c r="I90" s="142"/>
      <c r="J90" s="143"/>
      <c r="K90" s="164"/>
      <c r="L90" s="125">
        <f t="shared" si="28"/>
        <v>0</v>
      </c>
      <c r="M90" s="164"/>
      <c r="N90" s="165"/>
    </row>
    <row r="91" spans="1:14" ht="20.100000000000001" customHeight="1">
      <c r="A91" s="230" t="s">
        <v>167</v>
      </c>
      <c r="B91" s="367" t="s">
        <v>168</v>
      </c>
      <c r="C91" s="368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24"/>
    </row>
    <row r="92" spans="1:14" ht="51">
      <c r="A92" s="140" t="s">
        <v>169</v>
      </c>
      <c r="B92" s="1" t="s">
        <v>170</v>
      </c>
      <c r="C92" s="117" t="s">
        <v>171</v>
      </c>
      <c r="D92" s="1" t="s">
        <v>19</v>
      </c>
      <c r="E92" s="1" t="s">
        <v>67</v>
      </c>
      <c r="F92" s="56">
        <v>2367.2199999999998</v>
      </c>
      <c r="G92" s="56"/>
      <c r="H92" s="121"/>
      <c r="I92" s="56">
        <v>2.64</v>
      </c>
      <c r="J92" s="121">
        <f>I92*$O$10</f>
        <v>3.3620400000000004</v>
      </c>
      <c r="K92" s="125">
        <f t="shared" ref="K92:K96" si="29">J92*F92</f>
        <v>7958.6883287999999</v>
      </c>
      <c r="L92" s="125">
        <f t="shared" si="28"/>
        <v>0</v>
      </c>
      <c r="M92" s="125"/>
      <c r="N92" s="126">
        <f t="shared" ref="N92:N96" si="30">K92+L92+M92</f>
        <v>7958.6883287999999</v>
      </c>
    </row>
    <row r="93" spans="1:14" ht="63.75">
      <c r="A93" s="140" t="s">
        <v>172</v>
      </c>
      <c r="B93" s="1" t="s">
        <v>173</v>
      </c>
      <c r="C93" s="117" t="s">
        <v>174</v>
      </c>
      <c r="D93" s="1" t="s">
        <v>19</v>
      </c>
      <c r="E93" s="1" t="s">
        <v>67</v>
      </c>
      <c r="F93" s="56">
        <v>2197.91</v>
      </c>
      <c r="G93" s="56"/>
      <c r="H93" s="121"/>
      <c r="I93" s="56">
        <v>14.42</v>
      </c>
      <c r="J93" s="121">
        <f>I93*$O$10</f>
        <v>18.363870000000002</v>
      </c>
      <c r="K93" s="125">
        <f t="shared" si="29"/>
        <v>40362.133511700005</v>
      </c>
      <c r="L93" s="125">
        <f t="shared" si="28"/>
        <v>0</v>
      </c>
      <c r="M93" s="125"/>
      <c r="N93" s="126">
        <f t="shared" si="30"/>
        <v>40362.133511700005</v>
      </c>
    </row>
    <row r="94" spans="1:14" ht="89.25">
      <c r="A94" s="140" t="s">
        <v>175</v>
      </c>
      <c r="B94" s="1" t="s">
        <v>176</v>
      </c>
      <c r="C94" s="117" t="s">
        <v>177</v>
      </c>
      <c r="D94" s="1" t="s">
        <v>19</v>
      </c>
      <c r="E94" s="1" t="s">
        <v>67</v>
      </c>
      <c r="F94" s="56">
        <v>180.48</v>
      </c>
      <c r="G94" s="56"/>
      <c r="H94" s="121"/>
      <c r="I94" s="56">
        <v>11.03</v>
      </c>
      <c r="J94" s="121">
        <f>I94*$O$10</f>
        <v>14.046704999999999</v>
      </c>
      <c r="K94" s="125">
        <f t="shared" si="29"/>
        <v>2535.1493183999996</v>
      </c>
      <c r="L94" s="125">
        <f t="shared" si="28"/>
        <v>0</v>
      </c>
      <c r="M94" s="125"/>
      <c r="N94" s="126">
        <f t="shared" si="30"/>
        <v>2535.1493183999996</v>
      </c>
    </row>
    <row r="95" spans="1:14" ht="51">
      <c r="A95" s="140" t="s">
        <v>178</v>
      </c>
      <c r="B95" s="1" t="s">
        <v>179</v>
      </c>
      <c r="C95" s="117" t="s">
        <v>180</v>
      </c>
      <c r="D95" s="1" t="s">
        <v>19</v>
      </c>
      <c r="E95" s="1" t="s">
        <v>67</v>
      </c>
      <c r="F95" s="56">
        <v>180.48</v>
      </c>
      <c r="G95" s="56"/>
      <c r="H95" s="121"/>
      <c r="I95" s="56">
        <v>41.91</v>
      </c>
      <c r="J95" s="121">
        <f>I95*$O$10</f>
        <v>53.372385000000001</v>
      </c>
      <c r="K95" s="125">
        <f t="shared" si="29"/>
        <v>9632.6480448000002</v>
      </c>
      <c r="L95" s="125">
        <f t="shared" si="28"/>
        <v>0</v>
      </c>
      <c r="M95" s="125"/>
      <c r="N95" s="126">
        <f t="shared" si="30"/>
        <v>9632.6480448000002</v>
      </c>
    </row>
    <row r="96" spans="1:14" ht="76.5">
      <c r="A96" s="140" t="s">
        <v>181</v>
      </c>
      <c r="B96" s="1" t="s">
        <v>182</v>
      </c>
      <c r="C96" s="117" t="s">
        <v>183</v>
      </c>
      <c r="D96" s="1" t="s">
        <v>19</v>
      </c>
      <c r="E96" s="1" t="s">
        <v>29</v>
      </c>
      <c r="F96" s="56">
        <v>0.42</v>
      </c>
      <c r="G96" s="56"/>
      <c r="H96" s="121"/>
      <c r="I96" s="56">
        <v>263.22000000000003</v>
      </c>
      <c r="J96" s="121">
        <f>I96*$O$10</f>
        <v>335.21067000000005</v>
      </c>
      <c r="K96" s="125">
        <f t="shared" si="29"/>
        <v>140.78848140000002</v>
      </c>
      <c r="L96" s="125">
        <f t="shared" si="28"/>
        <v>0</v>
      </c>
      <c r="M96" s="125"/>
      <c r="N96" s="126">
        <f t="shared" si="30"/>
        <v>140.78848140000002</v>
      </c>
    </row>
    <row r="97" spans="1:14">
      <c r="A97" s="140"/>
      <c r="B97" s="2"/>
      <c r="C97" s="118"/>
      <c r="D97" s="2"/>
      <c r="E97" s="2"/>
      <c r="F97" s="57"/>
      <c r="G97" s="122"/>
      <c r="H97" s="122"/>
      <c r="I97" s="57"/>
      <c r="J97" s="122"/>
      <c r="K97" s="127">
        <f>SUM(K92:K96)</f>
        <v>60629.407685100006</v>
      </c>
      <c r="L97" s="127">
        <f>SUM(L92:L96)</f>
        <v>0</v>
      </c>
      <c r="M97" s="127"/>
      <c r="N97" s="128">
        <f>SUM(N92:N96)</f>
        <v>60629.407685100006</v>
      </c>
    </row>
    <row r="98" spans="1:14" s="144" customFormat="1">
      <c r="A98" s="140"/>
      <c r="B98" s="162"/>
      <c r="C98" s="163"/>
      <c r="D98" s="141"/>
      <c r="E98" s="141"/>
      <c r="F98" s="142"/>
      <c r="G98" s="143"/>
      <c r="H98" s="143"/>
      <c r="I98" s="142"/>
      <c r="J98" s="143"/>
      <c r="K98" s="164"/>
      <c r="L98" s="125">
        <f t="shared" si="28"/>
        <v>0</v>
      </c>
      <c r="M98" s="164"/>
      <c r="N98" s="165"/>
    </row>
    <row r="99" spans="1:14" ht="30" customHeight="1">
      <c r="A99" s="230" t="s">
        <v>184</v>
      </c>
      <c r="B99" s="369" t="s">
        <v>185</v>
      </c>
      <c r="C99" s="370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24"/>
    </row>
    <row r="100" spans="1:14" ht="76.5">
      <c r="A100" s="140" t="s">
        <v>186</v>
      </c>
      <c r="B100" s="1" t="s">
        <v>187</v>
      </c>
      <c r="C100" s="117" t="s">
        <v>188</v>
      </c>
      <c r="D100" s="1" t="s">
        <v>19</v>
      </c>
      <c r="E100" s="1" t="s">
        <v>115</v>
      </c>
      <c r="F100" s="56">
        <v>2</v>
      </c>
      <c r="G100" s="56"/>
      <c r="H100" s="121"/>
      <c r="I100" s="56">
        <v>531.51</v>
      </c>
      <c r="J100" s="121">
        <f t="shared" ref="J100:J113" si="31">I100*$O$10</f>
        <v>676.87798500000008</v>
      </c>
      <c r="K100" s="125">
        <f t="shared" ref="K100:K113" si="32">J100*F100</f>
        <v>1353.7559700000002</v>
      </c>
      <c r="L100" s="125">
        <f t="shared" si="28"/>
        <v>0</v>
      </c>
      <c r="M100" s="125"/>
      <c r="N100" s="126">
        <f t="shared" ref="N100:N113" si="33">K100+L100+M100</f>
        <v>1353.7559700000002</v>
      </c>
    </row>
    <row r="101" spans="1:14" ht="76.5">
      <c r="A101" s="140" t="s">
        <v>189</v>
      </c>
      <c r="B101" s="1" t="s">
        <v>190</v>
      </c>
      <c r="C101" s="117" t="s">
        <v>191</v>
      </c>
      <c r="D101" s="1" t="s">
        <v>19</v>
      </c>
      <c r="E101" s="1" t="s">
        <v>115</v>
      </c>
      <c r="F101" s="56">
        <v>4</v>
      </c>
      <c r="G101" s="56"/>
      <c r="H101" s="121"/>
      <c r="I101" s="56">
        <v>527.07000000000005</v>
      </c>
      <c r="J101" s="121">
        <f t="shared" si="31"/>
        <v>671.22364500000015</v>
      </c>
      <c r="K101" s="125">
        <f t="shared" si="32"/>
        <v>2684.8945800000006</v>
      </c>
      <c r="L101" s="125">
        <f t="shared" si="28"/>
        <v>0</v>
      </c>
      <c r="M101" s="125"/>
      <c r="N101" s="126">
        <f t="shared" si="33"/>
        <v>2684.8945800000006</v>
      </c>
    </row>
    <row r="102" spans="1:14" ht="76.5">
      <c r="A102" s="140" t="s">
        <v>192</v>
      </c>
      <c r="B102" s="1" t="s">
        <v>193</v>
      </c>
      <c r="C102" s="117" t="s">
        <v>194</v>
      </c>
      <c r="D102" s="1" t="s">
        <v>19</v>
      </c>
      <c r="E102" s="1" t="s">
        <v>115</v>
      </c>
      <c r="F102" s="56">
        <v>10</v>
      </c>
      <c r="G102" s="56"/>
      <c r="H102" s="121"/>
      <c r="I102" s="56">
        <v>552.88</v>
      </c>
      <c r="J102" s="121">
        <f t="shared" si="31"/>
        <v>704.09268000000009</v>
      </c>
      <c r="K102" s="125">
        <f t="shared" si="32"/>
        <v>7040.9268000000011</v>
      </c>
      <c r="L102" s="125">
        <f t="shared" si="28"/>
        <v>0</v>
      </c>
      <c r="M102" s="125"/>
      <c r="N102" s="126">
        <f t="shared" si="33"/>
        <v>7040.9268000000011</v>
      </c>
    </row>
    <row r="103" spans="1:14" ht="76.5">
      <c r="A103" s="140" t="s">
        <v>195</v>
      </c>
      <c r="B103" s="1" t="s">
        <v>196</v>
      </c>
      <c r="C103" s="117" t="s">
        <v>197</v>
      </c>
      <c r="D103" s="1" t="s">
        <v>19</v>
      </c>
      <c r="E103" s="1" t="s">
        <v>115</v>
      </c>
      <c r="F103" s="56">
        <v>6</v>
      </c>
      <c r="G103" s="56"/>
      <c r="H103" s="121"/>
      <c r="I103" s="56">
        <v>603</v>
      </c>
      <c r="J103" s="121">
        <f t="shared" si="31"/>
        <v>767.92050000000006</v>
      </c>
      <c r="K103" s="125">
        <f t="shared" si="32"/>
        <v>4607.5230000000001</v>
      </c>
      <c r="L103" s="125">
        <f t="shared" si="28"/>
        <v>0</v>
      </c>
      <c r="M103" s="125"/>
      <c r="N103" s="126">
        <f t="shared" si="33"/>
        <v>4607.5230000000001</v>
      </c>
    </row>
    <row r="104" spans="1:14" ht="38.25">
      <c r="A104" s="140" t="s">
        <v>198</v>
      </c>
      <c r="B104" s="1" t="s">
        <v>199</v>
      </c>
      <c r="C104" s="117" t="s">
        <v>200</v>
      </c>
      <c r="D104" s="1" t="s">
        <v>19</v>
      </c>
      <c r="E104" s="1" t="s">
        <v>67</v>
      </c>
      <c r="F104" s="56">
        <v>8.82</v>
      </c>
      <c r="G104" s="56"/>
      <c r="H104" s="121"/>
      <c r="I104" s="56">
        <v>433.8</v>
      </c>
      <c r="J104" s="121">
        <f t="shared" si="31"/>
        <v>552.4443</v>
      </c>
      <c r="K104" s="125">
        <f t="shared" si="32"/>
        <v>4872.5587260000002</v>
      </c>
      <c r="L104" s="125">
        <f t="shared" si="28"/>
        <v>0</v>
      </c>
      <c r="M104" s="125"/>
      <c r="N104" s="126">
        <f t="shared" si="33"/>
        <v>4872.5587260000002</v>
      </c>
    </row>
    <row r="105" spans="1:14" ht="25.5">
      <c r="A105" s="140" t="s">
        <v>201</v>
      </c>
      <c r="B105" s="1" t="s">
        <v>202</v>
      </c>
      <c r="C105" s="117" t="s">
        <v>203</v>
      </c>
      <c r="D105" s="1" t="s">
        <v>10</v>
      </c>
      <c r="E105" s="1" t="s">
        <v>11</v>
      </c>
      <c r="F105" s="56">
        <v>33</v>
      </c>
      <c r="G105" s="56"/>
      <c r="H105" s="121"/>
      <c r="I105" s="56">
        <v>445.08</v>
      </c>
      <c r="J105" s="121">
        <f t="shared" si="31"/>
        <v>566.80938000000003</v>
      </c>
      <c r="K105" s="125">
        <f t="shared" si="32"/>
        <v>18704.70954</v>
      </c>
      <c r="L105" s="125">
        <f t="shared" si="28"/>
        <v>0</v>
      </c>
      <c r="M105" s="125"/>
      <c r="N105" s="126">
        <f t="shared" si="33"/>
        <v>18704.70954</v>
      </c>
    </row>
    <row r="106" spans="1:14">
      <c r="A106" s="140" t="s">
        <v>204</v>
      </c>
      <c r="B106" s="1" t="s">
        <v>205</v>
      </c>
      <c r="C106" s="117" t="s">
        <v>206</v>
      </c>
      <c r="D106" s="1" t="s">
        <v>10</v>
      </c>
      <c r="E106" s="1" t="s">
        <v>11</v>
      </c>
      <c r="F106" s="56">
        <v>33</v>
      </c>
      <c r="G106" s="56"/>
      <c r="H106" s="121"/>
      <c r="I106" s="56">
        <v>122.9</v>
      </c>
      <c r="J106" s="121">
        <f t="shared" si="31"/>
        <v>156.51315000000002</v>
      </c>
      <c r="K106" s="125">
        <f t="shared" si="32"/>
        <v>5164.9339500000006</v>
      </c>
      <c r="L106" s="125">
        <f t="shared" si="28"/>
        <v>0</v>
      </c>
      <c r="M106" s="125"/>
      <c r="N106" s="126">
        <f t="shared" si="33"/>
        <v>5164.9339500000006</v>
      </c>
    </row>
    <row r="107" spans="1:14" ht="63.75">
      <c r="A107" s="140" t="s">
        <v>207</v>
      </c>
      <c r="B107" s="1" t="s">
        <v>208</v>
      </c>
      <c r="C107" s="117" t="s">
        <v>209</v>
      </c>
      <c r="D107" s="1" t="s">
        <v>19</v>
      </c>
      <c r="E107" s="1" t="s">
        <v>67</v>
      </c>
      <c r="F107" s="56">
        <v>2.25</v>
      </c>
      <c r="G107" s="56"/>
      <c r="H107" s="121"/>
      <c r="I107" s="56">
        <v>434.36</v>
      </c>
      <c r="J107" s="121">
        <f t="shared" si="31"/>
        <v>553.15746000000001</v>
      </c>
      <c r="K107" s="125">
        <f t="shared" si="32"/>
        <v>1244.6042850000001</v>
      </c>
      <c r="L107" s="125">
        <f t="shared" si="28"/>
        <v>0</v>
      </c>
      <c r="M107" s="125"/>
      <c r="N107" s="126">
        <f t="shared" si="33"/>
        <v>1244.6042850000001</v>
      </c>
    </row>
    <row r="108" spans="1:14" ht="51">
      <c r="A108" s="140" t="s">
        <v>210</v>
      </c>
      <c r="B108" s="1" t="s">
        <v>211</v>
      </c>
      <c r="C108" s="117" t="s">
        <v>212</v>
      </c>
      <c r="D108" s="1" t="s">
        <v>19</v>
      </c>
      <c r="E108" s="1" t="s">
        <v>67</v>
      </c>
      <c r="F108" s="56">
        <v>3.2</v>
      </c>
      <c r="G108" s="56"/>
      <c r="H108" s="121"/>
      <c r="I108" s="56">
        <v>666.48</v>
      </c>
      <c r="J108" s="121">
        <f t="shared" si="31"/>
        <v>848.76228000000003</v>
      </c>
      <c r="K108" s="125">
        <f t="shared" si="32"/>
        <v>2716.0392960000004</v>
      </c>
      <c r="L108" s="125">
        <f t="shared" si="28"/>
        <v>0</v>
      </c>
      <c r="M108" s="125"/>
      <c r="N108" s="126">
        <f t="shared" si="33"/>
        <v>2716.0392960000004</v>
      </c>
    </row>
    <row r="109" spans="1:14" ht="38.25">
      <c r="A109" s="140" t="s">
        <v>213</v>
      </c>
      <c r="B109" s="1" t="s">
        <v>214</v>
      </c>
      <c r="C109" s="117" t="s">
        <v>215</v>
      </c>
      <c r="D109" s="1" t="s">
        <v>10</v>
      </c>
      <c r="E109" s="1" t="s">
        <v>11</v>
      </c>
      <c r="F109" s="56">
        <v>50.71</v>
      </c>
      <c r="G109" s="56"/>
      <c r="H109" s="121"/>
      <c r="I109" s="56">
        <v>282.06</v>
      </c>
      <c r="J109" s="121">
        <f t="shared" si="31"/>
        <v>359.20341000000002</v>
      </c>
      <c r="K109" s="125">
        <f t="shared" si="32"/>
        <v>18215.204921100001</v>
      </c>
      <c r="L109" s="125">
        <f t="shared" si="28"/>
        <v>0</v>
      </c>
      <c r="M109" s="125"/>
      <c r="N109" s="126">
        <f t="shared" si="33"/>
        <v>18215.204921100001</v>
      </c>
    </row>
    <row r="110" spans="1:14">
      <c r="A110" s="140" t="s">
        <v>216</v>
      </c>
      <c r="B110" s="1" t="s">
        <v>217</v>
      </c>
      <c r="C110" s="117" t="s">
        <v>218</v>
      </c>
      <c r="D110" s="1" t="s">
        <v>10</v>
      </c>
      <c r="E110" s="1" t="s">
        <v>11</v>
      </c>
      <c r="F110" s="56">
        <v>16.350000000000001</v>
      </c>
      <c r="G110" s="56"/>
      <c r="H110" s="121"/>
      <c r="I110" s="56">
        <v>174.8</v>
      </c>
      <c r="J110" s="121">
        <f t="shared" si="31"/>
        <v>222.60780000000003</v>
      </c>
      <c r="K110" s="125">
        <f t="shared" si="32"/>
        <v>3639.6375300000009</v>
      </c>
      <c r="L110" s="125">
        <f t="shared" si="28"/>
        <v>0</v>
      </c>
      <c r="M110" s="125"/>
      <c r="N110" s="126">
        <f t="shared" si="33"/>
        <v>3639.6375300000009</v>
      </c>
    </row>
    <row r="111" spans="1:14" ht="25.5">
      <c r="A111" s="140" t="s">
        <v>219</v>
      </c>
      <c r="B111" s="1" t="s">
        <v>220</v>
      </c>
      <c r="C111" s="117" t="s">
        <v>221</v>
      </c>
      <c r="D111" s="1" t="s">
        <v>10</v>
      </c>
      <c r="E111" s="1" t="s">
        <v>11</v>
      </c>
      <c r="F111" s="56">
        <v>14.35</v>
      </c>
      <c r="G111" s="56"/>
      <c r="H111" s="121"/>
      <c r="I111" s="56">
        <v>430.88</v>
      </c>
      <c r="J111" s="121">
        <f t="shared" si="31"/>
        <v>548.72568000000001</v>
      </c>
      <c r="K111" s="125">
        <f t="shared" si="32"/>
        <v>7874.2135079999998</v>
      </c>
      <c r="L111" s="125">
        <f t="shared" si="28"/>
        <v>0</v>
      </c>
      <c r="M111" s="125"/>
      <c r="N111" s="126">
        <f t="shared" si="33"/>
        <v>7874.2135079999998</v>
      </c>
    </row>
    <row r="112" spans="1:14">
      <c r="A112" s="140" t="s">
        <v>222</v>
      </c>
      <c r="B112" s="1" t="s">
        <v>223</v>
      </c>
      <c r="C112" s="117" t="s">
        <v>224</v>
      </c>
      <c r="D112" s="1" t="s">
        <v>10</v>
      </c>
      <c r="E112" s="1" t="s">
        <v>11</v>
      </c>
      <c r="F112" s="56">
        <v>35.159999999999997</v>
      </c>
      <c r="G112" s="56"/>
      <c r="H112" s="121"/>
      <c r="I112" s="56">
        <v>285.70999999999998</v>
      </c>
      <c r="J112" s="121">
        <f t="shared" si="31"/>
        <v>363.85168499999997</v>
      </c>
      <c r="K112" s="125">
        <f t="shared" si="32"/>
        <v>12793.025244599998</v>
      </c>
      <c r="L112" s="125">
        <f t="shared" si="28"/>
        <v>0</v>
      </c>
      <c r="M112" s="125"/>
      <c r="N112" s="126">
        <f t="shared" si="33"/>
        <v>12793.025244599998</v>
      </c>
    </row>
    <row r="113" spans="1:14">
      <c r="A113" s="140" t="s">
        <v>225</v>
      </c>
      <c r="B113" s="1" t="s">
        <v>226</v>
      </c>
      <c r="C113" s="117" t="s">
        <v>227</v>
      </c>
      <c r="D113" s="1" t="s">
        <v>10</v>
      </c>
      <c r="E113" s="1" t="s">
        <v>11</v>
      </c>
      <c r="F113" s="56">
        <v>0.36</v>
      </c>
      <c r="G113" s="56"/>
      <c r="H113" s="121"/>
      <c r="I113" s="56">
        <v>389.08</v>
      </c>
      <c r="J113" s="121">
        <f t="shared" si="31"/>
        <v>495.49338</v>
      </c>
      <c r="K113" s="125">
        <f t="shared" si="32"/>
        <v>178.3776168</v>
      </c>
      <c r="L113" s="125">
        <f t="shared" si="28"/>
        <v>0</v>
      </c>
      <c r="M113" s="125"/>
      <c r="N113" s="126">
        <f t="shared" si="33"/>
        <v>178.3776168</v>
      </c>
    </row>
    <row r="114" spans="1:14">
      <c r="A114" s="140"/>
      <c r="B114" s="2"/>
      <c r="C114" s="118"/>
      <c r="D114" s="2"/>
      <c r="E114" s="2"/>
      <c r="F114" s="57"/>
      <c r="G114" s="122"/>
      <c r="H114" s="122"/>
      <c r="I114" s="57"/>
      <c r="J114" s="122"/>
      <c r="K114" s="127">
        <f>SUM(K100:K113)</f>
        <v>91090.404967500013</v>
      </c>
      <c r="L114" s="127">
        <f>SUM(L100:L113)</f>
        <v>0</v>
      </c>
      <c r="M114" s="127"/>
      <c r="N114" s="128">
        <f>SUM(N100:N113)</f>
        <v>91090.404967500013</v>
      </c>
    </row>
    <row r="115" spans="1:14" s="144" customFormat="1">
      <c r="A115" s="140"/>
      <c r="B115" s="162"/>
      <c r="C115" s="163"/>
      <c r="D115" s="141"/>
      <c r="E115" s="141"/>
      <c r="F115" s="142"/>
      <c r="G115" s="143"/>
      <c r="H115" s="143"/>
      <c r="I115" s="142"/>
      <c r="J115" s="143"/>
      <c r="K115" s="164"/>
      <c r="L115" s="125">
        <f t="shared" si="28"/>
        <v>0</v>
      </c>
      <c r="M115" s="164"/>
      <c r="N115" s="165"/>
    </row>
    <row r="116" spans="1:14" ht="20.100000000000001" customHeight="1">
      <c r="A116" s="230" t="s">
        <v>228</v>
      </c>
      <c r="B116" s="367" t="s">
        <v>229</v>
      </c>
      <c r="C116" s="368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24"/>
    </row>
    <row r="117" spans="1:14" ht="47.25" customHeight="1">
      <c r="A117" s="140" t="s">
        <v>230</v>
      </c>
      <c r="B117" s="1" t="s">
        <v>231</v>
      </c>
      <c r="C117" s="117" t="s">
        <v>232</v>
      </c>
      <c r="D117" s="1" t="s">
        <v>10</v>
      </c>
      <c r="E117" s="1" t="s">
        <v>11</v>
      </c>
      <c r="F117" s="56">
        <v>345.83</v>
      </c>
      <c r="G117" s="173">
        <v>-345.83</v>
      </c>
      <c r="H117" s="153">
        <f>G117+F117</f>
        <v>0</v>
      </c>
      <c r="I117" s="56">
        <v>96.53</v>
      </c>
      <c r="J117" s="121">
        <f>I117*$O$10</f>
        <v>122.93095500000001</v>
      </c>
      <c r="K117" s="125">
        <f t="shared" ref="K117:K118" si="34">J117*F117</f>
        <v>42513.212167650003</v>
      </c>
      <c r="L117" s="125">
        <f t="shared" si="28"/>
        <v>0</v>
      </c>
      <c r="M117" s="181">
        <f>G117*J117</f>
        <v>-42513.212167650003</v>
      </c>
      <c r="N117" s="126">
        <f t="shared" ref="N117:N118" si="35">K117+L117+M117</f>
        <v>0</v>
      </c>
    </row>
    <row r="118" spans="1:14" ht="60.75" customHeight="1">
      <c r="A118" s="140" t="s">
        <v>233</v>
      </c>
      <c r="B118" s="1" t="s">
        <v>234</v>
      </c>
      <c r="C118" s="117" t="s">
        <v>235</v>
      </c>
      <c r="D118" s="1" t="s">
        <v>19</v>
      </c>
      <c r="E118" s="1" t="s">
        <v>67</v>
      </c>
      <c r="F118" s="56">
        <v>183.4</v>
      </c>
      <c r="G118" s="56"/>
      <c r="H118" s="121"/>
      <c r="I118" s="56">
        <v>64.89</v>
      </c>
      <c r="J118" s="121">
        <f>I118*$O$10</f>
        <v>82.637415000000004</v>
      </c>
      <c r="K118" s="125">
        <f t="shared" si="34"/>
        <v>15155.701911000002</v>
      </c>
      <c r="L118" s="125">
        <f t="shared" si="28"/>
        <v>0</v>
      </c>
      <c r="M118" s="125"/>
      <c r="N118" s="126">
        <f t="shared" si="35"/>
        <v>15155.701911000002</v>
      </c>
    </row>
    <row r="119" spans="1:14">
      <c r="A119" s="140"/>
      <c r="B119" s="2"/>
      <c r="C119" s="118"/>
      <c r="D119" s="2"/>
      <c r="E119" s="2"/>
      <c r="F119" s="57"/>
      <c r="G119" s="122"/>
      <c r="H119" s="122"/>
      <c r="I119" s="57"/>
      <c r="J119" s="122"/>
      <c r="K119" s="127">
        <f>SUM(K117:K118)</f>
        <v>57668.914078650007</v>
      </c>
      <c r="L119" s="127">
        <f t="shared" ref="L119:M119" si="36">SUM(L117:L118)</f>
        <v>0</v>
      </c>
      <c r="M119" s="127">
        <f t="shared" si="36"/>
        <v>-42513.212167650003</v>
      </c>
      <c r="N119" s="128">
        <f>SUM(N117:N118)</f>
        <v>15155.701911000002</v>
      </c>
    </row>
    <row r="120" spans="1:14" s="144" customFormat="1">
      <c r="A120" s="140"/>
      <c r="B120" s="162"/>
      <c r="C120" s="163"/>
      <c r="D120" s="141"/>
      <c r="E120" s="141"/>
      <c r="F120" s="142"/>
      <c r="G120" s="143"/>
      <c r="H120" s="143"/>
      <c r="I120" s="142"/>
      <c r="J120" s="143"/>
      <c r="K120" s="164"/>
      <c r="L120" s="125">
        <f t="shared" si="28"/>
        <v>0</v>
      </c>
      <c r="M120" s="164"/>
      <c r="N120" s="165"/>
    </row>
    <row r="121" spans="1:14" ht="20.100000000000001" customHeight="1">
      <c r="A121" s="230" t="s">
        <v>236</v>
      </c>
      <c r="B121" s="367" t="s">
        <v>237</v>
      </c>
      <c r="C121" s="368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24"/>
    </row>
    <row r="122" spans="1:14" ht="38.25">
      <c r="A122" s="140" t="s">
        <v>238</v>
      </c>
      <c r="B122" s="1" t="s">
        <v>239</v>
      </c>
      <c r="C122" s="117" t="s">
        <v>240</v>
      </c>
      <c r="D122" s="1" t="s">
        <v>19</v>
      </c>
      <c r="E122" s="1" t="s">
        <v>115</v>
      </c>
      <c r="F122" s="56">
        <v>2</v>
      </c>
      <c r="G122" s="56"/>
      <c r="H122" s="121"/>
      <c r="I122" s="56">
        <v>186.33</v>
      </c>
      <c r="J122" s="121">
        <f>I122*$O$10</f>
        <v>237.29125500000004</v>
      </c>
      <c r="K122" s="125">
        <f t="shared" ref="K122:K126" si="37">J122*F122</f>
        <v>474.58251000000007</v>
      </c>
      <c r="L122" s="125">
        <f t="shared" si="28"/>
        <v>0</v>
      </c>
      <c r="M122" s="125"/>
      <c r="N122" s="126">
        <f t="shared" ref="N122:N126" si="38">K122+L122+M122</f>
        <v>474.58251000000007</v>
      </c>
    </row>
    <row r="123" spans="1:14" ht="38.25">
      <c r="A123" s="140" t="s">
        <v>241</v>
      </c>
      <c r="B123" s="1" t="s">
        <v>242</v>
      </c>
      <c r="C123" s="117" t="s">
        <v>243</v>
      </c>
      <c r="D123" s="1" t="s">
        <v>19</v>
      </c>
      <c r="E123" s="1" t="s">
        <v>115</v>
      </c>
      <c r="F123" s="56">
        <v>3</v>
      </c>
      <c r="G123" s="56"/>
      <c r="H123" s="121"/>
      <c r="I123" s="56">
        <v>180.65</v>
      </c>
      <c r="J123" s="121">
        <f>I123*$O$10</f>
        <v>230.05777500000002</v>
      </c>
      <c r="K123" s="125">
        <f t="shared" si="37"/>
        <v>690.17332500000009</v>
      </c>
      <c r="L123" s="125">
        <f t="shared" si="28"/>
        <v>0</v>
      </c>
      <c r="M123" s="125"/>
      <c r="N123" s="126">
        <f t="shared" si="38"/>
        <v>690.17332500000009</v>
      </c>
    </row>
    <row r="124" spans="1:14" ht="38.25">
      <c r="A124" s="140" t="s">
        <v>244</v>
      </c>
      <c r="B124" s="1" t="s">
        <v>245</v>
      </c>
      <c r="C124" s="117" t="s">
        <v>246</v>
      </c>
      <c r="D124" s="1" t="s">
        <v>10</v>
      </c>
      <c r="E124" s="1" t="s">
        <v>15</v>
      </c>
      <c r="F124" s="56">
        <v>4</v>
      </c>
      <c r="G124" s="56"/>
      <c r="H124" s="121"/>
      <c r="I124" s="56">
        <v>204.75</v>
      </c>
      <c r="J124" s="121">
        <f>I124*$O$10</f>
        <v>260.74912499999999</v>
      </c>
      <c r="K124" s="125">
        <f t="shared" si="37"/>
        <v>1042.9965</v>
      </c>
      <c r="L124" s="125">
        <f t="shared" si="28"/>
        <v>0</v>
      </c>
      <c r="M124" s="125"/>
      <c r="N124" s="126">
        <f t="shared" si="38"/>
        <v>1042.9965</v>
      </c>
    </row>
    <row r="125" spans="1:14" ht="51">
      <c r="A125" s="140" t="s">
        <v>247</v>
      </c>
      <c r="B125" s="1" t="s">
        <v>248</v>
      </c>
      <c r="C125" s="117" t="s">
        <v>249</v>
      </c>
      <c r="D125" s="1" t="s">
        <v>10</v>
      </c>
      <c r="E125" s="1" t="s">
        <v>250</v>
      </c>
      <c r="F125" s="56">
        <v>9</v>
      </c>
      <c r="G125" s="56"/>
      <c r="H125" s="121"/>
      <c r="I125" s="56">
        <v>26.04</v>
      </c>
      <c r="J125" s="121">
        <f>I125*$O$10</f>
        <v>33.161940000000001</v>
      </c>
      <c r="K125" s="125">
        <f t="shared" si="37"/>
        <v>298.45746000000003</v>
      </c>
      <c r="L125" s="125">
        <f t="shared" si="28"/>
        <v>0</v>
      </c>
      <c r="M125" s="125"/>
      <c r="N125" s="126">
        <f t="shared" si="38"/>
        <v>298.45746000000003</v>
      </c>
    </row>
    <row r="126" spans="1:14" ht="25.5">
      <c r="A126" s="140" t="s">
        <v>251</v>
      </c>
      <c r="B126" s="1" t="s">
        <v>252</v>
      </c>
      <c r="C126" s="117" t="s">
        <v>253</v>
      </c>
      <c r="D126" s="1" t="s">
        <v>10</v>
      </c>
      <c r="E126" s="1" t="s">
        <v>15</v>
      </c>
      <c r="F126" s="56">
        <v>5</v>
      </c>
      <c r="G126" s="56"/>
      <c r="H126" s="121"/>
      <c r="I126" s="56">
        <v>12.94</v>
      </c>
      <c r="J126" s="121">
        <f>I126*$O$10</f>
        <v>16.479089999999999</v>
      </c>
      <c r="K126" s="125">
        <f t="shared" si="37"/>
        <v>82.395449999999997</v>
      </c>
      <c r="L126" s="125">
        <f t="shared" si="28"/>
        <v>0</v>
      </c>
      <c r="M126" s="125"/>
      <c r="N126" s="126">
        <f t="shared" si="38"/>
        <v>82.395449999999997</v>
      </c>
    </row>
    <row r="127" spans="1:14">
      <c r="A127" s="140"/>
      <c r="B127" s="2"/>
      <c r="C127" s="118"/>
      <c r="D127" s="2"/>
      <c r="E127" s="2"/>
      <c r="F127" s="57"/>
      <c r="G127" s="122"/>
      <c r="H127" s="122"/>
      <c r="I127" s="57"/>
      <c r="J127" s="122"/>
      <c r="K127" s="127">
        <f>SUM(K122:K126)</f>
        <v>2588.6052450000002</v>
      </c>
      <c r="L127" s="127">
        <f>SUM(L122:L126)</f>
        <v>0</v>
      </c>
      <c r="M127" s="127"/>
      <c r="N127" s="128">
        <f>SUM(N122:N126)</f>
        <v>2588.6052450000002</v>
      </c>
    </row>
    <row r="128" spans="1:14" s="144" customFormat="1">
      <c r="A128" s="140"/>
      <c r="B128" s="162"/>
      <c r="C128" s="163"/>
      <c r="D128" s="141"/>
      <c r="E128" s="141"/>
      <c r="F128" s="142"/>
      <c r="G128" s="143"/>
      <c r="H128" s="143"/>
      <c r="I128" s="142"/>
      <c r="J128" s="143"/>
      <c r="K128" s="164"/>
      <c r="L128" s="125">
        <f t="shared" si="28"/>
        <v>0</v>
      </c>
      <c r="M128" s="164"/>
      <c r="N128" s="165"/>
    </row>
    <row r="129" spans="1:14" ht="20.100000000000001" customHeight="1">
      <c r="A129" s="230" t="s">
        <v>254</v>
      </c>
      <c r="B129" s="367" t="s">
        <v>255</v>
      </c>
      <c r="C129" s="368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24"/>
    </row>
    <row r="130" spans="1:14">
      <c r="A130" s="140" t="s">
        <v>256</v>
      </c>
      <c r="B130" s="1" t="s">
        <v>257</v>
      </c>
      <c r="C130" s="117" t="s">
        <v>258</v>
      </c>
      <c r="D130" s="1" t="s">
        <v>259</v>
      </c>
      <c r="E130" s="1" t="s">
        <v>115</v>
      </c>
      <c r="F130" s="56">
        <v>119</v>
      </c>
      <c r="G130" s="56"/>
      <c r="H130" s="121"/>
      <c r="I130" s="56">
        <v>7.07</v>
      </c>
      <c r="J130" s="121">
        <f t="shared" ref="J130:J176" si="39">I130*$O$10</f>
        <v>9.0036450000000006</v>
      </c>
      <c r="K130" s="125">
        <f t="shared" ref="K130:K176" si="40">J130*F130</f>
        <v>1071.433755</v>
      </c>
      <c r="L130" s="125">
        <f t="shared" si="28"/>
        <v>0</v>
      </c>
      <c r="M130" s="125"/>
      <c r="N130" s="126">
        <f t="shared" ref="N130:N176" si="41">K130+L130+M130</f>
        <v>1071.433755</v>
      </c>
    </row>
    <row r="131" spans="1:14" ht="25.5">
      <c r="A131" s="140" t="s">
        <v>260</v>
      </c>
      <c r="B131" s="1" t="s">
        <v>261</v>
      </c>
      <c r="C131" s="117" t="s">
        <v>262</v>
      </c>
      <c r="D131" s="1" t="s">
        <v>19</v>
      </c>
      <c r="E131" s="1" t="s">
        <v>115</v>
      </c>
      <c r="F131" s="56">
        <v>8</v>
      </c>
      <c r="G131" s="56"/>
      <c r="H131" s="121"/>
      <c r="I131" s="56">
        <v>5.83</v>
      </c>
      <c r="J131" s="121">
        <f t="shared" si="39"/>
        <v>7.4245050000000008</v>
      </c>
      <c r="K131" s="125">
        <f t="shared" si="40"/>
        <v>59.396040000000006</v>
      </c>
      <c r="L131" s="125">
        <f t="shared" si="28"/>
        <v>0</v>
      </c>
      <c r="M131" s="125"/>
      <c r="N131" s="126">
        <f t="shared" si="41"/>
        <v>59.396040000000006</v>
      </c>
    </row>
    <row r="132" spans="1:14" ht="51">
      <c r="A132" s="140" t="s">
        <v>263</v>
      </c>
      <c r="B132" s="1" t="s">
        <v>264</v>
      </c>
      <c r="C132" s="117" t="s">
        <v>265</v>
      </c>
      <c r="D132" s="1" t="s">
        <v>19</v>
      </c>
      <c r="E132" s="1" t="s">
        <v>115</v>
      </c>
      <c r="F132" s="56">
        <v>10</v>
      </c>
      <c r="G132" s="56"/>
      <c r="H132" s="121"/>
      <c r="I132" s="56">
        <v>10.97</v>
      </c>
      <c r="J132" s="121">
        <f t="shared" si="39"/>
        <v>13.970295000000002</v>
      </c>
      <c r="K132" s="125">
        <f t="shared" si="40"/>
        <v>139.70295000000002</v>
      </c>
      <c r="L132" s="125">
        <f t="shared" si="28"/>
        <v>0</v>
      </c>
      <c r="M132" s="125"/>
      <c r="N132" s="126">
        <f t="shared" si="41"/>
        <v>139.70295000000002</v>
      </c>
    </row>
    <row r="133" spans="1:14" ht="51">
      <c r="A133" s="140" t="s">
        <v>266</v>
      </c>
      <c r="B133" s="1" t="s">
        <v>267</v>
      </c>
      <c r="C133" s="117" t="s">
        <v>268</v>
      </c>
      <c r="D133" s="1" t="s">
        <v>19</v>
      </c>
      <c r="E133" s="1" t="s">
        <v>115</v>
      </c>
      <c r="F133" s="56">
        <v>6</v>
      </c>
      <c r="G133" s="56"/>
      <c r="H133" s="121"/>
      <c r="I133" s="56">
        <v>12.5</v>
      </c>
      <c r="J133" s="121">
        <f t="shared" si="39"/>
        <v>15.918750000000001</v>
      </c>
      <c r="K133" s="125">
        <f t="shared" si="40"/>
        <v>95.512500000000003</v>
      </c>
      <c r="L133" s="125">
        <f t="shared" si="28"/>
        <v>0</v>
      </c>
      <c r="M133" s="125"/>
      <c r="N133" s="126">
        <f t="shared" si="41"/>
        <v>95.512500000000003</v>
      </c>
    </row>
    <row r="134" spans="1:14" ht="51">
      <c r="A134" s="140" t="s">
        <v>269</v>
      </c>
      <c r="B134" s="1" t="s">
        <v>270</v>
      </c>
      <c r="C134" s="117" t="s">
        <v>271</v>
      </c>
      <c r="D134" s="1" t="s">
        <v>19</v>
      </c>
      <c r="E134" s="1" t="s">
        <v>20</v>
      </c>
      <c r="F134" s="56">
        <v>203.96</v>
      </c>
      <c r="G134" s="56"/>
      <c r="H134" s="121"/>
      <c r="I134" s="56">
        <v>8.6</v>
      </c>
      <c r="J134" s="121">
        <f t="shared" si="39"/>
        <v>10.9521</v>
      </c>
      <c r="K134" s="125">
        <f t="shared" si="40"/>
        <v>2233.7903160000001</v>
      </c>
      <c r="L134" s="125">
        <f t="shared" si="28"/>
        <v>0</v>
      </c>
      <c r="M134" s="125"/>
      <c r="N134" s="126">
        <f t="shared" si="41"/>
        <v>2233.7903160000001</v>
      </c>
    </row>
    <row r="135" spans="1:14" ht="51">
      <c r="A135" s="140" t="s">
        <v>272</v>
      </c>
      <c r="B135" s="1" t="s">
        <v>273</v>
      </c>
      <c r="C135" s="117" t="s">
        <v>274</v>
      </c>
      <c r="D135" s="1" t="s">
        <v>19</v>
      </c>
      <c r="E135" s="1" t="s">
        <v>20</v>
      </c>
      <c r="F135" s="56">
        <v>18.809999999999999</v>
      </c>
      <c r="G135" s="56"/>
      <c r="H135" s="121"/>
      <c r="I135" s="56">
        <v>9.2899999999999991</v>
      </c>
      <c r="J135" s="121">
        <f t="shared" si="39"/>
        <v>11.830814999999999</v>
      </c>
      <c r="K135" s="125">
        <f t="shared" si="40"/>
        <v>222.53763014999998</v>
      </c>
      <c r="L135" s="125">
        <f t="shared" si="28"/>
        <v>0</v>
      </c>
      <c r="M135" s="125"/>
      <c r="N135" s="126">
        <f t="shared" si="41"/>
        <v>222.53763014999998</v>
      </c>
    </row>
    <row r="136" spans="1:14" s="144" customFormat="1" ht="51">
      <c r="A136" s="140" t="s">
        <v>275</v>
      </c>
      <c r="B136" s="141" t="s">
        <v>276</v>
      </c>
      <c r="C136" s="176" t="s">
        <v>277</v>
      </c>
      <c r="D136" s="141" t="s">
        <v>19</v>
      </c>
      <c r="E136" s="141" t="s">
        <v>20</v>
      </c>
      <c r="F136" s="142">
        <v>0</v>
      </c>
      <c r="G136" s="142"/>
      <c r="H136" s="143"/>
      <c r="I136" s="142">
        <v>5.36</v>
      </c>
      <c r="J136" s="143">
        <f t="shared" si="39"/>
        <v>6.8259600000000011</v>
      </c>
      <c r="K136" s="177">
        <f t="shared" si="40"/>
        <v>0</v>
      </c>
      <c r="L136" s="177">
        <f t="shared" si="28"/>
        <v>0</v>
      </c>
      <c r="M136" s="177"/>
      <c r="N136" s="143">
        <f t="shared" si="41"/>
        <v>0</v>
      </c>
    </row>
    <row r="137" spans="1:14" s="144" customFormat="1" ht="25.5">
      <c r="A137" s="140" t="s">
        <v>278</v>
      </c>
      <c r="B137" s="141" t="s">
        <v>279</v>
      </c>
      <c r="C137" s="176" t="s">
        <v>280</v>
      </c>
      <c r="D137" s="141" t="s">
        <v>19</v>
      </c>
      <c r="E137" s="141" t="s">
        <v>20</v>
      </c>
      <c r="F137" s="142">
        <v>0</v>
      </c>
      <c r="G137" s="142"/>
      <c r="H137" s="143"/>
      <c r="I137" s="142">
        <v>9.08</v>
      </c>
      <c r="J137" s="143">
        <f t="shared" si="39"/>
        <v>11.56338</v>
      </c>
      <c r="K137" s="177">
        <f t="shared" si="40"/>
        <v>0</v>
      </c>
      <c r="L137" s="177">
        <f t="shared" si="28"/>
        <v>0</v>
      </c>
      <c r="M137" s="177"/>
      <c r="N137" s="143">
        <f t="shared" si="41"/>
        <v>0</v>
      </c>
    </row>
    <row r="138" spans="1:14" ht="51">
      <c r="A138" s="140" t="s">
        <v>281</v>
      </c>
      <c r="B138" s="1" t="s">
        <v>282</v>
      </c>
      <c r="C138" s="117" t="s">
        <v>283</v>
      </c>
      <c r="D138" s="1" t="s">
        <v>19</v>
      </c>
      <c r="E138" s="1" t="s">
        <v>20</v>
      </c>
      <c r="F138" s="56">
        <v>20.3</v>
      </c>
      <c r="G138" s="56"/>
      <c r="H138" s="121"/>
      <c r="I138" s="56">
        <v>11.61</v>
      </c>
      <c r="J138" s="121">
        <f t="shared" si="39"/>
        <v>14.785335</v>
      </c>
      <c r="K138" s="125">
        <f t="shared" si="40"/>
        <v>300.14230050000003</v>
      </c>
      <c r="L138" s="125">
        <f t="shared" si="28"/>
        <v>0</v>
      </c>
      <c r="M138" s="125"/>
      <c r="N138" s="126">
        <f t="shared" si="41"/>
        <v>300.14230050000003</v>
      </c>
    </row>
    <row r="139" spans="1:14" ht="51">
      <c r="A139" s="140" t="s">
        <v>284</v>
      </c>
      <c r="B139" s="1" t="s">
        <v>285</v>
      </c>
      <c r="C139" s="117" t="s">
        <v>286</v>
      </c>
      <c r="D139" s="1" t="s">
        <v>19</v>
      </c>
      <c r="E139" s="1" t="s">
        <v>20</v>
      </c>
      <c r="F139" s="56">
        <v>205</v>
      </c>
      <c r="G139" s="56"/>
      <c r="H139" s="121"/>
      <c r="I139" s="56">
        <v>9.59</v>
      </c>
      <c r="J139" s="121">
        <f t="shared" si="39"/>
        <v>12.212865000000001</v>
      </c>
      <c r="K139" s="125">
        <f t="shared" si="40"/>
        <v>2503.6373250000001</v>
      </c>
      <c r="L139" s="125">
        <f t="shared" si="28"/>
        <v>0</v>
      </c>
      <c r="M139" s="125"/>
      <c r="N139" s="126">
        <f t="shared" si="41"/>
        <v>2503.6373250000001</v>
      </c>
    </row>
    <row r="140" spans="1:14" ht="51">
      <c r="A140" s="140" t="s">
        <v>287</v>
      </c>
      <c r="B140" s="1" t="s">
        <v>288</v>
      </c>
      <c r="C140" s="117" t="s">
        <v>289</v>
      </c>
      <c r="D140" s="1" t="s">
        <v>19</v>
      </c>
      <c r="E140" s="1" t="s">
        <v>115</v>
      </c>
      <c r="F140" s="56">
        <v>6</v>
      </c>
      <c r="G140" s="56"/>
      <c r="H140" s="121"/>
      <c r="I140" s="56">
        <v>5.3</v>
      </c>
      <c r="J140" s="121">
        <f t="shared" si="39"/>
        <v>6.7495500000000002</v>
      </c>
      <c r="K140" s="125">
        <f t="shared" si="40"/>
        <v>40.497300000000003</v>
      </c>
      <c r="L140" s="125">
        <f t="shared" si="28"/>
        <v>0</v>
      </c>
      <c r="M140" s="125"/>
      <c r="N140" s="126">
        <f t="shared" si="41"/>
        <v>40.497300000000003</v>
      </c>
    </row>
    <row r="141" spans="1:14" ht="51">
      <c r="A141" s="140" t="s">
        <v>290</v>
      </c>
      <c r="B141" s="1" t="s">
        <v>291</v>
      </c>
      <c r="C141" s="117" t="s">
        <v>292</v>
      </c>
      <c r="D141" s="1" t="s">
        <v>19</v>
      </c>
      <c r="E141" s="1" t="s">
        <v>115</v>
      </c>
      <c r="F141" s="56">
        <v>14</v>
      </c>
      <c r="G141" s="56"/>
      <c r="H141" s="121"/>
      <c r="I141" s="56">
        <v>7.01</v>
      </c>
      <c r="J141" s="121">
        <f t="shared" si="39"/>
        <v>8.9272349999999996</v>
      </c>
      <c r="K141" s="125">
        <f t="shared" si="40"/>
        <v>124.98129</v>
      </c>
      <c r="L141" s="125">
        <f t="shared" si="28"/>
        <v>0</v>
      </c>
      <c r="M141" s="125"/>
      <c r="N141" s="126">
        <f t="shared" si="41"/>
        <v>124.98129</v>
      </c>
    </row>
    <row r="142" spans="1:14" s="144" customFormat="1" ht="38.25">
      <c r="A142" s="140" t="s">
        <v>293</v>
      </c>
      <c r="B142" s="141" t="s">
        <v>294</v>
      </c>
      <c r="C142" s="176" t="s">
        <v>295</v>
      </c>
      <c r="D142" s="141" t="s">
        <v>19</v>
      </c>
      <c r="E142" s="141" t="s">
        <v>115</v>
      </c>
      <c r="F142" s="142">
        <v>0</v>
      </c>
      <c r="G142" s="142"/>
      <c r="H142" s="143"/>
      <c r="I142" s="142">
        <v>9.07</v>
      </c>
      <c r="J142" s="143">
        <f t="shared" si="39"/>
        <v>11.550645000000001</v>
      </c>
      <c r="K142" s="177">
        <f t="shared" si="40"/>
        <v>0</v>
      </c>
      <c r="L142" s="177">
        <f t="shared" si="28"/>
        <v>0</v>
      </c>
      <c r="M142" s="177"/>
      <c r="N142" s="143">
        <f t="shared" si="41"/>
        <v>0</v>
      </c>
    </row>
    <row r="143" spans="1:14" ht="63.75">
      <c r="A143" s="140" t="s">
        <v>296</v>
      </c>
      <c r="B143" s="1" t="s">
        <v>297</v>
      </c>
      <c r="C143" s="117" t="s">
        <v>298</v>
      </c>
      <c r="D143" s="1" t="s">
        <v>19</v>
      </c>
      <c r="E143" s="1" t="s">
        <v>115</v>
      </c>
      <c r="F143" s="56">
        <v>1</v>
      </c>
      <c r="G143" s="56"/>
      <c r="H143" s="121"/>
      <c r="I143" s="56">
        <v>490.95</v>
      </c>
      <c r="J143" s="121">
        <f t="shared" si="39"/>
        <v>625.22482500000001</v>
      </c>
      <c r="K143" s="125">
        <f t="shared" si="40"/>
        <v>625.22482500000001</v>
      </c>
      <c r="L143" s="125">
        <f t="shared" si="28"/>
        <v>0</v>
      </c>
      <c r="M143" s="125"/>
      <c r="N143" s="126">
        <f t="shared" si="41"/>
        <v>625.22482500000001</v>
      </c>
    </row>
    <row r="144" spans="1:14" ht="63.75">
      <c r="A144" s="140" t="s">
        <v>299</v>
      </c>
      <c r="B144" s="1" t="s">
        <v>300</v>
      </c>
      <c r="C144" s="117" t="s">
        <v>301</v>
      </c>
      <c r="D144" s="1" t="s">
        <v>19</v>
      </c>
      <c r="E144" s="1" t="s">
        <v>115</v>
      </c>
      <c r="F144" s="56">
        <v>1</v>
      </c>
      <c r="G144" s="56"/>
      <c r="H144" s="121"/>
      <c r="I144" s="56">
        <v>460.24</v>
      </c>
      <c r="J144" s="121">
        <f t="shared" si="39"/>
        <v>586.1156400000001</v>
      </c>
      <c r="K144" s="125">
        <f t="shared" si="40"/>
        <v>586.1156400000001</v>
      </c>
      <c r="L144" s="125">
        <f t="shared" si="28"/>
        <v>0</v>
      </c>
      <c r="M144" s="125"/>
      <c r="N144" s="126">
        <f t="shared" si="41"/>
        <v>586.1156400000001</v>
      </c>
    </row>
    <row r="145" spans="1:14">
      <c r="A145" s="140" t="s">
        <v>302</v>
      </c>
      <c r="B145" s="1" t="s">
        <v>303</v>
      </c>
      <c r="C145" s="117" t="s">
        <v>304</v>
      </c>
      <c r="D145" s="1"/>
      <c r="E145" s="1" t="s">
        <v>305</v>
      </c>
      <c r="F145" s="56">
        <v>41</v>
      </c>
      <c r="G145" s="56"/>
      <c r="H145" s="121"/>
      <c r="I145" s="56">
        <v>22.26</v>
      </c>
      <c r="J145" s="121">
        <f t="shared" si="39"/>
        <v>28.348110000000002</v>
      </c>
      <c r="K145" s="125">
        <f t="shared" si="40"/>
        <v>1162.27251</v>
      </c>
      <c r="L145" s="125">
        <f t="shared" ref="L145:L208" si="42">J145*H145</f>
        <v>0</v>
      </c>
      <c r="M145" s="125"/>
      <c r="N145" s="126">
        <f t="shared" si="41"/>
        <v>1162.27251</v>
      </c>
    </row>
    <row r="146" spans="1:14" ht="25.5">
      <c r="A146" s="140" t="s">
        <v>306</v>
      </c>
      <c r="B146" s="1" t="s">
        <v>307</v>
      </c>
      <c r="C146" s="117" t="s">
        <v>308</v>
      </c>
      <c r="D146" s="1" t="s">
        <v>10</v>
      </c>
      <c r="E146" s="1" t="s">
        <v>15</v>
      </c>
      <c r="F146" s="56">
        <v>6</v>
      </c>
      <c r="G146" s="56"/>
      <c r="H146" s="121"/>
      <c r="I146" s="56">
        <v>71.28</v>
      </c>
      <c r="J146" s="121">
        <f t="shared" si="39"/>
        <v>90.775080000000003</v>
      </c>
      <c r="K146" s="125">
        <f t="shared" si="40"/>
        <v>544.65048000000002</v>
      </c>
      <c r="L146" s="125">
        <f t="shared" si="42"/>
        <v>0</v>
      </c>
      <c r="M146" s="125"/>
      <c r="N146" s="126">
        <f t="shared" si="41"/>
        <v>544.65048000000002</v>
      </c>
    </row>
    <row r="147" spans="1:14" ht="38.25">
      <c r="A147" s="140" t="s">
        <v>309</v>
      </c>
      <c r="B147" s="1" t="s">
        <v>310</v>
      </c>
      <c r="C147" s="117" t="s">
        <v>311</v>
      </c>
      <c r="D147" s="1" t="s">
        <v>19</v>
      </c>
      <c r="E147" s="1" t="s">
        <v>115</v>
      </c>
      <c r="F147" s="56">
        <v>11</v>
      </c>
      <c r="G147" s="56"/>
      <c r="H147" s="121"/>
      <c r="I147" s="56">
        <v>26.34</v>
      </c>
      <c r="J147" s="121">
        <f t="shared" si="39"/>
        <v>33.543990000000001</v>
      </c>
      <c r="K147" s="125">
        <f t="shared" si="40"/>
        <v>368.98389000000003</v>
      </c>
      <c r="L147" s="125">
        <f t="shared" si="42"/>
        <v>0</v>
      </c>
      <c r="M147" s="125"/>
      <c r="N147" s="126">
        <f t="shared" si="41"/>
        <v>368.98389000000003</v>
      </c>
    </row>
    <row r="148" spans="1:14" ht="38.25">
      <c r="A148" s="140" t="s">
        <v>312</v>
      </c>
      <c r="B148" s="1" t="s">
        <v>313</v>
      </c>
      <c r="C148" s="117" t="s">
        <v>314</v>
      </c>
      <c r="D148" s="1" t="s">
        <v>19</v>
      </c>
      <c r="E148" s="1" t="s">
        <v>115</v>
      </c>
      <c r="F148" s="56">
        <v>8</v>
      </c>
      <c r="G148" s="56"/>
      <c r="H148" s="121"/>
      <c r="I148" s="56">
        <v>30.42</v>
      </c>
      <c r="J148" s="121">
        <f t="shared" si="39"/>
        <v>38.739870000000003</v>
      </c>
      <c r="K148" s="125">
        <f t="shared" si="40"/>
        <v>309.91896000000003</v>
      </c>
      <c r="L148" s="125">
        <f t="shared" si="42"/>
        <v>0</v>
      </c>
      <c r="M148" s="125"/>
      <c r="N148" s="126">
        <f t="shared" si="41"/>
        <v>309.91896000000003</v>
      </c>
    </row>
    <row r="149" spans="1:14" ht="51">
      <c r="A149" s="140" t="s">
        <v>315</v>
      </c>
      <c r="B149" s="1" t="s">
        <v>316</v>
      </c>
      <c r="C149" s="117" t="s">
        <v>317</v>
      </c>
      <c r="D149" s="1" t="s">
        <v>19</v>
      </c>
      <c r="E149" s="1" t="s">
        <v>115</v>
      </c>
      <c r="F149" s="56">
        <v>1</v>
      </c>
      <c r="G149" s="56"/>
      <c r="H149" s="121"/>
      <c r="I149" s="56">
        <v>54.64</v>
      </c>
      <c r="J149" s="121">
        <f t="shared" si="39"/>
        <v>69.584040000000002</v>
      </c>
      <c r="K149" s="125">
        <f t="shared" si="40"/>
        <v>69.584040000000002</v>
      </c>
      <c r="L149" s="125">
        <f t="shared" si="42"/>
        <v>0</v>
      </c>
      <c r="M149" s="125"/>
      <c r="N149" s="126">
        <f t="shared" si="41"/>
        <v>69.584040000000002</v>
      </c>
    </row>
    <row r="150" spans="1:14" ht="51">
      <c r="A150" s="140" t="s">
        <v>318</v>
      </c>
      <c r="B150" s="1" t="s">
        <v>319</v>
      </c>
      <c r="C150" s="117" t="s">
        <v>320</v>
      </c>
      <c r="D150" s="1" t="s">
        <v>19</v>
      </c>
      <c r="E150" s="1" t="s">
        <v>115</v>
      </c>
      <c r="F150" s="56">
        <v>6</v>
      </c>
      <c r="G150" s="56"/>
      <c r="H150" s="121"/>
      <c r="I150" s="56">
        <v>85.63</v>
      </c>
      <c r="J150" s="121">
        <f t="shared" si="39"/>
        <v>109.04980500000001</v>
      </c>
      <c r="K150" s="125">
        <f t="shared" si="40"/>
        <v>654.29883000000007</v>
      </c>
      <c r="L150" s="125">
        <f t="shared" si="42"/>
        <v>0</v>
      </c>
      <c r="M150" s="125"/>
      <c r="N150" s="126">
        <f t="shared" si="41"/>
        <v>654.29883000000007</v>
      </c>
    </row>
    <row r="151" spans="1:14" ht="51">
      <c r="A151" s="140" t="s">
        <v>321</v>
      </c>
      <c r="B151" s="1" t="s">
        <v>322</v>
      </c>
      <c r="C151" s="117" t="s">
        <v>323</v>
      </c>
      <c r="D151" s="1" t="s">
        <v>19</v>
      </c>
      <c r="E151" s="1" t="s">
        <v>115</v>
      </c>
      <c r="F151" s="56">
        <v>81</v>
      </c>
      <c r="G151" s="56"/>
      <c r="H151" s="121"/>
      <c r="I151" s="56">
        <v>117.08</v>
      </c>
      <c r="J151" s="121">
        <f t="shared" si="39"/>
        <v>149.10138000000001</v>
      </c>
      <c r="K151" s="125">
        <f t="shared" si="40"/>
        <v>12077.21178</v>
      </c>
      <c r="L151" s="125">
        <f t="shared" si="42"/>
        <v>0</v>
      </c>
      <c r="M151" s="125"/>
      <c r="N151" s="126">
        <f t="shared" si="41"/>
        <v>12077.21178</v>
      </c>
    </row>
    <row r="152" spans="1:14" ht="51">
      <c r="A152" s="140" t="s">
        <v>324</v>
      </c>
      <c r="B152" s="1" t="s">
        <v>325</v>
      </c>
      <c r="C152" s="117" t="s">
        <v>326</v>
      </c>
      <c r="D152" s="1" t="s">
        <v>19</v>
      </c>
      <c r="E152" s="1" t="s">
        <v>20</v>
      </c>
      <c r="F152" s="56">
        <v>64.95</v>
      </c>
      <c r="G152" s="56"/>
      <c r="H152" s="121"/>
      <c r="I152" s="56">
        <v>13.87</v>
      </c>
      <c r="J152" s="121">
        <f t="shared" si="39"/>
        <v>17.663444999999999</v>
      </c>
      <c r="K152" s="125">
        <f t="shared" si="40"/>
        <v>1147.24075275</v>
      </c>
      <c r="L152" s="125">
        <f t="shared" si="42"/>
        <v>0</v>
      </c>
      <c r="M152" s="125"/>
      <c r="N152" s="126">
        <f t="shared" si="41"/>
        <v>1147.24075275</v>
      </c>
    </row>
    <row r="153" spans="1:14" ht="51">
      <c r="A153" s="140" t="s">
        <v>327</v>
      </c>
      <c r="B153" s="1" t="s">
        <v>325</v>
      </c>
      <c r="C153" s="117" t="s">
        <v>326</v>
      </c>
      <c r="D153" s="1" t="s">
        <v>19</v>
      </c>
      <c r="E153" s="1" t="s">
        <v>20</v>
      </c>
      <c r="F153" s="56">
        <v>21.65</v>
      </c>
      <c r="G153" s="56"/>
      <c r="H153" s="121"/>
      <c r="I153" s="56">
        <v>13.87</v>
      </c>
      <c r="J153" s="121">
        <f t="shared" si="39"/>
        <v>17.663444999999999</v>
      </c>
      <c r="K153" s="125">
        <f t="shared" si="40"/>
        <v>382.41358424999999</v>
      </c>
      <c r="L153" s="125">
        <f t="shared" si="42"/>
        <v>0</v>
      </c>
      <c r="M153" s="125"/>
      <c r="N153" s="126">
        <f t="shared" si="41"/>
        <v>382.41358424999999</v>
      </c>
    </row>
    <row r="154" spans="1:14" ht="51">
      <c r="A154" s="140" t="s">
        <v>328</v>
      </c>
      <c r="B154" s="1" t="s">
        <v>325</v>
      </c>
      <c r="C154" s="117" t="s">
        <v>326</v>
      </c>
      <c r="D154" s="1" t="s">
        <v>19</v>
      </c>
      <c r="E154" s="1" t="s">
        <v>20</v>
      </c>
      <c r="F154" s="56">
        <v>30.65</v>
      </c>
      <c r="G154" s="56"/>
      <c r="H154" s="121"/>
      <c r="I154" s="56">
        <v>13.87</v>
      </c>
      <c r="J154" s="121">
        <f t="shared" si="39"/>
        <v>17.663444999999999</v>
      </c>
      <c r="K154" s="125">
        <f t="shared" si="40"/>
        <v>541.38458924999998</v>
      </c>
      <c r="L154" s="125">
        <f t="shared" si="42"/>
        <v>0</v>
      </c>
      <c r="M154" s="125"/>
      <c r="N154" s="126">
        <f t="shared" si="41"/>
        <v>541.38458924999998</v>
      </c>
    </row>
    <row r="155" spans="1:14" ht="38.25">
      <c r="A155" s="140" t="s">
        <v>329</v>
      </c>
      <c r="B155" s="1" t="s">
        <v>330</v>
      </c>
      <c r="C155" s="117" t="s">
        <v>331</v>
      </c>
      <c r="D155" s="1" t="s">
        <v>10</v>
      </c>
      <c r="E155" s="1" t="s">
        <v>15</v>
      </c>
      <c r="F155" s="56">
        <v>4</v>
      </c>
      <c r="G155" s="56"/>
      <c r="H155" s="121"/>
      <c r="I155" s="56">
        <v>137.51</v>
      </c>
      <c r="J155" s="121">
        <f t="shared" si="39"/>
        <v>175.11898500000001</v>
      </c>
      <c r="K155" s="125">
        <f t="shared" si="40"/>
        <v>700.47594000000004</v>
      </c>
      <c r="L155" s="125">
        <f t="shared" si="42"/>
        <v>0</v>
      </c>
      <c r="M155" s="125"/>
      <c r="N155" s="126">
        <f t="shared" si="41"/>
        <v>700.47594000000004</v>
      </c>
    </row>
    <row r="156" spans="1:14" ht="38.25">
      <c r="A156" s="140" t="s">
        <v>332</v>
      </c>
      <c r="B156" s="1" t="s">
        <v>333</v>
      </c>
      <c r="C156" s="117" t="s">
        <v>334</v>
      </c>
      <c r="D156" s="1" t="s">
        <v>19</v>
      </c>
      <c r="E156" s="1" t="s">
        <v>115</v>
      </c>
      <c r="F156" s="56">
        <v>15</v>
      </c>
      <c r="G156" s="56"/>
      <c r="H156" s="121"/>
      <c r="I156" s="56">
        <v>8.34</v>
      </c>
      <c r="J156" s="121">
        <f t="shared" si="39"/>
        <v>10.620990000000001</v>
      </c>
      <c r="K156" s="125">
        <f t="shared" si="40"/>
        <v>159.31485000000001</v>
      </c>
      <c r="L156" s="125">
        <f t="shared" si="42"/>
        <v>0</v>
      </c>
      <c r="M156" s="125"/>
      <c r="N156" s="126">
        <f t="shared" si="41"/>
        <v>159.31485000000001</v>
      </c>
    </row>
    <row r="157" spans="1:14" ht="38.25">
      <c r="A157" s="140" t="s">
        <v>335</v>
      </c>
      <c r="B157" s="1" t="s">
        <v>336</v>
      </c>
      <c r="C157" s="117" t="s">
        <v>337</v>
      </c>
      <c r="D157" s="1" t="s">
        <v>19</v>
      </c>
      <c r="E157" s="1" t="s">
        <v>115</v>
      </c>
      <c r="F157" s="56">
        <v>3</v>
      </c>
      <c r="G157" s="56"/>
      <c r="H157" s="121"/>
      <c r="I157" s="56">
        <v>7.22</v>
      </c>
      <c r="J157" s="121">
        <f t="shared" si="39"/>
        <v>9.1946700000000003</v>
      </c>
      <c r="K157" s="125">
        <f t="shared" si="40"/>
        <v>27.584009999999999</v>
      </c>
      <c r="L157" s="125">
        <f t="shared" si="42"/>
        <v>0</v>
      </c>
      <c r="M157" s="125"/>
      <c r="N157" s="126">
        <f t="shared" si="41"/>
        <v>27.584009999999999</v>
      </c>
    </row>
    <row r="158" spans="1:14" ht="38.25">
      <c r="A158" s="140" t="s">
        <v>338</v>
      </c>
      <c r="B158" s="1" t="s">
        <v>339</v>
      </c>
      <c r="C158" s="117" t="s">
        <v>340</v>
      </c>
      <c r="D158" s="1" t="s">
        <v>19</v>
      </c>
      <c r="E158" s="1" t="s">
        <v>115</v>
      </c>
      <c r="F158" s="56">
        <v>2</v>
      </c>
      <c r="G158" s="56"/>
      <c r="H158" s="121"/>
      <c r="I158" s="56">
        <v>57.46</v>
      </c>
      <c r="J158" s="121">
        <f t="shared" si="39"/>
        <v>73.17531000000001</v>
      </c>
      <c r="K158" s="125">
        <f t="shared" si="40"/>
        <v>146.35062000000002</v>
      </c>
      <c r="L158" s="125">
        <f t="shared" si="42"/>
        <v>0</v>
      </c>
      <c r="M158" s="125"/>
      <c r="N158" s="126">
        <f t="shared" si="41"/>
        <v>146.35062000000002</v>
      </c>
    </row>
    <row r="159" spans="1:14" ht="38.25">
      <c r="A159" s="140" t="s">
        <v>341</v>
      </c>
      <c r="B159" s="1" t="s">
        <v>339</v>
      </c>
      <c r="C159" s="117" t="s">
        <v>340</v>
      </c>
      <c r="D159" s="1" t="s">
        <v>19</v>
      </c>
      <c r="E159" s="1" t="s">
        <v>115</v>
      </c>
      <c r="F159" s="56">
        <v>2</v>
      </c>
      <c r="G159" s="56"/>
      <c r="H159" s="121"/>
      <c r="I159" s="56">
        <v>57.46</v>
      </c>
      <c r="J159" s="121">
        <f t="shared" si="39"/>
        <v>73.17531000000001</v>
      </c>
      <c r="K159" s="125">
        <f t="shared" si="40"/>
        <v>146.35062000000002</v>
      </c>
      <c r="L159" s="125">
        <f t="shared" si="42"/>
        <v>0</v>
      </c>
      <c r="M159" s="125"/>
      <c r="N159" s="126">
        <f t="shared" si="41"/>
        <v>146.35062000000002</v>
      </c>
    </row>
    <row r="160" spans="1:14" ht="38.25">
      <c r="A160" s="140" t="s">
        <v>342</v>
      </c>
      <c r="B160" s="1" t="s">
        <v>343</v>
      </c>
      <c r="C160" s="117" t="s">
        <v>344</v>
      </c>
      <c r="D160" s="1" t="s">
        <v>19</v>
      </c>
      <c r="E160" s="1" t="s">
        <v>20</v>
      </c>
      <c r="F160" s="56">
        <v>585.29999999999995</v>
      </c>
      <c r="G160" s="56"/>
      <c r="H160" s="121"/>
      <c r="I160" s="56">
        <v>5.22</v>
      </c>
      <c r="J160" s="121">
        <f t="shared" si="39"/>
        <v>6.6476699999999997</v>
      </c>
      <c r="K160" s="125">
        <f t="shared" si="40"/>
        <v>3890.8812509999993</v>
      </c>
      <c r="L160" s="125">
        <f t="shared" si="42"/>
        <v>0</v>
      </c>
      <c r="M160" s="125"/>
      <c r="N160" s="126">
        <f t="shared" si="41"/>
        <v>3890.8812509999993</v>
      </c>
    </row>
    <row r="161" spans="1:14" ht="38.25">
      <c r="A161" s="140" t="s">
        <v>345</v>
      </c>
      <c r="B161" s="1" t="s">
        <v>346</v>
      </c>
      <c r="C161" s="117" t="s">
        <v>347</v>
      </c>
      <c r="D161" s="1" t="s">
        <v>19</v>
      </c>
      <c r="E161" s="1" t="s">
        <v>20</v>
      </c>
      <c r="F161" s="56">
        <v>451.74</v>
      </c>
      <c r="G161" s="56"/>
      <c r="H161" s="121"/>
      <c r="I161" s="56">
        <v>2.14</v>
      </c>
      <c r="J161" s="121">
        <f t="shared" si="39"/>
        <v>2.7252900000000002</v>
      </c>
      <c r="K161" s="125">
        <f t="shared" si="40"/>
        <v>1231.1225046000002</v>
      </c>
      <c r="L161" s="125">
        <f t="shared" si="42"/>
        <v>0</v>
      </c>
      <c r="M161" s="125"/>
      <c r="N161" s="126">
        <f t="shared" si="41"/>
        <v>1231.1225046000002</v>
      </c>
    </row>
    <row r="162" spans="1:14" ht="25.5">
      <c r="A162" s="140" t="s">
        <v>348</v>
      </c>
      <c r="B162" s="1" t="s">
        <v>349</v>
      </c>
      <c r="C162" s="117" t="s">
        <v>350</v>
      </c>
      <c r="D162" s="1"/>
      <c r="E162" s="1" t="s">
        <v>351</v>
      </c>
      <c r="F162" s="56">
        <v>1</v>
      </c>
      <c r="G162" s="56"/>
      <c r="H162" s="121"/>
      <c r="I162" s="56">
        <v>180</v>
      </c>
      <c r="J162" s="121">
        <f t="shared" si="39"/>
        <v>229.23000000000002</v>
      </c>
      <c r="K162" s="125">
        <f t="shared" si="40"/>
        <v>229.23000000000002</v>
      </c>
      <c r="L162" s="125">
        <f t="shared" si="42"/>
        <v>0</v>
      </c>
      <c r="M162" s="125"/>
      <c r="N162" s="126">
        <f t="shared" si="41"/>
        <v>229.23000000000002</v>
      </c>
    </row>
    <row r="163" spans="1:14" ht="38.25">
      <c r="A163" s="140" t="s">
        <v>352</v>
      </c>
      <c r="B163" s="1" t="s">
        <v>353</v>
      </c>
      <c r="C163" s="117" t="s">
        <v>354</v>
      </c>
      <c r="D163" s="1" t="s">
        <v>19</v>
      </c>
      <c r="E163" s="1" t="s">
        <v>115</v>
      </c>
      <c r="F163" s="56">
        <v>3</v>
      </c>
      <c r="G163" s="56"/>
      <c r="H163" s="121"/>
      <c r="I163" s="56">
        <v>31.04</v>
      </c>
      <c r="J163" s="121">
        <f t="shared" si="39"/>
        <v>39.529440000000001</v>
      </c>
      <c r="K163" s="125">
        <f t="shared" si="40"/>
        <v>118.58832000000001</v>
      </c>
      <c r="L163" s="125">
        <f t="shared" si="42"/>
        <v>0</v>
      </c>
      <c r="M163" s="125"/>
      <c r="N163" s="126">
        <f t="shared" si="41"/>
        <v>118.58832000000001</v>
      </c>
    </row>
    <row r="164" spans="1:14" ht="25.5">
      <c r="A164" s="140" t="s">
        <v>355</v>
      </c>
      <c r="B164" s="1" t="s">
        <v>349</v>
      </c>
      <c r="C164" s="117" t="s">
        <v>350</v>
      </c>
      <c r="D164" s="1"/>
      <c r="E164" s="1" t="s">
        <v>305</v>
      </c>
      <c r="F164" s="56">
        <v>3</v>
      </c>
      <c r="G164" s="56"/>
      <c r="H164" s="121"/>
      <c r="I164" s="56">
        <v>4.0199999999999996</v>
      </c>
      <c r="J164" s="121">
        <f t="shared" si="39"/>
        <v>5.1194699999999997</v>
      </c>
      <c r="K164" s="125">
        <f t="shared" si="40"/>
        <v>15.358409999999999</v>
      </c>
      <c r="L164" s="125">
        <f t="shared" si="42"/>
        <v>0</v>
      </c>
      <c r="M164" s="125"/>
      <c r="N164" s="126">
        <f t="shared" si="41"/>
        <v>15.358409999999999</v>
      </c>
    </row>
    <row r="165" spans="1:14">
      <c r="A165" s="140" t="s">
        <v>356</v>
      </c>
      <c r="B165" s="1" t="s">
        <v>357</v>
      </c>
      <c r="C165" s="117" t="s">
        <v>358</v>
      </c>
      <c r="D165" s="1" t="s">
        <v>10</v>
      </c>
      <c r="E165" s="1" t="s">
        <v>359</v>
      </c>
      <c r="F165" s="56">
        <v>0.5</v>
      </c>
      <c r="G165" s="56"/>
      <c r="H165" s="121"/>
      <c r="I165" s="56">
        <v>20.49</v>
      </c>
      <c r="J165" s="121">
        <f t="shared" si="39"/>
        <v>26.094014999999999</v>
      </c>
      <c r="K165" s="125">
        <f t="shared" si="40"/>
        <v>13.047007499999999</v>
      </c>
      <c r="L165" s="125">
        <f t="shared" si="42"/>
        <v>0</v>
      </c>
      <c r="M165" s="125"/>
      <c r="N165" s="126">
        <f t="shared" si="41"/>
        <v>13.047007499999999</v>
      </c>
    </row>
    <row r="166" spans="1:14" ht="25.5">
      <c r="A166" s="140" t="s">
        <v>360</v>
      </c>
      <c r="B166" s="1" t="s">
        <v>361</v>
      </c>
      <c r="C166" s="117" t="s">
        <v>362</v>
      </c>
      <c r="D166" s="1" t="s">
        <v>19</v>
      </c>
      <c r="E166" s="1" t="s">
        <v>115</v>
      </c>
      <c r="F166" s="56">
        <v>3</v>
      </c>
      <c r="G166" s="56"/>
      <c r="H166" s="121"/>
      <c r="I166" s="56">
        <v>47.34</v>
      </c>
      <c r="J166" s="121">
        <f t="shared" si="39"/>
        <v>60.287490000000005</v>
      </c>
      <c r="K166" s="125">
        <f t="shared" si="40"/>
        <v>180.86247000000003</v>
      </c>
      <c r="L166" s="125">
        <f t="shared" si="42"/>
        <v>0</v>
      </c>
      <c r="M166" s="125"/>
      <c r="N166" s="126">
        <f t="shared" si="41"/>
        <v>180.86247000000003</v>
      </c>
    </row>
    <row r="167" spans="1:14">
      <c r="A167" s="140" t="s">
        <v>363</v>
      </c>
      <c r="B167" s="1" t="s">
        <v>364</v>
      </c>
      <c r="C167" s="117" t="s">
        <v>365</v>
      </c>
      <c r="D167" s="1" t="s">
        <v>10</v>
      </c>
      <c r="E167" s="1" t="s">
        <v>250</v>
      </c>
      <c r="F167" s="56">
        <v>10</v>
      </c>
      <c r="G167" s="56"/>
      <c r="H167" s="121"/>
      <c r="I167" s="56">
        <v>9.59</v>
      </c>
      <c r="J167" s="121">
        <f t="shared" si="39"/>
        <v>12.212865000000001</v>
      </c>
      <c r="K167" s="125">
        <f t="shared" si="40"/>
        <v>122.12865000000001</v>
      </c>
      <c r="L167" s="125">
        <f t="shared" si="42"/>
        <v>0</v>
      </c>
      <c r="M167" s="125"/>
      <c r="N167" s="126">
        <f t="shared" si="41"/>
        <v>122.12865000000001</v>
      </c>
    </row>
    <row r="168" spans="1:14" ht="38.25">
      <c r="A168" s="140" t="s">
        <v>366</v>
      </c>
      <c r="B168" s="1" t="s">
        <v>367</v>
      </c>
      <c r="C168" s="117" t="s">
        <v>368</v>
      </c>
      <c r="D168" s="1" t="s">
        <v>19</v>
      </c>
      <c r="E168" s="1" t="s">
        <v>20</v>
      </c>
      <c r="F168" s="56">
        <v>585.29999999999995</v>
      </c>
      <c r="G168" s="56"/>
      <c r="H168" s="121"/>
      <c r="I168" s="56">
        <v>3.16</v>
      </c>
      <c r="J168" s="121">
        <f t="shared" si="39"/>
        <v>4.0242600000000008</v>
      </c>
      <c r="K168" s="125">
        <f t="shared" si="40"/>
        <v>2355.3993780000005</v>
      </c>
      <c r="L168" s="125">
        <f t="shared" si="42"/>
        <v>0</v>
      </c>
      <c r="M168" s="125"/>
      <c r="N168" s="126">
        <f t="shared" si="41"/>
        <v>2355.3993780000005</v>
      </c>
    </row>
    <row r="169" spans="1:14" ht="38.25">
      <c r="A169" s="140" t="s">
        <v>369</v>
      </c>
      <c r="B169" s="1" t="s">
        <v>346</v>
      </c>
      <c r="C169" s="117" t="s">
        <v>347</v>
      </c>
      <c r="D169" s="1" t="s">
        <v>19</v>
      </c>
      <c r="E169" s="1" t="s">
        <v>20</v>
      </c>
      <c r="F169" s="56">
        <v>451.74</v>
      </c>
      <c r="G169" s="56"/>
      <c r="H169" s="121"/>
      <c r="I169" s="56">
        <v>2.14</v>
      </c>
      <c r="J169" s="121">
        <f t="shared" si="39"/>
        <v>2.7252900000000002</v>
      </c>
      <c r="K169" s="125">
        <f t="shared" si="40"/>
        <v>1231.1225046000002</v>
      </c>
      <c r="L169" s="125">
        <f t="shared" si="42"/>
        <v>0</v>
      </c>
      <c r="M169" s="125"/>
      <c r="N169" s="126">
        <f t="shared" si="41"/>
        <v>1231.1225046000002</v>
      </c>
    </row>
    <row r="170" spans="1:14" ht="38.25">
      <c r="A170" s="140" t="s">
        <v>370</v>
      </c>
      <c r="B170" s="1" t="s">
        <v>367</v>
      </c>
      <c r="C170" s="117" t="s">
        <v>368</v>
      </c>
      <c r="D170" s="1" t="s">
        <v>19</v>
      </c>
      <c r="E170" s="1" t="s">
        <v>20</v>
      </c>
      <c r="F170" s="56">
        <v>275.5</v>
      </c>
      <c r="G170" s="56"/>
      <c r="H170" s="121"/>
      <c r="I170" s="56">
        <v>3.16</v>
      </c>
      <c r="J170" s="121">
        <f t="shared" si="39"/>
        <v>4.0242600000000008</v>
      </c>
      <c r="K170" s="125">
        <f t="shared" si="40"/>
        <v>1108.6836300000002</v>
      </c>
      <c r="L170" s="125">
        <f t="shared" si="42"/>
        <v>0</v>
      </c>
      <c r="M170" s="125"/>
      <c r="N170" s="126">
        <f t="shared" si="41"/>
        <v>1108.6836300000002</v>
      </c>
    </row>
    <row r="171" spans="1:14" ht="38.25">
      <c r="A171" s="140" t="s">
        <v>371</v>
      </c>
      <c r="B171" s="1" t="s">
        <v>367</v>
      </c>
      <c r="C171" s="117" t="s">
        <v>368</v>
      </c>
      <c r="D171" s="1" t="s">
        <v>19</v>
      </c>
      <c r="E171" s="1" t="s">
        <v>20</v>
      </c>
      <c r="F171" s="56">
        <v>299.24</v>
      </c>
      <c r="G171" s="56"/>
      <c r="H171" s="121"/>
      <c r="I171" s="56">
        <v>3.16</v>
      </c>
      <c r="J171" s="121">
        <f t="shared" si="39"/>
        <v>4.0242600000000008</v>
      </c>
      <c r="K171" s="125">
        <f t="shared" si="40"/>
        <v>1204.2195624000003</v>
      </c>
      <c r="L171" s="125">
        <f t="shared" si="42"/>
        <v>0</v>
      </c>
      <c r="M171" s="125"/>
      <c r="N171" s="126">
        <f t="shared" si="41"/>
        <v>1204.2195624000003</v>
      </c>
    </row>
    <row r="172" spans="1:14" ht="76.5">
      <c r="A172" s="140" t="s">
        <v>372</v>
      </c>
      <c r="B172" s="1" t="s">
        <v>373</v>
      </c>
      <c r="C172" s="117" t="s">
        <v>374</v>
      </c>
      <c r="D172" s="1" t="s">
        <v>19</v>
      </c>
      <c r="E172" s="1" t="s">
        <v>20</v>
      </c>
      <c r="F172" s="56">
        <v>63.81</v>
      </c>
      <c r="G172" s="56"/>
      <c r="H172" s="121"/>
      <c r="I172" s="56">
        <v>12.72</v>
      </c>
      <c r="J172" s="121">
        <f t="shared" si="39"/>
        <v>16.198920000000001</v>
      </c>
      <c r="K172" s="125">
        <f t="shared" si="40"/>
        <v>1033.6530852000001</v>
      </c>
      <c r="L172" s="125">
        <f t="shared" si="42"/>
        <v>0</v>
      </c>
      <c r="M172" s="125"/>
      <c r="N172" s="126">
        <f t="shared" si="41"/>
        <v>1033.6530852000001</v>
      </c>
    </row>
    <row r="173" spans="1:14" ht="38.25">
      <c r="A173" s="140" t="s">
        <v>375</v>
      </c>
      <c r="B173" s="1" t="s">
        <v>373</v>
      </c>
      <c r="C173" s="117" t="s">
        <v>376</v>
      </c>
      <c r="D173" s="1" t="s">
        <v>19</v>
      </c>
      <c r="E173" s="1" t="s">
        <v>20</v>
      </c>
      <c r="F173" s="56">
        <v>21.27</v>
      </c>
      <c r="G173" s="56"/>
      <c r="H173" s="121"/>
      <c r="I173" s="56">
        <v>12.72</v>
      </c>
      <c r="J173" s="121">
        <f t="shared" si="39"/>
        <v>16.198920000000001</v>
      </c>
      <c r="K173" s="125">
        <f t="shared" si="40"/>
        <v>344.55102840000001</v>
      </c>
      <c r="L173" s="125">
        <f t="shared" si="42"/>
        <v>0</v>
      </c>
      <c r="M173" s="125"/>
      <c r="N173" s="126">
        <f t="shared" si="41"/>
        <v>344.55102840000001</v>
      </c>
    </row>
    <row r="174" spans="1:14" ht="38.25">
      <c r="A174" s="140" t="s">
        <v>377</v>
      </c>
      <c r="B174" s="1" t="s">
        <v>373</v>
      </c>
      <c r="C174" s="117" t="s">
        <v>376</v>
      </c>
      <c r="D174" s="1" t="s">
        <v>19</v>
      </c>
      <c r="E174" s="1" t="s">
        <v>20</v>
      </c>
      <c r="F174" s="56">
        <v>21.27</v>
      </c>
      <c r="G174" s="56"/>
      <c r="H174" s="121"/>
      <c r="I174" s="56">
        <v>12.72</v>
      </c>
      <c r="J174" s="121">
        <f t="shared" si="39"/>
        <v>16.198920000000001</v>
      </c>
      <c r="K174" s="125">
        <f t="shared" si="40"/>
        <v>344.55102840000001</v>
      </c>
      <c r="L174" s="125">
        <f t="shared" si="42"/>
        <v>0</v>
      </c>
      <c r="M174" s="125"/>
      <c r="N174" s="126">
        <f t="shared" si="41"/>
        <v>344.55102840000001</v>
      </c>
    </row>
    <row r="175" spans="1:14" ht="38.25">
      <c r="A175" s="140" t="s">
        <v>378</v>
      </c>
      <c r="B175" s="1" t="s">
        <v>313</v>
      </c>
      <c r="C175" s="117" t="s">
        <v>314</v>
      </c>
      <c r="D175" s="1" t="s">
        <v>19</v>
      </c>
      <c r="E175" s="1" t="s">
        <v>115</v>
      </c>
      <c r="F175" s="56">
        <v>15</v>
      </c>
      <c r="G175" s="56"/>
      <c r="H175" s="121"/>
      <c r="I175" s="56">
        <v>30.42</v>
      </c>
      <c r="J175" s="121">
        <f t="shared" si="39"/>
        <v>38.739870000000003</v>
      </c>
      <c r="K175" s="125">
        <f t="shared" si="40"/>
        <v>581.09805000000006</v>
      </c>
      <c r="L175" s="125">
        <f t="shared" si="42"/>
        <v>0</v>
      </c>
      <c r="M175" s="125"/>
      <c r="N175" s="126">
        <f t="shared" si="41"/>
        <v>581.09805000000006</v>
      </c>
    </row>
    <row r="176" spans="1:14" ht="38.25">
      <c r="A176" s="140" t="s">
        <v>379</v>
      </c>
      <c r="B176" s="1" t="s">
        <v>380</v>
      </c>
      <c r="C176" s="117" t="s">
        <v>381</v>
      </c>
      <c r="D176" s="1" t="s">
        <v>19</v>
      </c>
      <c r="E176" s="1" t="s">
        <v>115</v>
      </c>
      <c r="F176" s="56">
        <v>24</v>
      </c>
      <c r="G176" s="56"/>
      <c r="H176" s="121"/>
      <c r="I176" s="56">
        <v>25.12</v>
      </c>
      <c r="J176" s="121">
        <f t="shared" si="39"/>
        <v>31.990320000000004</v>
      </c>
      <c r="K176" s="125">
        <f t="shared" si="40"/>
        <v>767.76768000000015</v>
      </c>
      <c r="L176" s="125">
        <f t="shared" si="42"/>
        <v>0</v>
      </c>
      <c r="M176" s="125"/>
      <c r="N176" s="126">
        <f t="shared" si="41"/>
        <v>767.76768000000015</v>
      </c>
    </row>
    <row r="177" spans="1:14">
      <c r="A177" s="140"/>
      <c r="B177" s="2"/>
      <c r="C177" s="118"/>
      <c r="D177" s="2"/>
      <c r="E177" s="2"/>
      <c r="F177" s="57"/>
      <c r="G177" s="122"/>
      <c r="H177" s="122"/>
      <c r="I177" s="57"/>
      <c r="J177" s="122"/>
      <c r="K177" s="127">
        <f>SUM(K130:K176)</f>
        <v>41213.271887999996</v>
      </c>
      <c r="L177" s="127">
        <f>SUM(L130:L176)</f>
        <v>0</v>
      </c>
      <c r="M177" s="127"/>
      <c r="N177" s="128">
        <f>SUM(N130:N176)</f>
        <v>41213.271887999996</v>
      </c>
    </row>
    <row r="178" spans="1:14" s="144" customFormat="1">
      <c r="A178" s="140"/>
      <c r="B178" s="162"/>
      <c r="C178" s="163"/>
      <c r="D178" s="141"/>
      <c r="E178" s="141"/>
      <c r="F178" s="142"/>
      <c r="G178" s="143"/>
      <c r="H178" s="143"/>
      <c r="I178" s="142"/>
      <c r="J178" s="143"/>
      <c r="K178" s="164"/>
      <c r="L178" s="125">
        <f t="shared" si="42"/>
        <v>0</v>
      </c>
      <c r="M178" s="164"/>
      <c r="N178" s="165"/>
    </row>
    <row r="179" spans="1:14" ht="20.100000000000001" customHeight="1">
      <c r="A179" s="230" t="s">
        <v>382</v>
      </c>
      <c r="B179" s="367" t="s">
        <v>383</v>
      </c>
      <c r="C179" s="368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24"/>
    </row>
    <row r="180" spans="1:14" ht="51">
      <c r="A180" s="140" t="s">
        <v>384</v>
      </c>
      <c r="B180" s="1" t="s">
        <v>385</v>
      </c>
      <c r="C180" s="117" t="s">
        <v>386</v>
      </c>
      <c r="D180" s="1" t="s">
        <v>19</v>
      </c>
      <c r="E180" s="1" t="s">
        <v>115</v>
      </c>
      <c r="F180" s="56">
        <v>6</v>
      </c>
      <c r="G180" s="56"/>
      <c r="H180" s="121"/>
      <c r="I180" s="56">
        <v>23.62</v>
      </c>
      <c r="J180" s="121">
        <f t="shared" ref="J180:J211" si="43">I180*$O$10</f>
        <v>30.080070000000003</v>
      </c>
      <c r="K180" s="125">
        <f t="shared" ref="K180:K239" si="44">J180*F180</f>
        <v>180.48042000000001</v>
      </c>
      <c r="L180" s="125">
        <f t="shared" si="42"/>
        <v>0</v>
      </c>
      <c r="M180" s="125"/>
      <c r="N180" s="126">
        <f t="shared" ref="N180:N239" si="45">K180+L180+M180</f>
        <v>180.48042000000001</v>
      </c>
    </row>
    <row r="181" spans="1:14" s="144" customFormat="1" ht="25.5">
      <c r="A181" s="140" t="s">
        <v>387</v>
      </c>
      <c r="B181" s="141" t="s">
        <v>388</v>
      </c>
      <c r="C181" s="176" t="s">
        <v>389</v>
      </c>
      <c r="D181" s="141" t="s">
        <v>19</v>
      </c>
      <c r="E181" s="141" t="s">
        <v>115</v>
      </c>
      <c r="F181" s="142">
        <v>0</v>
      </c>
      <c r="G181" s="142"/>
      <c r="H181" s="143"/>
      <c r="I181" s="142">
        <v>24.17</v>
      </c>
      <c r="J181" s="143">
        <f t="shared" si="43"/>
        <v>30.780495000000005</v>
      </c>
      <c r="K181" s="177">
        <f t="shared" si="44"/>
        <v>0</v>
      </c>
      <c r="L181" s="177">
        <f t="shared" si="42"/>
        <v>0</v>
      </c>
      <c r="M181" s="177"/>
      <c r="N181" s="143">
        <f t="shared" si="45"/>
        <v>0</v>
      </c>
    </row>
    <row r="182" spans="1:14" ht="51">
      <c r="A182" s="140" t="s">
        <v>390</v>
      </c>
      <c r="B182" s="1" t="s">
        <v>391</v>
      </c>
      <c r="C182" s="117" t="s">
        <v>392</v>
      </c>
      <c r="D182" s="1" t="s">
        <v>19</v>
      </c>
      <c r="E182" s="1" t="s">
        <v>115</v>
      </c>
      <c r="F182" s="56">
        <v>6</v>
      </c>
      <c r="G182" s="56"/>
      <c r="H182" s="121"/>
      <c r="I182" s="56">
        <v>7.69</v>
      </c>
      <c r="J182" s="121">
        <f t="shared" si="43"/>
        <v>9.7932150000000018</v>
      </c>
      <c r="K182" s="125">
        <f t="shared" si="44"/>
        <v>58.759290000000007</v>
      </c>
      <c r="L182" s="125">
        <f t="shared" si="42"/>
        <v>0</v>
      </c>
      <c r="M182" s="125"/>
      <c r="N182" s="126">
        <f t="shared" si="45"/>
        <v>58.759290000000007</v>
      </c>
    </row>
    <row r="183" spans="1:14" ht="51">
      <c r="A183" s="140" t="s">
        <v>393</v>
      </c>
      <c r="B183" s="1" t="s">
        <v>394</v>
      </c>
      <c r="C183" s="117" t="s">
        <v>395</v>
      </c>
      <c r="D183" s="1" t="s">
        <v>19</v>
      </c>
      <c r="E183" s="1" t="s">
        <v>115</v>
      </c>
      <c r="F183" s="56">
        <v>12</v>
      </c>
      <c r="G183" s="56"/>
      <c r="H183" s="121"/>
      <c r="I183" s="56">
        <v>422.31</v>
      </c>
      <c r="J183" s="121">
        <f t="shared" si="43"/>
        <v>537.81178499999999</v>
      </c>
      <c r="K183" s="125">
        <f t="shared" si="44"/>
        <v>6453.7414200000003</v>
      </c>
      <c r="L183" s="125">
        <f t="shared" si="42"/>
        <v>0</v>
      </c>
      <c r="M183" s="125"/>
      <c r="N183" s="126">
        <f t="shared" si="45"/>
        <v>6453.7414200000003</v>
      </c>
    </row>
    <row r="184" spans="1:14" ht="25.5">
      <c r="A184" s="140" t="s">
        <v>396</v>
      </c>
      <c r="B184" s="1" t="s">
        <v>397</v>
      </c>
      <c r="C184" s="117" t="s">
        <v>398</v>
      </c>
      <c r="D184" s="1" t="s">
        <v>19</v>
      </c>
      <c r="E184" s="1" t="s">
        <v>115</v>
      </c>
      <c r="F184" s="56">
        <v>2</v>
      </c>
      <c r="G184" s="56"/>
      <c r="H184" s="121"/>
      <c r="I184" s="56">
        <v>5.42</v>
      </c>
      <c r="J184" s="121">
        <f t="shared" si="43"/>
        <v>6.9023700000000003</v>
      </c>
      <c r="K184" s="125">
        <f t="shared" si="44"/>
        <v>13.804740000000001</v>
      </c>
      <c r="L184" s="125">
        <f t="shared" si="42"/>
        <v>0</v>
      </c>
      <c r="M184" s="125"/>
      <c r="N184" s="126">
        <f t="shared" si="45"/>
        <v>13.804740000000001</v>
      </c>
    </row>
    <row r="185" spans="1:14" ht="25.5">
      <c r="A185" s="140" t="s">
        <v>399</v>
      </c>
      <c r="B185" s="1" t="s">
        <v>400</v>
      </c>
      <c r="C185" s="117" t="s">
        <v>401</v>
      </c>
      <c r="D185" s="1" t="s">
        <v>19</v>
      </c>
      <c r="E185" s="1" t="s">
        <v>115</v>
      </c>
      <c r="F185" s="56">
        <v>1</v>
      </c>
      <c r="G185" s="56"/>
      <c r="H185" s="121"/>
      <c r="I185" s="56">
        <v>0.43</v>
      </c>
      <c r="J185" s="121">
        <f t="shared" si="43"/>
        <v>0.54760500000000001</v>
      </c>
      <c r="K185" s="125">
        <f t="shared" si="44"/>
        <v>0.54760500000000001</v>
      </c>
      <c r="L185" s="125">
        <f t="shared" si="42"/>
        <v>0</v>
      </c>
      <c r="M185" s="125"/>
      <c r="N185" s="126">
        <f t="shared" si="45"/>
        <v>0.54760500000000001</v>
      </c>
    </row>
    <row r="186" spans="1:14" ht="25.5">
      <c r="A186" s="140" t="s">
        <v>402</v>
      </c>
      <c r="B186" s="1" t="s">
        <v>403</v>
      </c>
      <c r="C186" s="117" t="s">
        <v>404</v>
      </c>
      <c r="D186" s="1" t="s">
        <v>19</v>
      </c>
      <c r="E186" s="1" t="s">
        <v>115</v>
      </c>
      <c r="F186" s="56">
        <v>1</v>
      </c>
      <c r="G186" s="56"/>
      <c r="H186" s="121"/>
      <c r="I186" s="56">
        <v>4.17</v>
      </c>
      <c r="J186" s="121">
        <f t="shared" si="43"/>
        <v>5.3104950000000004</v>
      </c>
      <c r="K186" s="125">
        <f t="shared" si="44"/>
        <v>5.3104950000000004</v>
      </c>
      <c r="L186" s="125">
        <f t="shared" si="42"/>
        <v>0</v>
      </c>
      <c r="M186" s="125"/>
      <c r="N186" s="126">
        <f t="shared" si="45"/>
        <v>5.3104950000000004</v>
      </c>
    </row>
    <row r="187" spans="1:14" ht="25.5">
      <c r="A187" s="140" t="s">
        <v>405</v>
      </c>
      <c r="B187" s="1" t="s">
        <v>406</v>
      </c>
      <c r="C187" s="117" t="s">
        <v>407</v>
      </c>
      <c r="D187" s="1" t="s">
        <v>19</v>
      </c>
      <c r="E187" s="1" t="s">
        <v>115</v>
      </c>
      <c r="F187" s="56">
        <v>11</v>
      </c>
      <c r="G187" s="56"/>
      <c r="H187" s="121"/>
      <c r="I187" s="56">
        <v>5.29</v>
      </c>
      <c r="J187" s="121">
        <f t="shared" si="43"/>
        <v>6.7368150000000009</v>
      </c>
      <c r="K187" s="125">
        <f t="shared" si="44"/>
        <v>74.104965000000007</v>
      </c>
      <c r="L187" s="125">
        <f t="shared" si="42"/>
        <v>0</v>
      </c>
      <c r="M187" s="125"/>
      <c r="N187" s="126">
        <f t="shared" si="45"/>
        <v>74.104965000000007</v>
      </c>
    </row>
    <row r="188" spans="1:14" ht="38.25">
      <c r="A188" s="140" t="s">
        <v>408</v>
      </c>
      <c r="B188" s="1" t="s">
        <v>409</v>
      </c>
      <c r="C188" s="117" t="s">
        <v>410</v>
      </c>
      <c r="D188" s="1" t="s">
        <v>19</v>
      </c>
      <c r="E188" s="1" t="s">
        <v>115</v>
      </c>
      <c r="F188" s="56">
        <v>64</v>
      </c>
      <c r="G188" s="56"/>
      <c r="H188" s="121"/>
      <c r="I188" s="56">
        <v>5.89</v>
      </c>
      <c r="J188" s="121">
        <f t="shared" si="43"/>
        <v>7.500915</v>
      </c>
      <c r="K188" s="125">
        <f t="shared" si="44"/>
        <v>480.05856</v>
      </c>
      <c r="L188" s="125">
        <f t="shared" si="42"/>
        <v>0</v>
      </c>
      <c r="M188" s="125"/>
      <c r="N188" s="126">
        <f t="shared" si="45"/>
        <v>480.05856</v>
      </c>
    </row>
    <row r="189" spans="1:14" ht="38.25">
      <c r="A189" s="140" t="s">
        <v>411</v>
      </c>
      <c r="B189" s="1" t="s">
        <v>412</v>
      </c>
      <c r="C189" s="117" t="s">
        <v>413</v>
      </c>
      <c r="D189" s="1" t="s">
        <v>19</v>
      </c>
      <c r="E189" s="1" t="s">
        <v>115</v>
      </c>
      <c r="F189" s="56">
        <v>5</v>
      </c>
      <c r="G189" s="56"/>
      <c r="H189" s="121"/>
      <c r="I189" s="56">
        <v>10.46</v>
      </c>
      <c r="J189" s="121">
        <f t="shared" si="43"/>
        <v>13.320810000000002</v>
      </c>
      <c r="K189" s="125">
        <f t="shared" si="44"/>
        <v>66.604050000000001</v>
      </c>
      <c r="L189" s="125">
        <f t="shared" si="42"/>
        <v>0</v>
      </c>
      <c r="M189" s="125"/>
      <c r="N189" s="126">
        <f t="shared" si="45"/>
        <v>66.604050000000001</v>
      </c>
    </row>
    <row r="190" spans="1:14" ht="38.25">
      <c r="A190" s="140" t="s">
        <v>414</v>
      </c>
      <c r="B190" s="1" t="s">
        <v>415</v>
      </c>
      <c r="C190" s="117" t="s">
        <v>416</v>
      </c>
      <c r="D190" s="1" t="s">
        <v>19</v>
      </c>
      <c r="E190" s="1" t="s">
        <v>115</v>
      </c>
      <c r="F190" s="56">
        <v>20</v>
      </c>
      <c r="G190" s="56"/>
      <c r="H190" s="121"/>
      <c r="I190" s="56">
        <v>12.41</v>
      </c>
      <c r="J190" s="121">
        <f t="shared" si="43"/>
        <v>15.804135</v>
      </c>
      <c r="K190" s="125">
        <f t="shared" si="44"/>
        <v>316.08269999999999</v>
      </c>
      <c r="L190" s="125">
        <f t="shared" si="42"/>
        <v>0</v>
      </c>
      <c r="M190" s="125"/>
      <c r="N190" s="126">
        <f t="shared" si="45"/>
        <v>316.08269999999999</v>
      </c>
    </row>
    <row r="191" spans="1:14" ht="38.25">
      <c r="A191" s="140" t="s">
        <v>417</v>
      </c>
      <c r="B191" s="1" t="s">
        <v>418</v>
      </c>
      <c r="C191" s="117" t="s">
        <v>419</v>
      </c>
      <c r="D191" s="1" t="s">
        <v>19</v>
      </c>
      <c r="E191" s="1" t="s">
        <v>115</v>
      </c>
      <c r="F191" s="56">
        <v>1</v>
      </c>
      <c r="G191" s="56"/>
      <c r="H191" s="121"/>
      <c r="I191" s="56">
        <v>8.6199999999999992</v>
      </c>
      <c r="J191" s="121">
        <f t="shared" si="43"/>
        <v>10.97757</v>
      </c>
      <c r="K191" s="125">
        <f t="shared" si="44"/>
        <v>10.97757</v>
      </c>
      <c r="L191" s="125">
        <f t="shared" si="42"/>
        <v>0</v>
      </c>
      <c r="M191" s="125"/>
      <c r="N191" s="126">
        <f t="shared" si="45"/>
        <v>10.97757</v>
      </c>
    </row>
    <row r="192" spans="1:14" ht="38.25">
      <c r="A192" s="140" t="s">
        <v>420</v>
      </c>
      <c r="B192" s="1" t="s">
        <v>421</v>
      </c>
      <c r="C192" s="117" t="s">
        <v>422</v>
      </c>
      <c r="D192" s="1" t="s">
        <v>19</v>
      </c>
      <c r="E192" s="1" t="s">
        <v>115</v>
      </c>
      <c r="F192" s="56">
        <v>2</v>
      </c>
      <c r="G192" s="56"/>
      <c r="H192" s="121"/>
      <c r="I192" s="56">
        <v>15.64</v>
      </c>
      <c r="J192" s="121">
        <f t="shared" si="43"/>
        <v>19.917540000000002</v>
      </c>
      <c r="K192" s="125">
        <f t="shared" si="44"/>
        <v>39.835080000000005</v>
      </c>
      <c r="L192" s="125">
        <f t="shared" si="42"/>
        <v>0</v>
      </c>
      <c r="M192" s="125"/>
      <c r="N192" s="126">
        <f t="shared" si="45"/>
        <v>39.835080000000005</v>
      </c>
    </row>
    <row r="193" spans="1:14" ht="38.25">
      <c r="A193" s="140" t="s">
        <v>423</v>
      </c>
      <c r="B193" s="1" t="s">
        <v>424</v>
      </c>
      <c r="C193" s="117" t="s">
        <v>425</v>
      </c>
      <c r="D193" s="1" t="s">
        <v>19</v>
      </c>
      <c r="E193" s="1" t="s">
        <v>115</v>
      </c>
      <c r="F193" s="56">
        <v>2</v>
      </c>
      <c r="G193" s="56"/>
      <c r="H193" s="121"/>
      <c r="I193" s="56">
        <v>6.91</v>
      </c>
      <c r="J193" s="121">
        <f t="shared" si="43"/>
        <v>8.7998850000000015</v>
      </c>
      <c r="K193" s="125">
        <f t="shared" si="44"/>
        <v>17.599770000000003</v>
      </c>
      <c r="L193" s="125">
        <f t="shared" si="42"/>
        <v>0</v>
      </c>
      <c r="M193" s="125"/>
      <c r="N193" s="126">
        <f t="shared" si="45"/>
        <v>17.599770000000003</v>
      </c>
    </row>
    <row r="194" spans="1:14" ht="38.25">
      <c r="A194" s="140" t="s">
        <v>426</v>
      </c>
      <c r="B194" s="1" t="s">
        <v>427</v>
      </c>
      <c r="C194" s="117" t="s">
        <v>428</v>
      </c>
      <c r="D194" s="1" t="s">
        <v>19</v>
      </c>
      <c r="E194" s="1" t="s">
        <v>115</v>
      </c>
      <c r="F194" s="56">
        <v>22</v>
      </c>
      <c r="G194" s="56"/>
      <c r="H194" s="121"/>
      <c r="I194" s="56">
        <v>8.26</v>
      </c>
      <c r="J194" s="121">
        <f t="shared" si="43"/>
        <v>10.51911</v>
      </c>
      <c r="K194" s="125">
        <f t="shared" si="44"/>
        <v>231.42041999999998</v>
      </c>
      <c r="L194" s="125">
        <f t="shared" si="42"/>
        <v>0</v>
      </c>
      <c r="M194" s="125"/>
      <c r="N194" s="126">
        <f t="shared" si="45"/>
        <v>231.42041999999998</v>
      </c>
    </row>
    <row r="195" spans="1:14" ht="38.25">
      <c r="A195" s="140" t="s">
        <v>429</v>
      </c>
      <c r="B195" s="1" t="s">
        <v>430</v>
      </c>
      <c r="C195" s="117" t="s">
        <v>431</v>
      </c>
      <c r="D195" s="1" t="s">
        <v>19</v>
      </c>
      <c r="E195" s="1" t="s">
        <v>115</v>
      </c>
      <c r="F195" s="56">
        <v>1</v>
      </c>
      <c r="G195" s="56"/>
      <c r="H195" s="121"/>
      <c r="I195" s="56">
        <v>16.8</v>
      </c>
      <c r="J195" s="121">
        <f t="shared" si="43"/>
        <v>21.394800000000004</v>
      </c>
      <c r="K195" s="125">
        <f t="shared" si="44"/>
        <v>21.394800000000004</v>
      </c>
      <c r="L195" s="125">
        <f t="shared" si="42"/>
        <v>0</v>
      </c>
      <c r="M195" s="125"/>
      <c r="N195" s="126">
        <f t="shared" si="45"/>
        <v>21.394800000000004</v>
      </c>
    </row>
    <row r="196" spans="1:14" ht="51">
      <c r="A196" s="140" t="s">
        <v>432</v>
      </c>
      <c r="B196" s="1" t="s">
        <v>433</v>
      </c>
      <c r="C196" s="117" t="s">
        <v>434</v>
      </c>
      <c r="D196" s="1" t="s">
        <v>19</v>
      </c>
      <c r="E196" s="1" t="s">
        <v>115</v>
      </c>
      <c r="F196" s="56">
        <v>17</v>
      </c>
      <c r="G196" s="56"/>
      <c r="H196" s="121"/>
      <c r="I196" s="56">
        <v>18.010000000000002</v>
      </c>
      <c r="J196" s="121">
        <f t="shared" si="43"/>
        <v>22.935735000000005</v>
      </c>
      <c r="K196" s="125">
        <f t="shared" si="44"/>
        <v>389.9074950000001</v>
      </c>
      <c r="L196" s="125">
        <f t="shared" si="42"/>
        <v>0</v>
      </c>
      <c r="M196" s="125"/>
      <c r="N196" s="126">
        <f t="shared" si="45"/>
        <v>389.9074950000001</v>
      </c>
    </row>
    <row r="197" spans="1:14" ht="38.25">
      <c r="A197" s="140" t="s">
        <v>435</v>
      </c>
      <c r="B197" s="1" t="s">
        <v>436</v>
      </c>
      <c r="C197" s="117" t="s">
        <v>437</v>
      </c>
      <c r="D197" s="1" t="s">
        <v>19</v>
      </c>
      <c r="E197" s="1" t="s">
        <v>20</v>
      </c>
      <c r="F197" s="56">
        <v>63.76</v>
      </c>
      <c r="G197" s="56"/>
      <c r="H197" s="121"/>
      <c r="I197" s="56">
        <v>6.01</v>
      </c>
      <c r="J197" s="121">
        <f t="shared" si="43"/>
        <v>7.6537350000000002</v>
      </c>
      <c r="K197" s="125">
        <f t="shared" si="44"/>
        <v>488.00214360000001</v>
      </c>
      <c r="L197" s="125">
        <f t="shared" si="42"/>
        <v>0</v>
      </c>
      <c r="M197" s="125"/>
      <c r="N197" s="126">
        <f t="shared" si="45"/>
        <v>488.00214360000001</v>
      </c>
    </row>
    <row r="198" spans="1:14" ht="38.25">
      <c r="A198" s="140" t="s">
        <v>438</v>
      </c>
      <c r="B198" s="1" t="s">
        <v>439</v>
      </c>
      <c r="C198" s="117" t="s">
        <v>440</v>
      </c>
      <c r="D198" s="1" t="s">
        <v>19</v>
      </c>
      <c r="E198" s="1" t="s">
        <v>20</v>
      </c>
      <c r="F198" s="56">
        <v>148.68</v>
      </c>
      <c r="G198" s="56"/>
      <c r="H198" s="121"/>
      <c r="I198" s="56">
        <v>4.4000000000000004</v>
      </c>
      <c r="J198" s="121">
        <f t="shared" si="43"/>
        <v>5.6034000000000006</v>
      </c>
      <c r="K198" s="125">
        <f t="shared" si="44"/>
        <v>833.11351200000013</v>
      </c>
      <c r="L198" s="125">
        <f t="shared" si="42"/>
        <v>0</v>
      </c>
      <c r="M198" s="125"/>
      <c r="N198" s="126">
        <f t="shared" si="45"/>
        <v>833.11351200000013</v>
      </c>
    </row>
    <row r="199" spans="1:14" ht="38.25">
      <c r="A199" s="140" t="s">
        <v>441</v>
      </c>
      <c r="B199" s="1" t="s">
        <v>442</v>
      </c>
      <c r="C199" s="117" t="s">
        <v>443</v>
      </c>
      <c r="D199" s="1" t="s">
        <v>19</v>
      </c>
      <c r="E199" s="1" t="s">
        <v>20</v>
      </c>
      <c r="F199" s="56">
        <v>28.03</v>
      </c>
      <c r="G199" s="56"/>
      <c r="H199" s="121"/>
      <c r="I199" s="56">
        <v>15.6</v>
      </c>
      <c r="J199" s="121">
        <f t="shared" si="43"/>
        <v>19.866600000000002</v>
      </c>
      <c r="K199" s="125">
        <f t="shared" si="44"/>
        <v>556.86079800000005</v>
      </c>
      <c r="L199" s="125">
        <f t="shared" si="42"/>
        <v>0</v>
      </c>
      <c r="M199" s="125"/>
      <c r="N199" s="126">
        <f t="shared" si="45"/>
        <v>556.86079800000005</v>
      </c>
    </row>
    <row r="200" spans="1:14" ht="51">
      <c r="A200" s="140" t="s">
        <v>444</v>
      </c>
      <c r="B200" s="1" t="s">
        <v>445</v>
      </c>
      <c r="C200" s="117" t="s">
        <v>446</v>
      </c>
      <c r="D200" s="1" t="s">
        <v>19</v>
      </c>
      <c r="E200" s="1" t="s">
        <v>20</v>
      </c>
      <c r="F200" s="56">
        <v>65.42</v>
      </c>
      <c r="G200" s="56"/>
      <c r="H200" s="121"/>
      <c r="I200" s="56">
        <v>14.3</v>
      </c>
      <c r="J200" s="121">
        <f t="shared" si="43"/>
        <v>18.211050000000004</v>
      </c>
      <c r="K200" s="125">
        <f t="shared" si="44"/>
        <v>1191.3668910000004</v>
      </c>
      <c r="L200" s="125">
        <f t="shared" si="42"/>
        <v>0</v>
      </c>
      <c r="M200" s="125"/>
      <c r="N200" s="126">
        <f t="shared" si="45"/>
        <v>1191.3668910000004</v>
      </c>
    </row>
    <row r="201" spans="1:14" ht="38.25">
      <c r="A201" s="140" t="s">
        <v>447</v>
      </c>
      <c r="B201" s="1" t="s">
        <v>448</v>
      </c>
      <c r="C201" s="117" t="s">
        <v>449</v>
      </c>
      <c r="D201" s="1" t="s">
        <v>19</v>
      </c>
      <c r="E201" s="1" t="s">
        <v>20</v>
      </c>
      <c r="F201" s="56">
        <v>38.299999999999997</v>
      </c>
      <c r="G201" s="56"/>
      <c r="H201" s="121"/>
      <c r="I201" s="56">
        <v>10.55</v>
      </c>
      <c r="J201" s="121">
        <f t="shared" si="43"/>
        <v>13.435425000000002</v>
      </c>
      <c r="K201" s="125">
        <f t="shared" si="44"/>
        <v>514.57677750000005</v>
      </c>
      <c r="L201" s="125">
        <f t="shared" si="42"/>
        <v>0</v>
      </c>
      <c r="M201" s="125"/>
      <c r="N201" s="126">
        <f t="shared" si="45"/>
        <v>514.57677750000005</v>
      </c>
    </row>
    <row r="202" spans="1:14" ht="38.25">
      <c r="A202" s="140" t="s">
        <v>450</v>
      </c>
      <c r="B202" s="1" t="s">
        <v>451</v>
      </c>
      <c r="C202" s="117" t="s">
        <v>452</v>
      </c>
      <c r="D202" s="1" t="s">
        <v>19</v>
      </c>
      <c r="E202" s="1" t="s">
        <v>20</v>
      </c>
      <c r="F202" s="56">
        <v>30</v>
      </c>
      <c r="G202" s="56"/>
      <c r="H202" s="121"/>
      <c r="I202" s="56">
        <v>20.3</v>
      </c>
      <c r="J202" s="121">
        <f t="shared" si="43"/>
        <v>25.852050000000002</v>
      </c>
      <c r="K202" s="125">
        <f t="shared" si="44"/>
        <v>775.56150000000002</v>
      </c>
      <c r="L202" s="125">
        <f t="shared" si="42"/>
        <v>0</v>
      </c>
      <c r="M202" s="125"/>
      <c r="N202" s="126">
        <f t="shared" si="45"/>
        <v>775.56150000000002</v>
      </c>
    </row>
    <row r="203" spans="1:14" ht="51">
      <c r="A203" s="140" t="s">
        <v>453</v>
      </c>
      <c r="B203" s="1" t="s">
        <v>454</v>
      </c>
      <c r="C203" s="117" t="s">
        <v>455</v>
      </c>
      <c r="D203" s="1" t="s">
        <v>19</v>
      </c>
      <c r="E203" s="1" t="s">
        <v>115</v>
      </c>
      <c r="F203" s="56">
        <v>10</v>
      </c>
      <c r="G203" s="56"/>
      <c r="H203" s="121"/>
      <c r="I203" s="56">
        <v>329.84</v>
      </c>
      <c r="J203" s="121">
        <f t="shared" si="43"/>
        <v>420.05124000000001</v>
      </c>
      <c r="K203" s="125">
        <f t="shared" si="44"/>
        <v>4200.5123999999996</v>
      </c>
      <c r="L203" s="125">
        <f t="shared" si="42"/>
        <v>0</v>
      </c>
      <c r="M203" s="125"/>
      <c r="N203" s="126">
        <f t="shared" si="45"/>
        <v>4200.5123999999996</v>
      </c>
    </row>
    <row r="204" spans="1:14" ht="25.5">
      <c r="A204" s="140" t="s">
        <v>456</v>
      </c>
      <c r="B204" s="1" t="s">
        <v>457</v>
      </c>
      <c r="C204" s="117" t="s">
        <v>458</v>
      </c>
      <c r="D204" s="1" t="s">
        <v>19</v>
      </c>
      <c r="E204" s="1" t="s">
        <v>115</v>
      </c>
      <c r="F204" s="56">
        <v>10</v>
      </c>
      <c r="G204" s="56"/>
      <c r="H204" s="121"/>
      <c r="I204" s="56">
        <v>28.68</v>
      </c>
      <c r="J204" s="121">
        <f t="shared" si="43"/>
        <v>36.523980000000002</v>
      </c>
      <c r="K204" s="125">
        <f t="shared" si="44"/>
        <v>365.2398</v>
      </c>
      <c r="L204" s="125">
        <f t="shared" si="42"/>
        <v>0</v>
      </c>
      <c r="M204" s="125"/>
      <c r="N204" s="126">
        <f t="shared" si="45"/>
        <v>365.2398</v>
      </c>
    </row>
    <row r="205" spans="1:14" ht="25.5">
      <c r="A205" s="140" t="s">
        <v>459</v>
      </c>
      <c r="B205" s="1" t="s">
        <v>460</v>
      </c>
      <c r="C205" s="117" t="s">
        <v>461</v>
      </c>
      <c r="D205" s="1" t="s">
        <v>19</v>
      </c>
      <c r="E205" s="1" t="s">
        <v>115</v>
      </c>
      <c r="F205" s="56">
        <v>10</v>
      </c>
      <c r="G205" s="56"/>
      <c r="H205" s="121"/>
      <c r="I205" s="56">
        <v>86.47</v>
      </c>
      <c r="J205" s="121">
        <f t="shared" si="43"/>
        <v>110.119545</v>
      </c>
      <c r="K205" s="125">
        <f t="shared" si="44"/>
        <v>1101.1954499999999</v>
      </c>
      <c r="L205" s="125">
        <f t="shared" si="42"/>
        <v>0</v>
      </c>
      <c r="M205" s="125"/>
      <c r="N205" s="126">
        <f t="shared" si="45"/>
        <v>1101.1954499999999</v>
      </c>
    </row>
    <row r="206" spans="1:14" ht="38.25">
      <c r="A206" s="140" t="s">
        <v>462</v>
      </c>
      <c r="B206" s="1" t="s">
        <v>463</v>
      </c>
      <c r="C206" s="117" t="s">
        <v>464</v>
      </c>
      <c r="D206" s="1" t="s">
        <v>19</v>
      </c>
      <c r="E206" s="1" t="s">
        <v>115</v>
      </c>
      <c r="F206" s="56">
        <v>2</v>
      </c>
      <c r="G206" s="56"/>
      <c r="H206" s="121"/>
      <c r="I206" s="56">
        <v>6.61</v>
      </c>
      <c r="J206" s="121">
        <f t="shared" si="43"/>
        <v>8.4178350000000002</v>
      </c>
      <c r="K206" s="125">
        <f t="shared" si="44"/>
        <v>16.83567</v>
      </c>
      <c r="L206" s="125">
        <f t="shared" si="42"/>
        <v>0</v>
      </c>
      <c r="M206" s="125"/>
      <c r="N206" s="126">
        <f t="shared" si="45"/>
        <v>16.83567</v>
      </c>
    </row>
    <row r="207" spans="1:14" ht="25.5">
      <c r="A207" s="140" t="s">
        <v>465</v>
      </c>
      <c r="B207" s="1" t="s">
        <v>466</v>
      </c>
      <c r="C207" s="117" t="s">
        <v>467</v>
      </c>
      <c r="D207" s="1" t="s">
        <v>19</v>
      </c>
      <c r="E207" s="1" t="s">
        <v>115</v>
      </c>
      <c r="F207" s="56">
        <v>3</v>
      </c>
      <c r="G207" s="56"/>
      <c r="H207" s="121"/>
      <c r="I207" s="56">
        <v>451.43</v>
      </c>
      <c r="J207" s="121">
        <f t="shared" si="43"/>
        <v>574.89610500000003</v>
      </c>
      <c r="K207" s="125">
        <f t="shared" si="44"/>
        <v>1724.6883150000001</v>
      </c>
      <c r="L207" s="125">
        <f t="shared" si="42"/>
        <v>0</v>
      </c>
      <c r="M207" s="125"/>
      <c r="N207" s="126">
        <f t="shared" si="45"/>
        <v>1724.6883150000001</v>
      </c>
    </row>
    <row r="208" spans="1:14" ht="25.5">
      <c r="A208" s="140" t="s">
        <v>468</v>
      </c>
      <c r="B208" s="1" t="s">
        <v>469</v>
      </c>
      <c r="C208" s="117" t="s">
        <v>470</v>
      </c>
      <c r="D208" s="1" t="s">
        <v>19</v>
      </c>
      <c r="E208" s="1" t="s">
        <v>115</v>
      </c>
      <c r="F208" s="56">
        <v>4</v>
      </c>
      <c r="G208" s="56"/>
      <c r="H208" s="121"/>
      <c r="I208" s="56">
        <v>20.2</v>
      </c>
      <c r="J208" s="121">
        <f t="shared" si="43"/>
        <v>25.724700000000002</v>
      </c>
      <c r="K208" s="125">
        <f t="shared" si="44"/>
        <v>102.89880000000001</v>
      </c>
      <c r="L208" s="125">
        <f t="shared" si="42"/>
        <v>0</v>
      </c>
      <c r="M208" s="125"/>
      <c r="N208" s="126">
        <f t="shared" si="45"/>
        <v>102.89880000000001</v>
      </c>
    </row>
    <row r="209" spans="1:14" ht="51">
      <c r="A209" s="140" t="s">
        <v>471</v>
      </c>
      <c r="B209" s="1" t="s">
        <v>472</v>
      </c>
      <c r="C209" s="117" t="s">
        <v>473</v>
      </c>
      <c r="D209" s="1" t="s">
        <v>19</v>
      </c>
      <c r="E209" s="1" t="s">
        <v>115</v>
      </c>
      <c r="F209" s="56">
        <v>1</v>
      </c>
      <c r="G209" s="56"/>
      <c r="H209" s="121"/>
      <c r="I209" s="56">
        <v>136.12</v>
      </c>
      <c r="J209" s="121">
        <f t="shared" si="43"/>
        <v>173.34882000000002</v>
      </c>
      <c r="K209" s="125">
        <f t="shared" si="44"/>
        <v>173.34882000000002</v>
      </c>
      <c r="L209" s="125">
        <f t="shared" ref="L209:L266" si="46">J209*H209</f>
        <v>0</v>
      </c>
      <c r="M209" s="125"/>
      <c r="N209" s="126">
        <f t="shared" si="45"/>
        <v>173.34882000000002</v>
      </c>
    </row>
    <row r="210" spans="1:14" ht="51">
      <c r="A210" s="140" t="s">
        <v>474</v>
      </c>
      <c r="B210" s="1" t="s">
        <v>475</v>
      </c>
      <c r="C210" s="117" t="s">
        <v>476</v>
      </c>
      <c r="D210" s="1" t="s">
        <v>19</v>
      </c>
      <c r="E210" s="1" t="s">
        <v>115</v>
      </c>
      <c r="F210" s="56">
        <v>4</v>
      </c>
      <c r="G210" s="56"/>
      <c r="H210" s="121"/>
      <c r="I210" s="56">
        <v>187.71</v>
      </c>
      <c r="J210" s="121">
        <f t="shared" si="43"/>
        <v>239.04868500000003</v>
      </c>
      <c r="K210" s="125">
        <f t="shared" si="44"/>
        <v>956.19474000000014</v>
      </c>
      <c r="L210" s="125">
        <f t="shared" si="46"/>
        <v>0</v>
      </c>
      <c r="M210" s="125"/>
      <c r="N210" s="126">
        <f t="shared" si="45"/>
        <v>956.19474000000014</v>
      </c>
    </row>
    <row r="211" spans="1:14" ht="38.25">
      <c r="A211" s="140" t="s">
        <v>477</v>
      </c>
      <c r="B211" s="1" t="s">
        <v>478</v>
      </c>
      <c r="C211" s="117" t="s">
        <v>479</v>
      </c>
      <c r="D211" s="1" t="s">
        <v>19</v>
      </c>
      <c r="E211" s="1" t="s">
        <v>115</v>
      </c>
      <c r="F211" s="56">
        <v>4</v>
      </c>
      <c r="G211" s="56"/>
      <c r="H211" s="121"/>
      <c r="I211" s="56">
        <v>64.790000000000006</v>
      </c>
      <c r="J211" s="121">
        <f t="shared" si="43"/>
        <v>82.510065000000012</v>
      </c>
      <c r="K211" s="125">
        <f t="shared" si="44"/>
        <v>330.04026000000005</v>
      </c>
      <c r="L211" s="125">
        <f t="shared" si="46"/>
        <v>0</v>
      </c>
      <c r="M211" s="125"/>
      <c r="N211" s="126">
        <f t="shared" si="45"/>
        <v>330.04026000000005</v>
      </c>
    </row>
    <row r="212" spans="1:14" ht="51">
      <c r="A212" s="140" t="s">
        <v>480</v>
      </c>
      <c r="B212" s="1" t="s">
        <v>481</v>
      </c>
      <c r="C212" s="117" t="s">
        <v>482</v>
      </c>
      <c r="D212" s="1" t="s">
        <v>19</v>
      </c>
      <c r="E212" s="1" t="s">
        <v>115</v>
      </c>
      <c r="F212" s="56">
        <v>8</v>
      </c>
      <c r="G212" s="56"/>
      <c r="H212" s="121"/>
      <c r="I212" s="56">
        <v>148.03</v>
      </c>
      <c r="J212" s="121">
        <f t="shared" ref="J212:J239" si="47">I212*$O$10</f>
        <v>188.51620500000001</v>
      </c>
      <c r="K212" s="125">
        <f t="shared" si="44"/>
        <v>1508.1296400000001</v>
      </c>
      <c r="L212" s="125">
        <f t="shared" si="46"/>
        <v>0</v>
      </c>
      <c r="M212" s="125"/>
      <c r="N212" s="126">
        <f t="shared" si="45"/>
        <v>1508.1296400000001</v>
      </c>
    </row>
    <row r="213" spans="1:14" ht="38.25">
      <c r="A213" s="140" t="s">
        <v>483</v>
      </c>
      <c r="B213" s="1" t="s">
        <v>484</v>
      </c>
      <c r="C213" s="117" t="s">
        <v>485</v>
      </c>
      <c r="D213" s="1" t="s">
        <v>19</v>
      </c>
      <c r="E213" s="1" t="s">
        <v>115</v>
      </c>
      <c r="F213" s="56">
        <v>8</v>
      </c>
      <c r="G213" s="56"/>
      <c r="H213" s="121"/>
      <c r="I213" s="56">
        <v>55.37</v>
      </c>
      <c r="J213" s="121">
        <f t="shared" si="47"/>
        <v>70.513694999999998</v>
      </c>
      <c r="K213" s="125">
        <f t="shared" si="44"/>
        <v>564.10955999999999</v>
      </c>
      <c r="L213" s="125">
        <f t="shared" si="46"/>
        <v>0</v>
      </c>
      <c r="M213" s="125"/>
      <c r="N213" s="126">
        <f t="shared" si="45"/>
        <v>564.10955999999999</v>
      </c>
    </row>
    <row r="214" spans="1:14" ht="38.25">
      <c r="A214" s="140" t="s">
        <v>486</v>
      </c>
      <c r="B214" s="1" t="s">
        <v>487</v>
      </c>
      <c r="C214" s="117" t="s">
        <v>488</v>
      </c>
      <c r="D214" s="1" t="s">
        <v>19</v>
      </c>
      <c r="E214" s="1" t="s">
        <v>115</v>
      </c>
      <c r="F214" s="56">
        <v>1</v>
      </c>
      <c r="G214" s="56"/>
      <c r="H214" s="121"/>
      <c r="I214" s="56">
        <v>26.81</v>
      </c>
      <c r="J214" s="121">
        <f t="shared" si="47"/>
        <v>34.142535000000002</v>
      </c>
      <c r="K214" s="125">
        <f t="shared" si="44"/>
        <v>34.142535000000002</v>
      </c>
      <c r="L214" s="125">
        <f t="shared" si="46"/>
        <v>0</v>
      </c>
      <c r="M214" s="125"/>
      <c r="N214" s="126">
        <f t="shared" si="45"/>
        <v>34.142535000000002</v>
      </c>
    </row>
    <row r="215" spans="1:14" ht="38.25">
      <c r="A215" s="140" t="s">
        <v>489</v>
      </c>
      <c r="B215" s="1" t="s">
        <v>490</v>
      </c>
      <c r="C215" s="117" t="s">
        <v>491</v>
      </c>
      <c r="D215" s="1" t="s">
        <v>19</v>
      </c>
      <c r="E215" s="1" t="s">
        <v>115</v>
      </c>
      <c r="F215" s="56">
        <v>2</v>
      </c>
      <c r="G215" s="56"/>
      <c r="H215" s="121"/>
      <c r="I215" s="56">
        <v>190.7</v>
      </c>
      <c r="J215" s="121">
        <f t="shared" si="47"/>
        <v>242.85645</v>
      </c>
      <c r="K215" s="125">
        <f t="shared" si="44"/>
        <v>485.71289999999999</v>
      </c>
      <c r="L215" s="125">
        <f t="shared" si="46"/>
        <v>0</v>
      </c>
      <c r="M215" s="125"/>
      <c r="N215" s="126">
        <f t="shared" si="45"/>
        <v>485.71289999999999</v>
      </c>
    </row>
    <row r="216" spans="1:14" ht="38.25">
      <c r="A216" s="140" t="s">
        <v>492</v>
      </c>
      <c r="B216" s="1" t="s">
        <v>493</v>
      </c>
      <c r="C216" s="117" t="s">
        <v>494</v>
      </c>
      <c r="D216" s="1" t="s">
        <v>19</v>
      </c>
      <c r="E216" s="1" t="s">
        <v>115</v>
      </c>
      <c r="F216" s="56">
        <v>8</v>
      </c>
      <c r="G216" s="56"/>
      <c r="H216" s="121"/>
      <c r="I216" s="56">
        <v>177.5</v>
      </c>
      <c r="J216" s="121">
        <f t="shared" si="47"/>
        <v>226.04625000000001</v>
      </c>
      <c r="K216" s="125">
        <f t="shared" si="44"/>
        <v>1808.3700000000001</v>
      </c>
      <c r="L216" s="125">
        <f t="shared" si="46"/>
        <v>0</v>
      </c>
      <c r="M216" s="125"/>
      <c r="N216" s="126">
        <f t="shared" si="45"/>
        <v>1808.3700000000001</v>
      </c>
    </row>
    <row r="217" spans="1:14" ht="76.5">
      <c r="A217" s="140" t="s">
        <v>495</v>
      </c>
      <c r="B217" s="1" t="s">
        <v>496</v>
      </c>
      <c r="C217" s="117" t="s">
        <v>497</v>
      </c>
      <c r="D217" s="1" t="s">
        <v>19</v>
      </c>
      <c r="E217" s="1" t="s">
        <v>115</v>
      </c>
      <c r="F217" s="56">
        <v>2</v>
      </c>
      <c r="G217" s="56"/>
      <c r="H217" s="121"/>
      <c r="I217" s="56">
        <v>165.39</v>
      </c>
      <c r="J217" s="121">
        <f t="shared" si="47"/>
        <v>210.624165</v>
      </c>
      <c r="K217" s="125">
        <f t="shared" si="44"/>
        <v>421.24833000000001</v>
      </c>
      <c r="L217" s="125">
        <f t="shared" si="46"/>
        <v>0</v>
      </c>
      <c r="M217" s="125"/>
      <c r="N217" s="126">
        <f t="shared" si="45"/>
        <v>421.24833000000001</v>
      </c>
    </row>
    <row r="218" spans="1:14" ht="25.5">
      <c r="A218" s="140" t="s">
        <v>498</v>
      </c>
      <c r="B218" s="1" t="s">
        <v>499</v>
      </c>
      <c r="C218" s="117" t="s">
        <v>500</v>
      </c>
      <c r="D218" s="1" t="s">
        <v>19</v>
      </c>
      <c r="E218" s="1" t="s">
        <v>115</v>
      </c>
      <c r="F218" s="56">
        <v>10</v>
      </c>
      <c r="G218" s="56"/>
      <c r="H218" s="121"/>
      <c r="I218" s="56">
        <v>22.08</v>
      </c>
      <c r="J218" s="121">
        <f t="shared" si="47"/>
        <v>28.118880000000001</v>
      </c>
      <c r="K218" s="125">
        <f t="shared" si="44"/>
        <v>281.18880000000001</v>
      </c>
      <c r="L218" s="125">
        <f t="shared" si="46"/>
        <v>0</v>
      </c>
      <c r="M218" s="125"/>
      <c r="N218" s="126">
        <f t="shared" si="45"/>
        <v>281.18880000000001</v>
      </c>
    </row>
    <row r="219" spans="1:14" ht="25.5">
      <c r="A219" s="140" t="s">
        <v>501</v>
      </c>
      <c r="B219" s="1" t="s">
        <v>502</v>
      </c>
      <c r="C219" s="117" t="s">
        <v>503</v>
      </c>
      <c r="D219" s="1" t="s">
        <v>19</v>
      </c>
      <c r="E219" s="1" t="s">
        <v>115</v>
      </c>
      <c r="F219" s="56">
        <v>2</v>
      </c>
      <c r="G219" s="56"/>
      <c r="H219" s="121"/>
      <c r="I219" s="56">
        <v>117.18</v>
      </c>
      <c r="J219" s="121">
        <f t="shared" si="47"/>
        <v>149.22873000000001</v>
      </c>
      <c r="K219" s="125">
        <f t="shared" si="44"/>
        <v>298.45746000000003</v>
      </c>
      <c r="L219" s="125">
        <f t="shared" si="46"/>
        <v>0</v>
      </c>
      <c r="M219" s="125"/>
      <c r="N219" s="126">
        <f t="shared" si="45"/>
        <v>298.45746000000003</v>
      </c>
    </row>
    <row r="220" spans="1:14" ht="25.5">
      <c r="A220" s="140" t="s">
        <v>504</v>
      </c>
      <c r="B220" s="1" t="s">
        <v>505</v>
      </c>
      <c r="C220" s="117" t="s">
        <v>506</v>
      </c>
      <c r="D220" s="1" t="s">
        <v>19</v>
      </c>
      <c r="E220" s="1" t="s">
        <v>115</v>
      </c>
      <c r="F220" s="56">
        <v>1</v>
      </c>
      <c r="G220" s="56"/>
      <c r="H220" s="121"/>
      <c r="I220" s="56">
        <v>84.73</v>
      </c>
      <c r="J220" s="121">
        <f t="shared" si="47"/>
        <v>107.90365500000001</v>
      </c>
      <c r="K220" s="125">
        <f t="shared" si="44"/>
        <v>107.90365500000001</v>
      </c>
      <c r="L220" s="125">
        <f t="shared" si="46"/>
        <v>0</v>
      </c>
      <c r="M220" s="125"/>
      <c r="N220" s="126">
        <f t="shared" si="45"/>
        <v>107.90365500000001</v>
      </c>
    </row>
    <row r="221" spans="1:14" ht="25.5">
      <c r="A221" s="140" t="s">
        <v>507</v>
      </c>
      <c r="B221" s="1" t="s">
        <v>508</v>
      </c>
      <c r="C221" s="117" t="s">
        <v>509</v>
      </c>
      <c r="D221" s="1" t="s">
        <v>19</v>
      </c>
      <c r="E221" s="1" t="s">
        <v>115</v>
      </c>
      <c r="F221" s="56">
        <v>1</v>
      </c>
      <c r="G221" s="56"/>
      <c r="H221" s="121"/>
      <c r="I221" s="56">
        <v>28.98</v>
      </c>
      <c r="J221" s="121">
        <f t="shared" si="47"/>
        <v>36.906030000000001</v>
      </c>
      <c r="K221" s="125">
        <f t="shared" si="44"/>
        <v>36.906030000000001</v>
      </c>
      <c r="L221" s="125">
        <f t="shared" si="46"/>
        <v>0</v>
      </c>
      <c r="M221" s="125"/>
      <c r="N221" s="126">
        <f t="shared" si="45"/>
        <v>36.906030000000001</v>
      </c>
    </row>
    <row r="222" spans="1:14" ht="25.5">
      <c r="A222" s="140" t="s">
        <v>510</v>
      </c>
      <c r="B222" s="1" t="s">
        <v>511</v>
      </c>
      <c r="C222" s="117" t="s">
        <v>512</v>
      </c>
      <c r="D222" s="1" t="s">
        <v>19</v>
      </c>
      <c r="E222" s="1" t="s">
        <v>115</v>
      </c>
      <c r="F222" s="56">
        <v>13</v>
      </c>
      <c r="G222" s="56"/>
      <c r="H222" s="121"/>
      <c r="I222" s="56">
        <v>31.62</v>
      </c>
      <c r="J222" s="121">
        <f t="shared" si="47"/>
        <v>40.268070000000002</v>
      </c>
      <c r="K222" s="125">
        <f t="shared" si="44"/>
        <v>523.48491000000001</v>
      </c>
      <c r="L222" s="125">
        <f t="shared" si="46"/>
        <v>0</v>
      </c>
      <c r="M222" s="125"/>
      <c r="N222" s="126">
        <f t="shared" si="45"/>
        <v>523.48491000000001</v>
      </c>
    </row>
    <row r="223" spans="1:14" ht="51">
      <c r="A223" s="140" t="s">
        <v>513</v>
      </c>
      <c r="B223" s="1" t="s">
        <v>514</v>
      </c>
      <c r="C223" s="117" t="s">
        <v>515</v>
      </c>
      <c r="D223" s="1" t="s">
        <v>19</v>
      </c>
      <c r="E223" s="1" t="s">
        <v>115</v>
      </c>
      <c r="F223" s="56">
        <v>2</v>
      </c>
      <c r="G223" s="56"/>
      <c r="H223" s="121"/>
      <c r="I223" s="56">
        <v>71.67</v>
      </c>
      <c r="J223" s="121">
        <f t="shared" si="47"/>
        <v>91.27174500000001</v>
      </c>
      <c r="K223" s="125">
        <f t="shared" si="44"/>
        <v>182.54349000000002</v>
      </c>
      <c r="L223" s="125">
        <f t="shared" si="46"/>
        <v>0</v>
      </c>
      <c r="M223" s="125"/>
      <c r="N223" s="126">
        <f t="shared" si="45"/>
        <v>182.54349000000002</v>
      </c>
    </row>
    <row r="224" spans="1:14" ht="38.25">
      <c r="A224" s="140" t="s">
        <v>516</v>
      </c>
      <c r="B224" s="1" t="s">
        <v>517</v>
      </c>
      <c r="C224" s="117" t="s">
        <v>518</v>
      </c>
      <c r="D224" s="1" t="s">
        <v>19</v>
      </c>
      <c r="E224" s="1" t="s">
        <v>115</v>
      </c>
      <c r="F224" s="56">
        <v>20</v>
      </c>
      <c r="G224" s="56"/>
      <c r="H224" s="121"/>
      <c r="I224" s="56">
        <v>27.64</v>
      </c>
      <c r="J224" s="121">
        <f t="shared" si="47"/>
        <v>35.199540000000006</v>
      </c>
      <c r="K224" s="125">
        <f t="shared" si="44"/>
        <v>703.99080000000015</v>
      </c>
      <c r="L224" s="125">
        <f t="shared" si="46"/>
        <v>0</v>
      </c>
      <c r="M224" s="125"/>
      <c r="N224" s="126">
        <f t="shared" si="45"/>
        <v>703.99080000000015</v>
      </c>
    </row>
    <row r="225" spans="1:14" ht="51">
      <c r="A225" s="140" t="s">
        <v>519</v>
      </c>
      <c r="B225" s="1" t="s">
        <v>520</v>
      </c>
      <c r="C225" s="117" t="s">
        <v>521</v>
      </c>
      <c r="D225" s="1" t="s">
        <v>19</v>
      </c>
      <c r="E225" s="1" t="s">
        <v>115</v>
      </c>
      <c r="F225" s="56">
        <v>12</v>
      </c>
      <c r="G225" s="56"/>
      <c r="H225" s="121"/>
      <c r="I225" s="56">
        <v>5.69</v>
      </c>
      <c r="J225" s="121">
        <f t="shared" si="47"/>
        <v>7.2462150000000012</v>
      </c>
      <c r="K225" s="125">
        <f t="shared" si="44"/>
        <v>86.954580000000021</v>
      </c>
      <c r="L225" s="125">
        <f t="shared" si="46"/>
        <v>0</v>
      </c>
      <c r="M225" s="125"/>
      <c r="N225" s="126">
        <f t="shared" si="45"/>
        <v>86.954580000000021</v>
      </c>
    </row>
    <row r="226" spans="1:14" ht="51">
      <c r="A226" s="140" t="s">
        <v>522</v>
      </c>
      <c r="B226" s="1" t="s">
        <v>523</v>
      </c>
      <c r="C226" s="117" t="s">
        <v>524</v>
      </c>
      <c r="D226" s="1" t="s">
        <v>19</v>
      </c>
      <c r="E226" s="1" t="s">
        <v>115</v>
      </c>
      <c r="F226" s="56">
        <v>5</v>
      </c>
      <c r="G226" s="56"/>
      <c r="H226" s="121"/>
      <c r="I226" s="56">
        <v>14.24</v>
      </c>
      <c r="J226" s="121">
        <f t="shared" si="47"/>
        <v>18.134640000000001</v>
      </c>
      <c r="K226" s="125">
        <f t="shared" si="44"/>
        <v>90.673200000000008</v>
      </c>
      <c r="L226" s="125">
        <f t="shared" si="46"/>
        <v>0</v>
      </c>
      <c r="M226" s="125"/>
      <c r="N226" s="126">
        <f t="shared" si="45"/>
        <v>90.673200000000008</v>
      </c>
    </row>
    <row r="227" spans="1:14" ht="51">
      <c r="A227" s="140" t="s">
        <v>525</v>
      </c>
      <c r="B227" s="1" t="s">
        <v>526</v>
      </c>
      <c r="C227" s="117" t="s">
        <v>527</v>
      </c>
      <c r="D227" s="1" t="s">
        <v>19</v>
      </c>
      <c r="E227" s="1" t="s">
        <v>115</v>
      </c>
      <c r="F227" s="56">
        <v>36</v>
      </c>
      <c r="G227" s="56"/>
      <c r="H227" s="121"/>
      <c r="I227" s="56">
        <v>7.4</v>
      </c>
      <c r="J227" s="121">
        <f t="shared" si="47"/>
        <v>9.4239000000000015</v>
      </c>
      <c r="K227" s="125">
        <f t="shared" si="44"/>
        <v>339.26040000000006</v>
      </c>
      <c r="L227" s="125">
        <f t="shared" si="46"/>
        <v>0</v>
      </c>
      <c r="M227" s="125"/>
      <c r="N227" s="126">
        <f t="shared" si="45"/>
        <v>339.26040000000006</v>
      </c>
    </row>
    <row r="228" spans="1:14" ht="51">
      <c r="A228" s="140" t="s">
        <v>528</v>
      </c>
      <c r="B228" s="1" t="s">
        <v>529</v>
      </c>
      <c r="C228" s="117" t="s">
        <v>530</v>
      </c>
      <c r="D228" s="1" t="s">
        <v>19</v>
      </c>
      <c r="E228" s="1" t="s">
        <v>115</v>
      </c>
      <c r="F228" s="56">
        <v>14</v>
      </c>
      <c r="G228" s="56"/>
      <c r="H228" s="121"/>
      <c r="I228" s="56">
        <v>5.12</v>
      </c>
      <c r="J228" s="121">
        <f t="shared" si="47"/>
        <v>6.5203200000000008</v>
      </c>
      <c r="K228" s="125">
        <f t="shared" si="44"/>
        <v>91.284480000000016</v>
      </c>
      <c r="L228" s="125">
        <f t="shared" si="46"/>
        <v>0</v>
      </c>
      <c r="M228" s="125"/>
      <c r="N228" s="126">
        <f t="shared" si="45"/>
        <v>91.284480000000016</v>
      </c>
    </row>
    <row r="229" spans="1:14" ht="51">
      <c r="A229" s="140" t="s">
        <v>531</v>
      </c>
      <c r="B229" s="1" t="s">
        <v>532</v>
      </c>
      <c r="C229" s="117" t="s">
        <v>533</v>
      </c>
      <c r="D229" s="1" t="s">
        <v>19</v>
      </c>
      <c r="E229" s="1" t="s">
        <v>115</v>
      </c>
      <c r="F229" s="56">
        <v>10</v>
      </c>
      <c r="G229" s="56"/>
      <c r="H229" s="121"/>
      <c r="I229" s="56">
        <v>18.22</v>
      </c>
      <c r="J229" s="121">
        <f t="shared" si="47"/>
        <v>23.20317</v>
      </c>
      <c r="K229" s="125">
        <f t="shared" si="44"/>
        <v>232.0317</v>
      </c>
      <c r="L229" s="125">
        <f t="shared" si="46"/>
        <v>0</v>
      </c>
      <c r="M229" s="125"/>
      <c r="N229" s="126">
        <f t="shared" si="45"/>
        <v>232.0317</v>
      </c>
    </row>
    <row r="230" spans="1:14" ht="51">
      <c r="A230" s="140" t="s">
        <v>534</v>
      </c>
      <c r="B230" s="1" t="s">
        <v>535</v>
      </c>
      <c r="C230" s="117" t="s">
        <v>536</v>
      </c>
      <c r="D230" s="1" t="s">
        <v>19</v>
      </c>
      <c r="E230" s="1" t="s">
        <v>115</v>
      </c>
      <c r="F230" s="56">
        <v>1</v>
      </c>
      <c r="G230" s="56"/>
      <c r="H230" s="121"/>
      <c r="I230" s="56">
        <v>13.18</v>
      </c>
      <c r="J230" s="121">
        <f t="shared" si="47"/>
        <v>16.78473</v>
      </c>
      <c r="K230" s="125">
        <f t="shared" si="44"/>
        <v>16.78473</v>
      </c>
      <c r="L230" s="125">
        <f t="shared" si="46"/>
        <v>0</v>
      </c>
      <c r="M230" s="125"/>
      <c r="N230" s="126">
        <f t="shared" si="45"/>
        <v>16.78473</v>
      </c>
    </row>
    <row r="231" spans="1:14" ht="25.5">
      <c r="A231" s="140" t="s">
        <v>537</v>
      </c>
      <c r="B231" s="1" t="s">
        <v>538</v>
      </c>
      <c r="C231" s="117" t="s">
        <v>539</v>
      </c>
      <c r="D231" s="1" t="s">
        <v>19</v>
      </c>
      <c r="E231" s="1" t="s">
        <v>115</v>
      </c>
      <c r="F231" s="56">
        <v>8</v>
      </c>
      <c r="G231" s="56"/>
      <c r="H231" s="121"/>
      <c r="I231" s="56">
        <v>15.03</v>
      </c>
      <c r="J231" s="121">
        <f t="shared" si="47"/>
        <v>19.140705000000001</v>
      </c>
      <c r="K231" s="125">
        <f t="shared" si="44"/>
        <v>153.12564</v>
      </c>
      <c r="L231" s="125">
        <f t="shared" si="46"/>
        <v>0</v>
      </c>
      <c r="M231" s="125"/>
      <c r="N231" s="126">
        <f t="shared" si="45"/>
        <v>153.12564</v>
      </c>
    </row>
    <row r="232" spans="1:14" ht="25.5">
      <c r="A232" s="140" t="s">
        <v>540</v>
      </c>
      <c r="B232" s="1" t="s">
        <v>541</v>
      </c>
      <c r="C232" s="117" t="s">
        <v>542</v>
      </c>
      <c r="D232" s="1" t="s">
        <v>19</v>
      </c>
      <c r="E232" s="1" t="s">
        <v>115</v>
      </c>
      <c r="F232" s="56">
        <v>1</v>
      </c>
      <c r="G232" s="56"/>
      <c r="H232" s="121"/>
      <c r="I232" s="56">
        <v>21.66</v>
      </c>
      <c r="J232" s="121">
        <f t="shared" si="47"/>
        <v>27.584010000000003</v>
      </c>
      <c r="K232" s="125">
        <f t="shared" si="44"/>
        <v>27.584010000000003</v>
      </c>
      <c r="L232" s="125">
        <f t="shared" si="46"/>
        <v>0</v>
      </c>
      <c r="M232" s="125"/>
      <c r="N232" s="126">
        <f t="shared" si="45"/>
        <v>27.584010000000003</v>
      </c>
    </row>
    <row r="233" spans="1:14" ht="63.75">
      <c r="A233" s="140" t="s">
        <v>543</v>
      </c>
      <c r="B233" s="1" t="s">
        <v>544</v>
      </c>
      <c r="C233" s="117" t="s">
        <v>545</v>
      </c>
      <c r="D233" s="1" t="s">
        <v>19</v>
      </c>
      <c r="E233" s="1" t="s">
        <v>115</v>
      </c>
      <c r="F233" s="56">
        <v>5</v>
      </c>
      <c r="G233" s="56"/>
      <c r="H233" s="121"/>
      <c r="I233" s="56">
        <v>35.950000000000003</v>
      </c>
      <c r="J233" s="121">
        <f t="shared" si="47"/>
        <v>45.782325000000007</v>
      </c>
      <c r="K233" s="125">
        <f t="shared" si="44"/>
        <v>228.91162500000004</v>
      </c>
      <c r="L233" s="125">
        <f t="shared" si="46"/>
        <v>0</v>
      </c>
      <c r="M233" s="125"/>
      <c r="N233" s="126">
        <f t="shared" si="45"/>
        <v>228.91162500000004</v>
      </c>
    </row>
    <row r="234" spans="1:14" ht="51">
      <c r="A234" s="140" t="s">
        <v>546</v>
      </c>
      <c r="B234" s="1" t="s">
        <v>547</v>
      </c>
      <c r="C234" s="117" t="s">
        <v>548</v>
      </c>
      <c r="D234" s="1" t="s">
        <v>19</v>
      </c>
      <c r="E234" s="1" t="s">
        <v>115</v>
      </c>
      <c r="F234" s="56">
        <v>20</v>
      </c>
      <c r="G234" s="56"/>
      <c r="H234" s="121"/>
      <c r="I234" s="56">
        <v>5.17</v>
      </c>
      <c r="J234" s="121">
        <f t="shared" si="47"/>
        <v>6.5839950000000007</v>
      </c>
      <c r="K234" s="125">
        <f t="shared" si="44"/>
        <v>131.6799</v>
      </c>
      <c r="L234" s="125">
        <f t="shared" si="46"/>
        <v>0</v>
      </c>
      <c r="M234" s="125"/>
      <c r="N234" s="126">
        <f t="shared" si="45"/>
        <v>131.6799</v>
      </c>
    </row>
    <row r="235" spans="1:14" ht="51">
      <c r="A235" s="140" t="s">
        <v>549</v>
      </c>
      <c r="B235" s="1" t="s">
        <v>550</v>
      </c>
      <c r="C235" s="117" t="s">
        <v>551</v>
      </c>
      <c r="D235" s="1" t="s">
        <v>19</v>
      </c>
      <c r="E235" s="1" t="s">
        <v>115</v>
      </c>
      <c r="F235" s="56">
        <v>4</v>
      </c>
      <c r="G235" s="56"/>
      <c r="H235" s="121"/>
      <c r="I235" s="56">
        <v>9.14</v>
      </c>
      <c r="J235" s="121">
        <f t="shared" si="47"/>
        <v>11.639790000000001</v>
      </c>
      <c r="K235" s="125">
        <f t="shared" si="44"/>
        <v>46.559160000000006</v>
      </c>
      <c r="L235" s="125">
        <f t="shared" si="46"/>
        <v>0</v>
      </c>
      <c r="M235" s="125"/>
      <c r="N235" s="126">
        <f t="shared" si="45"/>
        <v>46.559160000000006</v>
      </c>
    </row>
    <row r="236" spans="1:14" ht="51">
      <c r="A236" s="140" t="s">
        <v>552</v>
      </c>
      <c r="B236" s="1" t="s">
        <v>553</v>
      </c>
      <c r="C236" s="117" t="s">
        <v>554</v>
      </c>
      <c r="D236" s="1" t="s">
        <v>19</v>
      </c>
      <c r="E236" s="1" t="s">
        <v>115</v>
      </c>
      <c r="F236" s="56">
        <v>17</v>
      </c>
      <c r="G236" s="56"/>
      <c r="H236" s="121"/>
      <c r="I236" s="56">
        <v>13.97</v>
      </c>
      <c r="J236" s="121">
        <f t="shared" si="47"/>
        <v>17.790795000000003</v>
      </c>
      <c r="K236" s="125">
        <f t="shared" si="44"/>
        <v>302.44351500000005</v>
      </c>
      <c r="L236" s="125">
        <f t="shared" si="46"/>
        <v>0</v>
      </c>
      <c r="M236" s="125"/>
      <c r="N236" s="126">
        <f t="shared" si="45"/>
        <v>302.44351500000005</v>
      </c>
    </row>
    <row r="237" spans="1:14" ht="51">
      <c r="A237" s="140" t="s">
        <v>555</v>
      </c>
      <c r="B237" s="1" t="s">
        <v>556</v>
      </c>
      <c r="C237" s="117" t="s">
        <v>557</v>
      </c>
      <c r="D237" s="1" t="s">
        <v>19</v>
      </c>
      <c r="E237" s="1" t="s">
        <v>115</v>
      </c>
      <c r="F237" s="56">
        <v>11</v>
      </c>
      <c r="G237" s="56"/>
      <c r="H237" s="121"/>
      <c r="I237" s="56">
        <v>11.55</v>
      </c>
      <c r="J237" s="121">
        <f t="shared" si="47"/>
        <v>14.708925000000002</v>
      </c>
      <c r="K237" s="125">
        <f t="shared" si="44"/>
        <v>161.79817500000001</v>
      </c>
      <c r="L237" s="125">
        <f t="shared" si="46"/>
        <v>0</v>
      </c>
      <c r="M237" s="125"/>
      <c r="N237" s="126">
        <f t="shared" si="45"/>
        <v>161.79817500000001</v>
      </c>
    </row>
    <row r="238" spans="1:14" ht="25.5">
      <c r="A238" s="140" t="s">
        <v>558</v>
      </c>
      <c r="B238" s="1" t="s">
        <v>559</v>
      </c>
      <c r="C238" s="117" t="s">
        <v>560</v>
      </c>
      <c r="D238" s="1" t="s">
        <v>19</v>
      </c>
      <c r="E238" s="1" t="s">
        <v>115</v>
      </c>
      <c r="F238" s="56">
        <v>1</v>
      </c>
      <c r="G238" s="56"/>
      <c r="H238" s="121"/>
      <c r="I238" s="56">
        <v>12.86</v>
      </c>
      <c r="J238" s="121">
        <f t="shared" si="47"/>
        <v>16.377210000000002</v>
      </c>
      <c r="K238" s="125">
        <f t="shared" si="44"/>
        <v>16.377210000000002</v>
      </c>
      <c r="L238" s="125">
        <f t="shared" si="46"/>
        <v>0</v>
      </c>
      <c r="M238" s="125"/>
      <c r="N238" s="126">
        <f t="shared" si="45"/>
        <v>16.377210000000002</v>
      </c>
    </row>
    <row r="239" spans="1:14" ht="25.5">
      <c r="A239" s="140" t="s">
        <v>561</v>
      </c>
      <c r="B239" s="1" t="s">
        <v>562</v>
      </c>
      <c r="C239" s="117" t="s">
        <v>563</v>
      </c>
      <c r="D239" s="1" t="s">
        <v>19</v>
      </c>
      <c r="E239" s="1" t="s">
        <v>115</v>
      </c>
      <c r="F239" s="56">
        <v>4</v>
      </c>
      <c r="G239" s="56"/>
      <c r="H239" s="121"/>
      <c r="I239" s="56">
        <v>14.75</v>
      </c>
      <c r="J239" s="121">
        <f t="shared" si="47"/>
        <v>18.784125</v>
      </c>
      <c r="K239" s="125">
        <f t="shared" si="44"/>
        <v>75.136499999999998</v>
      </c>
      <c r="L239" s="125">
        <f t="shared" si="46"/>
        <v>0</v>
      </c>
      <c r="M239" s="125"/>
      <c r="N239" s="126">
        <f t="shared" si="45"/>
        <v>75.136499999999998</v>
      </c>
    </row>
    <row r="240" spans="1:14">
      <c r="A240" s="140"/>
      <c r="B240" s="2"/>
      <c r="C240" s="118"/>
      <c r="D240" s="2"/>
      <c r="E240" s="2"/>
      <c r="F240" s="57"/>
      <c r="G240" s="122"/>
      <c r="H240" s="122"/>
      <c r="I240" s="57"/>
      <c r="J240" s="122"/>
      <c r="K240" s="127">
        <f>SUM(K180:K239)</f>
        <v>30647.858192099982</v>
      </c>
      <c r="L240" s="127">
        <f>SUM(L180:L239)</f>
        <v>0</v>
      </c>
      <c r="M240" s="127"/>
      <c r="N240" s="128">
        <f>SUM(N180:N239)</f>
        <v>30647.858192099982</v>
      </c>
    </row>
    <row r="241" spans="1:14" s="144" customFormat="1">
      <c r="A241" s="140"/>
      <c r="B241" s="162"/>
      <c r="C241" s="163"/>
      <c r="D241" s="141"/>
      <c r="E241" s="141"/>
      <c r="F241" s="142"/>
      <c r="G241" s="143"/>
      <c r="H241" s="143"/>
      <c r="I241" s="142"/>
      <c r="J241" s="143"/>
      <c r="K241" s="164"/>
      <c r="L241" s="125">
        <f t="shared" si="46"/>
        <v>0</v>
      </c>
      <c r="M241" s="164"/>
      <c r="N241" s="165"/>
    </row>
    <row r="242" spans="1:14" ht="20.100000000000001" customHeight="1">
      <c r="A242" s="230" t="s">
        <v>564</v>
      </c>
      <c r="B242" s="367" t="s">
        <v>565</v>
      </c>
      <c r="C242" s="368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24"/>
    </row>
    <row r="243" spans="1:14" ht="25.5">
      <c r="A243" s="140" t="s">
        <v>566</v>
      </c>
      <c r="B243" s="1" t="s">
        <v>567</v>
      </c>
      <c r="C243" s="117" t="s">
        <v>568</v>
      </c>
      <c r="D243" s="1" t="s">
        <v>19</v>
      </c>
      <c r="E243" s="1" t="s">
        <v>67</v>
      </c>
      <c r="F243" s="56">
        <v>2197.91</v>
      </c>
      <c r="G243" s="56"/>
      <c r="H243" s="121"/>
      <c r="I243" s="56">
        <v>2.1800000000000002</v>
      </c>
      <c r="J243" s="121">
        <f t="shared" ref="J243:J251" si="48">I243*$O$10</f>
        <v>2.7762300000000004</v>
      </c>
      <c r="K243" s="125">
        <f t="shared" ref="K243:K251" si="49">J243*F243</f>
        <v>6101.9036793000005</v>
      </c>
      <c r="L243" s="125">
        <f t="shared" si="46"/>
        <v>0</v>
      </c>
      <c r="M243" s="125"/>
      <c r="N243" s="126">
        <f t="shared" ref="N243:N251" si="50">K243+L243+M243</f>
        <v>6101.9036793000005</v>
      </c>
    </row>
    <row r="244" spans="1:14" ht="25.5">
      <c r="A244" s="140" t="s">
        <v>569</v>
      </c>
      <c r="B244" s="1" t="s">
        <v>570</v>
      </c>
      <c r="C244" s="117" t="s">
        <v>571</v>
      </c>
      <c r="D244" s="1" t="s">
        <v>19</v>
      </c>
      <c r="E244" s="1" t="s">
        <v>67</v>
      </c>
      <c r="F244" s="56">
        <v>653.14</v>
      </c>
      <c r="G244" s="56"/>
      <c r="H244" s="121"/>
      <c r="I244" s="56">
        <v>1.89</v>
      </c>
      <c r="J244" s="121">
        <f t="shared" si="48"/>
        <v>2.4069150000000001</v>
      </c>
      <c r="K244" s="125">
        <f t="shared" si="49"/>
        <v>1572.0524631000001</v>
      </c>
      <c r="L244" s="125">
        <f t="shared" si="46"/>
        <v>0</v>
      </c>
      <c r="M244" s="125"/>
      <c r="N244" s="126">
        <f t="shared" si="50"/>
        <v>1572.0524631000001</v>
      </c>
    </row>
    <row r="245" spans="1:14" ht="25.5">
      <c r="A245" s="140" t="s">
        <v>572</v>
      </c>
      <c r="B245" s="1" t="s">
        <v>573</v>
      </c>
      <c r="C245" s="117" t="s">
        <v>574</v>
      </c>
      <c r="D245" s="1" t="s">
        <v>19</v>
      </c>
      <c r="E245" s="1" t="s">
        <v>67</v>
      </c>
      <c r="F245" s="56">
        <v>653.14</v>
      </c>
      <c r="G245" s="56"/>
      <c r="H245" s="121"/>
      <c r="I245" s="56">
        <v>13.66</v>
      </c>
      <c r="J245" s="121">
        <f t="shared" si="48"/>
        <v>17.39601</v>
      </c>
      <c r="K245" s="125">
        <f t="shared" si="49"/>
        <v>11362.029971399999</v>
      </c>
      <c r="L245" s="125">
        <f t="shared" si="46"/>
        <v>0</v>
      </c>
      <c r="M245" s="125"/>
      <c r="N245" s="126">
        <f t="shared" si="50"/>
        <v>11362.029971399999</v>
      </c>
    </row>
    <row r="246" spans="1:14" ht="39.75" customHeight="1">
      <c r="A246" s="140" t="s">
        <v>575</v>
      </c>
      <c r="B246" s="1" t="s">
        <v>576</v>
      </c>
      <c r="C246" s="117" t="s">
        <v>577</v>
      </c>
      <c r="D246" s="1" t="s">
        <v>10</v>
      </c>
      <c r="E246" s="1" t="s">
        <v>11</v>
      </c>
      <c r="F246" s="56">
        <v>1933.7</v>
      </c>
      <c r="G246" s="56"/>
      <c r="H246" s="121"/>
      <c r="I246" s="56">
        <v>13.49</v>
      </c>
      <c r="J246" s="121">
        <f t="shared" si="48"/>
        <v>17.179515000000002</v>
      </c>
      <c r="K246" s="125">
        <f t="shared" si="49"/>
        <v>33220.028155500004</v>
      </c>
      <c r="L246" s="125">
        <f t="shared" si="46"/>
        <v>0</v>
      </c>
      <c r="M246" s="125"/>
      <c r="N246" s="126">
        <f t="shared" si="50"/>
        <v>33220.028155500004</v>
      </c>
    </row>
    <row r="247" spans="1:14" ht="25.5">
      <c r="A247" s="140" t="s">
        <v>578</v>
      </c>
      <c r="B247" s="1" t="s">
        <v>579</v>
      </c>
      <c r="C247" s="117" t="s">
        <v>580</v>
      </c>
      <c r="D247" s="1" t="s">
        <v>19</v>
      </c>
      <c r="E247" s="1" t="s">
        <v>67</v>
      </c>
      <c r="F247" s="56">
        <v>2197.91</v>
      </c>
      <c r="G247" s="56"/>
      <c r="H247" s="121"/>
      <c r="I247" s="56">
        <v>9.89</v>
      </c>
      <c r="J247" s="121">
        <f t="shared" si="48"/>
        <v>12.594915000000002</v>
      </c>
      <c r="K247" s="125">
        <f t="shared" si="49"/>
        <v>27682.489627650004</v>
      </c>
      <c r="L247" s="125">
        <f t="shared" si="46"/>
        <v>0</v>
      </c>
      <c r="M247" s="125"/>
      <c r="N247" s="126">
        <f t="shared" si="50"/>
        <v>27682.489627650004</v>
      </c>
    </row>
    <row r="248" spans="1:14" ht="25.5">
      <c r="A248" s="140" t="s">
        <v>581</v>
      </c>
      <c r="B248" s="1" t="s">
        <v>582</v>
      </c>
      <c r="C248" s="117" t="s">
        <v>583</v>
      </c>
      <c r="D248" s="1" t="s">
        <v>19</v>
      </c>
      <c r="E248" s="1" t="s">
        <v>67</v>
      </c>
      <c r="F248" s="56">
        <v>653.14</v>
      </c>
      <c r="G248" s="56"/>
      <c r="H248" s="121"/>
      <c r="I248" s="56">
        <v>11.23</v>
      </c>
      <c r="J248" s="121">
        <f t="shared" si="48"/>
        <v>14.301405000000001</v>
      </c>
      <c r="K248" s="125">
        <f t="shared" si="49"/>
        <v>9340.8196617000012</v>
      </c>
      <c r="L248" s="125">
        <f t="shared" si="46"/>
        <v>0</v>
      </c>
      <c r="M248" s="125"/>
      <c r="N248" s="126">
        <f t="shared" si="50"/>
        <v>9340.8196617000012</v>
      </c>
    </row>
    <row r="249" spans="1:14" ht="38.25">
      <c r="A249" s="140" t="s">
        <v>584</v>
      </c>
      <c r="B249" s="1" t="s">
        <v>585</v>
      </c>
      <c r="C249" s="117" t="s">
        <v>586</v>
      </c>
      <c r="D249" s="1" t="s">
        <v>19</v>
      </c>
      <c r="E249" s="1" t="s">
        <v>67</v>
      </c>
      <c r="F249" s="56">
        <v>69.72</v>
      </c>
      <c r="G249" s="56"/>
      <c r="H249" s="121"/>
      <c r="I249" s="56">
        <v>9.9700000000000006</v>
      </c>
      <c r="J249" s="121">
        <f t="shared" si="48"/>
        <v>12.696795000000002</v>
      </c>
      <c r="K249" s="125">
        <f t="shared" si="49"/>
        <v>885.2205474000001</v>
      </c>
      <c r="L249" s="125">
        <f t="shared" si="46"/>
        <v>0</v>
      </c>
      <c r="M249" s="125"/>
      <c r="N249" s="126">
        <f t="shared" si="50"/>
        <v>885.2205474000001</v>
      </c>
    </row>
    <row r="250" spans="1:14" ht="63.75">
      <c r="A250" s="140" t="s">
        <v>587</v>
      </c>
      <c r="B250" s="1" t="s">
        <v>588</v>
      </c>
      <c r="C250" s="117" t="s">
        <v>589</v>
      </c>
      <c r="D250" s="1" t="s">
        <v>19</v>
      </c>
      <c r="E250" s="1" t="s">
        <v>67</v>
      </c>
      <c r="F250" s="56">
        <v>64.91</v>
      </c>
      <c r="G250" s="56"/>
      <c r="H250" s="121"/>
      <c r="I250" s="56">
        <v>8.27</v>
      </c>
      <c r="J250" s="121">
        <f t="shared" si="48"/>
        <v>10.531845000000001</v>
      </c>
      <c r="K250" s="125">
        <f t="shared" si="49"/>
        <v>683.62205895</v>
      </c>
      <c r="L250" s="125">
        <f t="shared" si="46"/>
        <v>0</v>
      </c>
      <c r="M250" s="125"/>
      <c r="N250" s="126">
        <f t="shared" si="50"/>
        <v>683.62205895</v>
      </c>
    </row>
    <row r="251" spans="1:14" ht="51">
      <c r="A251" s="140" t="s">
        <v>590</v>
      </c>
      <c r="B251" s="1" t="s">
        <v>591</v>
      </c>
      <c r="C251" s="117" t="s">
        <v>592</v>
      </c>
      <c r="D251" s="1" t="s">
        <v>19</v>
      </c>
      <c r="E251" s="1" t="s">
        <v>67</v>
      </c>
      <c r="F251" s="56">
        <v>64.91</v>
      </c>
      <c r="G251" s="56"/>
      <c r="H251" s="121"/>
      <c r="I251" s="56">
        <v>6.5</v>
      </c>
      <c r="J251" s="121">
        <f t="shared" si="48"/>
        <v>8.2777500000000011</v>
      </c>
      <c r="K251" s="125">
        <f t="shared" si="49"/>
        <v>537.30875250000008</v>
      </c>
      <c r="L251" s="125">
        <f t="shared" si="46"/>
        <v>0</v>
      </c>
      <c r="M251" s="125"/>
      <c r="N251" s="126">
        <f t="shared" si="50"/>
        <v>537.30875250000008</v>
      </c>
    </row>
    <row r="252" spans="1:14">
      <c r="A252" s="140"/>
      <c r="B252" s="2"/>
      <c r="C252" s="118"/>
      <c r="D252" s="2"/>
      <c r="E252" s="2"/>
      <c r="F252" s="57"/>
      <c r="G252" s="122"/>
      <c r="H252" s="122"/>
      <c r="I252" s="57"/>
      <c r="J252" s="122"/>
      <c r="K252" s="127">
        <f>SUM(K243:K251)</f>
        <v>91385.474917500003</v>
      </c>
      <c r="L252" s="127">
        <f>SUM(L243:L251)</f>
        <v>0</v>
      </c>
      <c r="M252" s="127"/>
      <c r="N252" s="128">
        <f>SUM(N243:N251)</f>
        <v>91385.474917500003</v>
      </c>
    </row>
    <row r="253" spans="1:14" s="144" customFormat="1">
      <c r="A253" s="140"/>
      <c r="B253" s="162"/>
      <c r="C253" s="163"/>
      <c r="D253" s="141"/>
      <c r="E253" s="141"/>
      <c r="F253" s="142"/>
      <c r="G253" s="143"/>
      <c r="H253" s="143"/>
      <c r="I253" s="142"/>
      <c r="J253" s="143"/>
      <c r="K253" s="164"/>
      <c r="L253" s="125">
        <f t="shared" si="46"/>
        <v>0</v>
      </c>
      <c r="M253" s="164"/>
      <c r="N253" s="165"/>
    </row>
    <row r="254" spans="1:14" ht="20.100000000000001" customHeight="1">
      <c r="A254" s="230" t="s">
        <v>593</v>
      </c>
      <c r="B254" s="367" t="s">
        <v>594</v>
      </c>
      <c r="C254" s="368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24"/>
    </row>
    <row r="255" spans="1:14">
      <c r="A255" s="140" t="s">
        <v>595</v>
      </c>
      <c r="B255" s="1" t="s">
        <v>596</v>
      </c>
      <c r="C255" s="117" t="s">
        <v>597</v>
      </c>
      <c r="D255" s="1" t="s">
        <v>10</v>
      </c>
      <c r="E255" s="1" t="s">
        <v>11</v>
      </c>
      <c r="F255" s="56">
        <v>1046.48</v>
      </c>
      <c r="G255" s="56"/>
      <c r="H255" s="121"/>
      <c r="I255" s="56">
        <v>1.86</v>
      </c>
      <c r="J255" s="121">
        <f>I255*$O$10</f>
        <v>2.3687100000000001</v>
      </c>
      <c r="K255" s="125">
        <f t="shared" ref="K255:K265" si="51">J255*F255</f>
        <v>2478.8076408000002</v>
      </c>
      <c r="L255" s="125">
        <f t="shared" si="46"/>
        <v>0</v>
      </c>
      <c r="M255" s="125"/>
      <c r="N255" s="126">
        <f t="shared" ref="N255:N266" si="52">K255+L255+M255</f>
        <v>2478.8076408000002</v>
      </c>
    </row>
    <row r="256" spans="1:14">
      <c r="A256" s="140" t="s">
        <v>598</v>
      </c>
      <c r="B256" s="1" t="s">
        <v>599</v>
      </c>
      <c r="C256" s="117" t="s">
        <v>600</v>
      </c>
      <c r="D256" s="1" t="s">
        <v>10</v>
      </c>
      <c r="E256" s="1" t="s">
        <v>131</v>
      </c>
      <c r="F256" s="56">
        <v>7</v>
      </c>
      <c r="G256" s="56"/>
      <c r="H256" s="121"/>
      <c r="I256" s="56">
        <v>466.47</v>
      </c>
      <c r="J256" s="121">
        <f>I256*$O$10</f>
        <v>594.04954500000008</v>
      </c>
      <c r="K256" s="125">
        <f t="shared" si="51"/>
        <v>4158.3468150000008</v>
      </c>
      <c r="L256" s="125">
        <f t="shared" si="46"/>
        <v>0</v>
      </c>
      <c r="M256" s="125"/>
      <c r="N256" s="126">
        <f t="shared" si="52"/>
        <v>4158.3468150000008</v>
      </c>
    </row>
    <row r="257" spans="1:16" s="137" customFormat="1" ht="76.5">
      <c r="A257" s="140" t="s">
        <v>807</v>
      </c>
      <c r="B257" s="133">
        <v>87503</v>
      </c>
      <c r="C257" s="139" t="s">
        <v>66</v>
      </c>
      <c r="D257" s="133" t="s">
        <v>19</v>
      </c>
      <c r="E257" s="133" t="s">
        <v>67</v>
      </c>
      <c r="F257" s="135">
        <v>0</v>
      </c>
      <c r="G257" s="136">
        <v>26.54</v>
      </c>
      <c r="H257" s="136">
        <f>G257-F257</f>
        <v>26.54</v>
      </c>
      <c r="I257" s="135">
        <v>52.58</v>
      </c>
      <c r="J257" s="136">
        <f t="shared" ref="J257:J265" si="53">I257*$O$10*$P$7</f>
        <v>58.255748099999998</v>
      </c>
      <c r="K257" s="125">
        <f t="shared" si="51"/>
        <v>0</v>
      </c>
      <c r="L257" s="125">
        <f t="shared" si="46"/>
        <v>1546.107554574</v>
      </c>
      <c r="M257" s="125"/>
      <c r="N257" s="126">
        <f t="shared" si="52"/>
        <v>1546.107554574</v>
      </c>
      <c r="O257" s="144"/>
      <c r="P257" s="144"/>
    </row>
    <row r="258" spans="1:16" s="137" customFormat="1" ht="38.25">
      <c r="A258" s="140" t="s">
        <v>808</v>
      </c>
      <c r="B258" s="133">
        <v>94319</v>
      </c>
      <c r="C258" s="139" t="s">
        <v>28</v>
      </c>
      <c r="D258" s="133" t="s">
        <v>19</v>
      </c>
      <c r="E258" s="133" t="s">
        <v>29</v>
      </c>
      <c r="F258" s="135">
        <v>0</v>
      </c>
      <c r="G258" s="136">
        <v>30.48</v>
      </c>
      <c r="H258" s="136">
        <f t="shared" ref="H258:H265" si="54">G258-F258</f>
        <v>30.48</v>
      </c>
      <c r="I258" s="135">
        <v>30.08</v>
      </c>
      <c r="J258" s="136">
        <f t="shared" si="53"/>
        <v>33.3269856</v>
      </c>
      <c r="K258" s="125">
        <f t="shared" si="51"/>
        <v>0</v>
      </c>
      <c r="L258" s="125">
        <f t="shared" si="46"/>
        <v>1015.8065210880001</v>
      </c>
      <c r="M258" s="125"/>
      <c r="N258" s="126">
        <f t="shared" si="52"/>
        <v>1015.8065210880001</v>
      </c>
      <c r="O258" s="144"/>
      <c r="P258" s="144"/>
    </row>
    <row r="259" spans="1:16" s="137" customFormat="1" ht="60">
      <c r="A259" s="140" t="s">
        <v>809</v>
      </c>
      <c r="B259" s="133">
        <v>94992</v>
      </c>
      <c r="C259" s="138" t="s">
        <v>875</v>
      </c>
      <c r="D259" s="133" t="s">
        <v>19</v>
      </c>
      <c r="E259" s="133" t="s">
        <v>67</v>
      </c>
      <c r="F259" s="135">
        <v>0</v>
      </c>
      <c r="G259" s="136">
        <v>40.64</v>
      </c>
      <c r="H259" s="136">
        <f t="shared" si="54"/>
        <v>40.64</v>
      </c>
      <c r="I259" s="135">
        <v>65.216600999999997</v>
      </c>
      <c r="J259" s="136">
        <f t="shared" si="53"/>
        <v>72.25640699494501</v>
      </c>
      <c r="K259" s="125">
        <f t="shared" si="51"/>
        <v>0</v>
      </c>
      <c r="L259" s="125">
        <f t="shared" si="46"/>
        <v>2936.500380274565</v>
      </c>
      <c r="M259" s="125"/>
      <c r="N259" s="126">
        <f t="shared" si="52"/>
        <v>2936.500380274565</v>
      </c>
      <c r="O259" s="144"/>
      <c r="P259" s="144"/>
    </row>
    <row r="260" spans="1:16" s="137" customFormat="1" ht="51">
      <c r="A260" s="140" t="s">
        <v>810</v>
      </c>
      <c r="B260" s="133">
        <v>87632</v>
      </c>
      <c r="C260" s="139" t="s">
        <v>151</v>
      </c>
      <c r="D260" s="133" t="s">
        <v>19</v>
      </c>
      <c r="E260" s="133" t="s">
        <v>67</v>
      </c>
      <c r="F260" s="135">
        <v>0</v>
      </c>
      <c r="G260" s="136">
        <v>40.64</v>
      </c>
      <c r="H260" s="136">
        <f t="shared" si="54"/>
        <v>40.64</v>
      </c>
      <c r="I260" s="135">
        <v>27.26</v>
      </c>
      <c r="J260" s="136">
        <f t="shared" si="53"/>
        <v>30.202580700000006</v>
      </c>
      <c r="K260" s="125">
        <f t="shared" si="51"/>
        <v>0</v>
      </c>
      <c r="L260" s="125">
        <f t="shared" si="46"/>
        <v>1227.4328796480002</v>
      </c>
      <c r="M260" s="125"/>
      <c r="N260" s="126">
        <f t="shared" si="52"/>
        <v>1227.4328796480002</v>
      </c>
      <c r="O260" s="144"/>
      <c r="P260" s="144"/>
    </row>
    <row r="261" spans="1:16" s="137" customFormat="1" ht="51">
      <c r="A261" s="140" t="s">
        <v>811</v>
      </c>
      <c r="B261" s="133">
        <v>87879</v>
      </c>
      <c r="C261" s="139" t="s">
        <v>171</v>
      </c>
      <c r="D261" s="133" t="s">
        <v>19</v>
      </c>
      <c r="E261" s="133" t="s">
        <v>67</v>
      </c>
      <c r="F261" s="135">
        <v>0</v>
      </c>
      <c r="G261" s="136">
        <v>18.989999999999998</v>
      </c>
      <c r="H261" s="136">
        <f t="shared" si="54"/>
        <v>18.989999999999998</v>
      </c>
      <c r="I261" s="135">
        <v>2.64</v>
      </c>
      <c r="J261" s="136">
        <f t="shared" si="53"/>
        <v>2.9249748000000002</v>
      </c>
      <c r="K261" s="125">
        <f t="shared" si="51"/>
        <v>0</v>
      </c>
      <c r="L261" s="125">
        <f t="shared" si="46"/>
        <v>55.545271452000001</v>
      </c>
      <c r="M261" s="125"/>
      <c r="N261" s="126">
        <f t="shared" si="52"/>
        <v>55.545271452000001</v>
      </c>
      <c r="O261" s="144"/>
      <c r="P261" s="144"/>
    </row>
    <row r="262" spans="1:16" s="137" customFormat="1" ht="63.75">
      <c r="A262" s="140" t="s">
        <v>812</v>
      </c>
      <c r="B262" s="133">
        <v>87547</v>
      </c>
      <c r="C262" s="139" t="s">
        <v>174</v>
      </c>
      <c r="D262" s="133" t="s">
        <v>19</v>
      </c>
      <c r="E262" s="133" t="s">
        <v>67</v>
      </c>
      <c r="F262" s="135">
        <v>0</v>
      </c>
      <c r="G262" s="136">
        <v>18.989999999999998</v>
      </c>
      <c r="H262" s="136">
        <f t="shared" si="54"/>
        <v>18.989999999999998</v>
      </c>
      <c r="I262" s="135">
        <v>14.42</v>
      </c>
      <c r="J262" s="136">
        <f t="shared" si="53"/>
        <v>15.976566900000002</v>
      </c>
      <c r="K262" s="125">
        <f t="shared" si="51"/>
        <v>0</v>
      </c>
      <c r="L262" s="125">
        <f t="shared" si="46"/>
        <v>303.39500543100002</v>
      </c>
      <c r="M262" s="125"/>
      <c r="N262" s="126">
        <f t="shared" si="52"/>
        <v>303.39500543100002</v>
      </c>
      <c r="O262" s="144"/>
      <c r="P262" s="144"/>
    </row>
    <row r="263" spans="1:16" s="137" customFormat="1" ht="45.75" customHeight="1">
      <c r="A263" s="140" t="s">
        <v>813</v>
      </c>
      <c r="B263" s="133" t="s">
        <v>576</v>
      </c>
      <c r="C263" s="139" t="s">
        <v>577</v>
      </c>
      <c r="D263" s="133" t="s">
        <v>10</v>
      </c>
      <c r="E263" s="133" t="s">
        <v>11</v>
      </c>
      <c r="F263" s="135">
        <v>0</v>
      </c>
      <c r="G263" s="136">
        <v>18.989999999999998</v>
      </c>
      <c r="H263" s="136">
        <f t="shared" si="54"/>
        <v>18.989999999999998</v>
      </c>
      <c r="I263" s="135">
        <v>13.49</v>
      </c>
      <c r="J263" s="136">
        <f t="shared" si="53"/>
        <v>14.946178050000002</v>
      </c>
      <c r="K263" s="125">
        <f t="shared" si="51"/>
        <v>0</v>
      </c>
      <c r="L263" s="125">
        <f t="shared" si="46"/>
        <v>283.82792116950003</v>
      </c>
      <c r="M263" s="125"/>
      <c r="N263" s="126">
        <f t="shared" si="52"/>
        <v>283.82792116950003</v>
      </c>
      <c r="O263" s="144"/>
      <c r="P263" s="144"/>
    </row>
    <row r="264" spans="1:16" s="137" customFormat="1" ht="25.5">
      <c r="A264" s="140" t="s">
        <v>814</v>
      </c>
      <c r="B264" s="133">
        <v>88485</v>
      </c>
      <c r="C264" s="139" t="s">
        <v>571</v>
      </c>
      <c r="D264" s="133" t="s">
        <v>19</v>
      </c>
      <c r="E264" s="133" t="s">
        <v>67</v>
      </c>
      <c r="F264" s="135">
        <v>0</v>
      </c>
      <c r="G264" s="136">
        <v>18.989999999999998</v>
      </c>
      <c r="H264" s="136">
        <f t="shared" si="54"/>
        <v>18.989999999999998</v>
      </c>
      <c r="I264" s="135">
        <v>1.89</v>
      </c>
      <c r="J264" s="136">
        <f t="shared" si="53"/>
        <v>2.09401605</v>
      </c>
      <c r="K264" s="125">
        <f t="shared" si="51"/>
        <v>0</v>
      </c>
      <c r="L264" s="125">
        <f t="shared" si="46"/>
        <v>39.765364789499998</v>
      </c>
      <c r="M264" s="125"/>
      <c r="N264" s="126">
        <f t="shared" si="52"/>
        <v>39.765364789499998</v>
      </c>
      <c r="O264" s="144"/>
      <c r="P264" s="144"/>
    </row>
    <row r="265" spans="1:16" s="137" customFormat="1" ht="25.5">
      <c r="A265" s="140" t="s">
        <v>815</v>
      </c>
      <c r="B265" s="133">
        <v>88489</v>
      </c>
      <c r="C265" s="139" t="s">
        <v>580</v>
      </c>
      <c r="D265" s="133" t="s">
        <v>19</v>
      </c>
      <c r="E265" s="133" t="s">
        <v>67</v>
      </c>
      <c r="F265" s="135">
        <v>0</v>
      </c>
      <c r="G265" s="136">
        <v>18.989999999999998</v>
      </c>
      <c r="H265" s="136">
        <f t="shared" si="54"/>
        <v>18.989999999999998</v>
      </c>
      <c r="I265" s="135">
        <v>9.89</v>
      </c>
      <c r="J265" s="136">
        <f t="shared" si="53"/>
        <v>10.957576050000002</v>
      </c>
      <c r="K265" s="125">
        <f t="shared" si="51"/>
        <v>0</v>
      </c>
      <c r="L265" s="125">
        <f t="shared" si="46"/>
        <v>208.08436918950002</v>
      </c>
      <c r="M265" s="125"/>
      <c r="N265" s="126">
        <f t="shared" si="52"/>
        <v>208.08436918950002</v>
      </c>
      <c r="O265" s="144"/>
      <c r="P265" s="144"/>
    </row>
    <row r="266" spans="1:16" s="144" customFormat="1">
      <c r="A266" s="140"/>
      <c r="B266" s="141"/>
      <c r="C266" s="176"/>
      <c r="D266" s="141"/>
      <c r="E266" s="141"/>
      <c r="F266" s="142"/>
      <c r="G266" s="143"/>
      <c r="H266" s="143"/>
      <c r="I266" s="142"/>
      <c r="J266" s="143"/>
      <c r="K266" s="177"/>
      <c r="L266" s="125">
        <f t="shared" si="46"/>
        <v>0</v>
      </c>
      <c r="M266" s="177"/>
      <c r="N266" s="126">
        <f t="shared" si="52"/>
        <v>0</v>
      </c>
    </row>
    <row r="267" spans="1:16">
      <c r="A267" s="140"/>
      <c r="B267" s="2"/>
      <c r="C267" s="118"/>
      <c r="D267" s="2"/>
      <c r="E267" s="2"/>
      <c r="F267" s="57"/>
      <c r="G267" s="122"/>
      <c r="H267" s="122"/>
      <c r="I267" s="57"/>
      <c r="J267" s="122"/>
      <c r="K267" s="127">
        <f>SUM(K255:K265)</f>
        <v>6637.1544558000005</v>
      </c>
      <c r="L267" s="127">
        <f>SUM(L255:L265)</f>
        <v>7616.4652676160649</v>
      </c>
      <c r="M267" s="127"/>
      <c r="N267" s="128">
        <f>SUM(N255:N266)</f>
        <v>14253.619723416068</v>
      </c>
      <c r="P267" s="158"/>
    </row>
    <row r="268" spans="1:16" ht="19.5" thickBot="1">
      <c r="A268" s="231"/>
      <c r="B268" s="189"/>
      <c r="C268" s="189"/>
      <c r="D268" s="189"/>
      <c r="E268" s="189"/>
      <c r="F268" s="189"/>
      <c r="G268" s="189"/>
      <c r="H268" s="189"/>
      <c r="I268" s="189"/>
      <c r="J268" s="179"/>
      <c r="K268" s="180"/>
      <c r="L268" s="129"/>
      <c r="M268" s="129"/>
      <c r="N268" s="129"/>
    </row>
    <row r="269" spans="1:16" ht="19.5" thickBot="1">
      <c r="A269" s="232"/>
      <c r="B269" s="188"/>
      <c r="C269" s="188"/>
      <c r="D269" s="188"/>
      <c r="E269" s="188"/>
      <c r="F269" s="188"/>
      <c r="G269" s="188"/>
      <c r="H269" s="188"/>
      <c r="I269" s="188"/>
      <c r="J269" s="191"/>
      <c r="K269" s="196">
        <f>SUM(K9:K267)/2</f>
        <v>1292576.3966884508</v>
      </c>
      <c r="L269" s="194">
        <f>SUM(L9:L267)/2</f>
        <v>138137.39048712741</v>
      </c>
      <c r="M269" s="182">
        <f>SUM(M9:M267)/2</f>
        <v>-42513.212167650003</v>
      </c>
      <c r="N269" s="178">
        <f>SUM(N9:N267)/2</f>
        <v>1388200.5750079281</v>
      </c>
    </row>
    <row r="270" spans="1:16" ht="19.5" thickBot="1">
      <c r="A270" s="232"/>
      <c r="B270" s="188"/>
      <c r="C270" s="188"/>
      <c r="D270" s="188"/>
      <c r="E270" s="188"/>
      <c r="F270" s="188"/>
      <c r="G270" s="188"/>
      <c r="H270" s="188"/>
      <c r="I270" s="188"/>
      <c r="J270" s="192"/>
      <c r="K270" s="197" t="s">
        <v>1024</v>
      </c>
      <c r="L270" s="195" t="s">
        <v>1019</v>
      </c>
      <c r="M270" s="193" t="s">
        <v>1018</v>
      </c>
      <c r="N270" s="198" t="s">
        <v>792</v>
      </c>
    </row>
    <row r="271" spans="1:16" ht="15" customHeight="1">
      <c r="A271" s="232"/>
      <c r="B271" s="188"/>
      <c r="C271" s="188"/>
      <c r="D271" s="188"/>
      <c r="E271" s="188"/>
      <c r="F271" s="188"/>
      <c r="G271" s="188"/>
      <c r="H271" s="188"/>
      <c r="I271" s="188"/>
      <c r="N271" s="145"/>
      <c r="O271" s="160"/>
    </row>
    <row r="272" spans="1:16" ht="15.75" thickBot="1">
      <c r="N272" s="145"/>
      <c r="O272" s="160"/>
    </row>
    <row r="273" spans="9:15" ht="15.75" thickBot="1">
      <c r="I273" s="227"/>
      <c r="J273" s="228" t="s">
        <v>1042</v>
      </c>
      <c r="K273" s="183">
        <f>L269</f>
        <v>138137.39048712741</v>
      </c>
      <c r="L273" s="185">
        <f>K273/K269</f>
        <v>0.10686980734061989</v>
      </c>
      <c r="M273" s="145"/>
      <c r="N273" s="145"/>
      <c r="O273" s="160"/>
    </row>
    <row r="274" spans="9:15" ht="19.5" thickBot="1">
      <c r="I274" s="225"/>
      <c r="J274" s="226" t="s">
        <v>1041</v>
      </c>
      <c r="K274" s="184">
        <f>M269</f>
        <v>-42513.212167650003</v>
      </c>
      <c r="L274" s="186">
        <f>K274/K269</f>
        <v>-3.2890289716389541E-2</v>
      </c>
      <c r="M274" s="171"/>
      <c r="N274" s="187"/>
      <c r="O274" s="159"/>
    </row>
    <row r="275" spans="9:15">
      <c r="N275" s="145"/>
      <c r="O275" s="160"/>
    </row>
    <row r="276" spans="9:15">
      <c r="N276" s="145"/>
      <c r="O276" s="160"/>
    </row>
    <row r="277" spans="9:15">
      <c r="N277" s="145"/>
      <c r="O277" s="160"/>
    </row>
    <row r="278" spans="9:15">
      <c r="N278" s="145"/>
      <c r="O278" s="160"/>
    </row>
    <row r="279" spans="9:15">
      <c r="N279" s="145"/>
      <c r="O279" s="160"/>
    </row>
    <row r="280" spans="9:15">
      <c r="N280" s="145"/>
      <c r="O280" s="160"/>
    </row>
    <row r="281" spans="9:15">
      <c r="N281" s="145"/>
      <c r="O281" s="160"/>
    </row>
    <row r="282" spans="9:15">
      <c r="N282" s="145"/>
      <c r="O282" s="160"/>
    </row>
    <row r="283" spans="9:15">
      <c r="N283" s="145"/>
      <c r="O283" s="160"/>
    </row>
    <row r="284" spans="9:15">
      <c r="N284" s="145"/>
      <c r="O284" s="160"/>
    </row>
    <row r="285" spans="9:15">
      <c r="N285" s="145"/>
      <c r="O285" s="160"/>
    </row>
    <row r="286" spans="9:15">
      <c r="N286" s="145"/>
      <c r="O286" s="160"/>
    </row>
    <row r="287" spans="9:15">
      <c r="N287" s="145"/>
      <c r="O287" s="160"/>
    </row>
    <row r="288" spans="9:15">
      <c r="N288" s="145"/>
      <c r="O288" s="160"/>
    </row>
    <row r="289" spans="14:15">
      <c r="N289" s="145"/>
      <c r="O289" s="160"/>
    </row>
    <row r="290" spans="14:15">
      <c r="N290" s="145"/>
      <c r="O290" s="160"/>
    </row>
    <row r="291" spans="14:15">
      <c r="N291" s="145"/>
      <c r="O291" s="160"/>
    </row>
    <row r="292" spans="14:15">
      <c r="N292" s="145"/>
      <c r="O292" s="160"/>
    </row>
    <row r="293" spans="14:15">
      <c r="N293" s="145"/>
      <c r="O293" s="160"/>
    </row>
    <row r="294" spans="14:15">
      <c r="N294" s="145"/>
      <c r="O294" s="160"/>
    </row>
    <row r="295" spans="14:15">
      <c r="N295" s="145"/>
      <c r="O295" s="160"/>
    </row>
    <row r="296" spans="14:15">
      <c r="N296" s="145"/>
      <c r="O296" s="160"/>
    </row>
    <row r="297" spans="14:15">
      <c r="N297" s="145"/>
      <c r="O297" s="160"/>
    </row>
    <row r="298" spans="14:15">
      <c r="N298" s="145"/>
      <c r="O298" s="160"/>
    </row>
    <row r="299" spans="14:15">
      <c r="N299" s="145"/>
      <c r="O299" s="160"/>
    </row>
    <row r="300" spans="14:15">
      <c r="N300" s="145"/>
      <c r="O300" s="160"/>
    </row>
    <row r="301" spans="14:15">
      <c r="N301" s="145"/>
      <c r="O301" s="160"/>
    </row>
    <row r="302" spans="14:15">
      <c r="N302" s="145"/>
      <c r="O302" s="160"/>
    </row>
    <row r="303" spans="14:15">
      <c r="N303" s="145"/>
      <c r="O303" s="160"/>
    </row>
    <row r="304" spans="14:15">
      <c r="N304" s="145"/>
      <c r="O304" s="160"/>
    </row>
    <row r="305" spans="14:15">
      <c r="N305" s="145"/>
      <c r="O305" s="160"/>
    </row>
    <row r="306" spans="14:15">
      <c r="N306" s="145"/>
      <c r="O306" s="160"/>
    </row>
    <row r="307" spans="14:15">
      <c r="N307" s="145"/>
      <c r="O307" s="160"/>
    </row>
    <row r="308" spans="14:15">
      <c r="N308" s="145"/>
      <c r="O308" s="160"/>
    </row>
    <row r="309" spans="14:15">
      <c r="N309" s="145"/>
      <c r="O309" s="160"/>
    </row>
    <row r="310" spans="14:15">
      <c r="N310" s="145"/>
      <c r="O310" s="160"/>
    </row>
    <row r="311" spans="14:15">
      <c r="N311" s="145"/>
      <c r="O311" s="160"/>
    </row>
    <row r="312" spans="14:15">
      <c r="N312" s="145"/>
      <c r="O312" s="160"/>
    </row>
    <row r="313" spans="14:15">
      <c r="N313" s="145"/>
      <c r="O313" s="160"/>
    </row>
    <row r="314" spans="14:15">
      <c r="N314" s="145"/>
      <c r="O314" s="160"/>
    </row>
    <row r="315" spans="14:15">
      <c r="N315" s="145"/>
      <c r="O315" s="160"/>
    </row>
    <row r="316" spans="14:15">
      <c r="N316" s="145"/>
      <c r="O316" s="160"/>
    </row>
    <row r="317" spans="14:15">
      <c r="N317" s="145"/>
      <c r="O317" s="160"/>
    </row>
    <row r="318" spans="14:15">
      <c r="N318" s="145"/>
      <c r="O318" s="160"/>
    </row>
    <row r="319" spans="14:15">
      <c r="N319" s="145"/>
      <c r="O319" s="160"/>
    </row>
    <row r="320" spans="14:15">
      <c r="N320" s="145"/>
      <c r="O320" s="160"/>
    </row>
    <row r="321" spans="14:15">
      <c r="N321" s="145"/>
      <c r="O321" s="160"/>
    </row>
    <row r="322" spans="14:15">
      <c r="N322" s="145"/>
      <c r="O322" s="160"/>
    </row>
    <row r="323" spans="14:15">
      <c r="N323" s="145"/>
      <c r="O323" s="160"/>
    </row>
    <row r="324" spans="14:15">
      <c r="N324" s="145"/>
      <c r="O324" s="160"/>
    </row>
    <row r="325" spans="14:15">
      <c r="N325" s="145"/>
      <c r="O325" s="160"/>
    </row>
    <row r="326" spans="14:15">
      <c r="N326" s="145"/>
      <c r="O326" s="160"/>
    </row>
    <row r="327" spans="14:15">
      <c r="N327" s="145"/>
      <c r="O327" s="160"/>
    </row>
    <row r="328" spans="14:15">
      <c r="N328" s="145"/>
      <c r="O328" s="160"/>
    </row>
    <row r="329" spans="14:15">
      <c r="N329" s="145"/>
      <c r="O329" s="160"/>
    </row>
    <row r="330" spans="14:15">
      <c r="N330" s="145"/>
      <c r="O330" s="160"/>
    </row>
    <row r="331" spans="14:15">
      <c r="N331" s="145"/>
      <c r="O331" s="160"/>
    </row>
    <row r="332" spans="14:15">
      <c r="N332" s="145"/>
      <c r="O332" s="160"/>
    </row>
    <row r="333" spans="14:15">
      <c r="N333" s="145"/>
      <c r="O333" s="160"/>
    </row>
    <row r="334" spans="14:15">
      <c r="N334" s="145"/>
      <c r="O334" s="160"/>
    </row>
    <row r="335" spans="14:15">
      <c r="N335" s="145"/>
      <c r="O335" s="160"/>
    </row>
    <row r="336" spans="14:15">
      <c r="N336" s="145"/>
      <c r="O336" s="160"/>
    </row>
    <row r="337" spans="14:15">
      <c r="N337" s="145"/>
      <c r="O337" s="160"/>
    </row>
    <row r="338" spans="14:15">
      <c r="N338" s="145"/>
      <c r="O338" s="160"/>
    </row>
    <row r="339" spans="14:15">
      <c r="N339" s="145"/>
      <c r="O339" s="160"/>
    </row>
    <row r="340" spans="14:15">
      <c r="N340" s="145"/>
      <c r="O340" s="160"/>
    </row>
    <row r="341" spans="14:15">
      <c r="N341" s="145"/>
      <c r="O341" s="160"/>
    </row>
    <row r="342" spans="14:15">
      <c r="N342" s="145"/>
      <c r="O342" s="160"/>
    </row>
    <row r="343" spans="14:15">
      <c r="N343" s="145"/>
      <c r="O343" s="160"/>
    </row>
    <row r="344" spans="14:15">
      <c r="N344" s="145"/>
      <c r="O344" s="160"/>
    </row>
    <row r="345" spans="14:15">
      <c r="N345" s="145"/>
      <c r="O345" s="160"/>
    </row>
    <row r="346" spans="14:15">
      <c r="N346" s="145"/>
      <c r="O346" s="160"/>
    </row>
    <row r="347" spans="14:15">
      <c r="N347" s="145"/>
      <c r="O347" s="160"/>
    </row>
    <row r="348" spans="14:15">
      <c r="N348" s="145"/>
      <c r="O348" s="160"/>
    </row>
    <row r="349" spans="14:15">
      <c r="N349" s="145"/>
      <c r="O349" s="160"/>
    </row>
    <row r="350" spans="14:15">
      <c r="N350" s="145"/>
      <c r="O350" s="160"/>
    </row>
    <row r="351" spans="14:15">
      <c r="N351" s="145"/>
      <c r="O351" s="160"/>
    </row>
    <row r="352" spans="14:15">
      <c r="N352" s="145"/>
      <c r="O352" s="160"/>
    </row>
    <row r="353" spans="14:15">
      <c r="N353" s="145"/>
      <c r="O353" s="160"/>
    </row>
    <row r="354" spans="14:15">
      <c r="N354" s="145"/>
      <c r="O354" s="160"/>
    </row>
    <row r="355" spans="14:15">
      <c r="N355" s="145"/>
      <c r="O355" s="160"/>
    </row>
    <row r="356" spans="14:15">
      <c r="N356" s="145"/>
      <c r="O356" s="160"/>
    </row>
    <row r="357" spans="14:15">
      <c r="N357" s="145"/>
      <c r="O357" s="160"/>
    </row>
    <row r="358" spans="14:15">
      <c r="N358" s="145"/>
      <c r="O358" s="160"/>
    </row>
    <row r="359" spans="14:15">
      <c r="N359" s="145"/>
      <c r="O359" s="160"/>
    </row>
    <row r="360" spans="14:15">
      <c r="N360" s="145"/>
      <c r="O360" s="160"/>
    </row>
    <row r="361" spans="14:15">
      <c r="N361" s="145"/>
      <c r="O361" s="160"/>
    </row>
    <row r="362" spans="14:15">
      <c r="N362" s="145"/>
      <c r="O362" s="160"/>
    </row>
    <row r="363" spans="14:15">
      <c r="N363" s="145"/>
      <c r="O363" s="160"/>
    </row>
    <row r="364" spans="14:15">
      <c r="N364" s="145"/>
      <c r="O364" s="160"/>
    </row>
    <row r="365" spans="14:15">
      <c r="N365" s="145"/>
      <c r="O365" s="160"/>
    </row>
    <row r="366" spans="14:15">
      <c r="N366" s="145"/>
      <c r="O366" s="160"/>
    </row>
    <row r="367" spans="14:15">
      <c r="N367" s="145"/>
      <c r="O367" s="160"/>
    </row>
    <row r="368" spans="14:15">
      <c r="N368" s="145"/>
      <c r="O368" s="160"/>
    </row>
    <row r="369" spans="14:15">
      <c r="N369" s="145"/>
      <c r="O369" s="160"/>
    </row>
    <row r="370" spans="14:15">
      <c r="N370" s="145"/>
      <c r="O370" s="160"/>
    </row>
    <row r="371" spans="14:15">
      <c r="N371" s="145"/>
      <c r="O371" s="160"/>
    </row>
    <row r="372" spans="14:15">
      <c r="N372" s="145"/>
      <c r="O372" s="160"/>
    </row>
    <row r="373" spans="14:15">
      <c r="N373" s="145"/>
      <c r="O373" s="160"/>
    </row>
    <row r="374" spans="14:15">
      <c r="N374" s="145"/>
      <c r="O374" s="160"/>
    </row>
    <row r="375" spans="14:15">
      <c r="N375" s="145"/>
      <c r="O375" s="160"/>
    </row>
    <row r="376" spans="14:15">
      <c r="N376" s="145"/>
      <c r="O376" s="160"/>
    </row>
    <row r="377" spans="14:15">
      <c r="N377" s="145"/>
      <c r="O377" s="160"/>
    </row>
    <row r="378" spans="14:15">
      <c r="N378" s="145"/>
      <c r="O378" s="160"/>
    </row>
    <row r="379" spans="14:15">
      <c r="N379" s="145"/>
      <c r="O379" s="160"/>
    </row>
    <row r="380" spans="14:15">
      <c r="N380" s="145"/>
      <c r="O380" s="160"/>
    </row>
    <row r="381" spans="14:15">
      <c r="N381" s="145"/>
      <c r="O381" s="160"/>
    </row>
    <row r="382" spans="14:15">
      <c r="N382" s="145"/>
      <c r="O382" s="160"/>
    </row>
    <row r="383" spans="14:15">
      <c r="N383" s="145"/>
      <c r="O383" s="160"/>
    </row>
    <row r="384" spans="14:15">
      <c r="N384" s="145"/>
      <c r="O384" s="160"/>
    </row>
    <row r="385" spans="14:15">
      <c r="N385" s="145"/>
      <c r="O385" s="160"/>
    </row>
    <row r="386" spans="14:15">
      <c r="N386" s="145"/>
      <c r="O386" s="160"/>
    </row>
    <row r="387" spans="14:15">
      <c r="N387" s="145"/>
      <c r="O387" s="160"/>
    </row>
    <row r="388" spans="14:15">
      <c r="N388" s="145"/>
      <c r="O388" s="160"/>
    </row>
    <row r="389" spans="14:15">
      <c r="N389" s="145"/>
      <c r="O389" s="160"/>
    </row>
    <row r="390" spans="14:15">
      <c r="N390" s="145"/>
      <c r="O390" s="160"/>
    </row>
    <row r="391" spans="14:15">
      <c r="N391" s="145"/>
      <c r="O391" s="160"/>
    </row>
    <row r="392" spans="14:15">
      <c r="N392" s="145"/>
      <c r="O392" s="160"/>
    </row>
    <row r="393" spans="14:15">
      <c r="N393" s="145"/>
      <c r="O393" s="160"/>
    </row>
    <row r="394" spans="14:15">
      <c r="N394" s="145"/>
      <c r="O394" s="160"/>
    </row>
    <row r="395" spans="14:15">
      <c r="N395" s="145"/>
      <c r="O395" s="160"/>
    </row>
    <row r="396" spans="14:15">
      <c r="N396" s="145"/>
      <c r="O396" s="160"/>
    </row>
    <row r="397" spans="14:15">
      <c r="N397" s="145"/>
      <c r="O397" s="160"/>
    </row>
    <row r="398" spans="14:15">
      <c r="N398" s="145"/>
      <c r="O398" s="160"/>
    </row>
    <row r="399" spans="14:15">
      <c r="N399" s="145"/>
      <c r="O399" s="160"/>
    </row>
    <row r="400" spans="14:15">
      <c r="N400" s="145"/>
      <c r="O400" s="160"/>
    </row>
    <row r="401" spans="14:15">
      <c r="N401" s="145"/>
      <c r="O401" s="160"/>
    </row>
    <row r="402" spans="14:15">
      <c r="N402" s="145"/>
      <c r="O402" s="160"/>
    </row>
    <row r="403" spans="14:15">
      <c r="N403" s="145"/>
      <c r="O403" s="160"/>
    </row>
    <row r="404" spans="14:15">
      <c r="N404" s="145"/>
      <c r="O404" s="160"/>
    </row>
    <row r="405" spans="14:15">
      <c r="N405" s="145"/>
      <c r="O405" s="160"/>
    </row>
    <row r="406" spans="14:15">
      <c r="N406" s="145"/>
      <c r="O406" s="160"/>
    </row>
    <row r="407" spans="14:15">
      <c r="N407" s="145"/>
      <c r="O407" s="160"/>
    </row>
    <row r="408" spans="14:15">
      <c r="N408" s="145"/>
      <c r="O408" s="160"/>
    </row>
    <row r="409" spans="14:15">
      <c r="N409" s="145"/>
      <c r="O409" s="160"/>
    </row>
    <row r="410" spans="14:15">
      <c r="N410" s="145"/>
      <c r="O410" s="160"/>
    </row>
    <row r="411" spans="14:15">
      <c r="N411" s="145"/>
      <c r="O411" s="160"/>
    </row>
    <row r="412" spans="14:15">
      <c r="N412" s="145"/>
      <c r="O412" s="160"/>
    </row>
    <row r="413" spans="14:15">
      <c r="N413" s="145"/>
      <c r="O413" s="160"/>
    </row>
    <row r="414" spans="14:15">
      <c r="N414" s="145"/>
      <c r="O414" s="160"/>
    </row>
    <row r="415" spans="14:15">
      <c r="N415" s="145"/>
      <c r="O415" s="160"/>
    </row>
    <row r="416" spans="14:15">
      <c r="N416" s="145"/>
      <c r="O416" s="160"/>
    </row>
    <row r="417" spans="14:15">
      <c r="N417" s="145"/>
      <c r="O417" s="160"/>
    </row>
    <row r="418" spans="14:15">
      <c r="N418" s="145"/>
      <c r="O418" s="160"/>
    </row>
    <row r="419" spans="14:15">
      <c r="N419" s="145"/>
      <c r="O419" s="160"/>
    </row>
    <row r="420" spans="14:15">
      <c r="N420" s="145"/>
      <c r="O420" s="160"/>
    </row>
    <row r="421" spans="14:15">
      <c r="N421" s="145"/>
      <c r="O421" s="160"/>
    </row>
    <row r="422" spans="14:15">
      <c r="N422" s="145"/>
      <c r="O422" s="160"/>
    </row>
    <row r="423" spans="14:15">
      <c r="N423" s="145"/>
      <c r="O423" s="160"/>
    </row>
    <row r="424" spans="14:15">
      <c r="N424" s="145"/>
      <c r="O424" s="160"/>
    </row>
    <row r="425" spans="14:15">
      <c r="N425" s="145"/>
      <c r="O425" s="160"/>
    </row>
    <row r="426" spans="14:15">
      <c r="N426" s="145"/>
      <c r="O426" s="160"/>
    </row>
    <row r="427" spans="14:15">
      <c r="N427" s="145"/>
      <c r="O427" s="160"/>
    </row>
    <row r="428" spans="14:15">
      <c r="N428" s="145"/>
      <c r="O428" s="160"/>
    </row>
    <row r="429" spans="14:15">
      <c r="N429" s="145"/>
      <c r="O429" s="160"/>
    </row>
    <row r="430" spans="14:15">
      <c r="N430" s="145"/>
      <c r="O430" s="160"/>
    </row>
    <row r="431" spans="14:15">
      <c r="N431" s="145"/>
      <c r="O431" s="160"/>
    </row>
    <row r="432" spans="14:15">
      <c r="N432" s="145"/>
      <c r="O432" s="160"/>
    </row>
    <row r="433" spans="14:15">
      <c r="N433" s="145"/>
      <c r="O433" s="160"/>
    </row>
    <row r="434" spans="14:15">
      <c r="N434" s="145"/>
      <c r="O434" s="160"/>
    </row>
    <row r="435" spans="14:15">
      <c r="N435" s="145"/>
      <c r="O435" s="160"/>
    </row>
    <row r="436" spans="14:15">
      <c r="N436" s="145"/>
      <c r="O436" s="160"/>
    </row>
    <row r="437" spans="14:15">
      <c r="N437" s="145"/>
      <c r="O437" s="160"/>
    </row>
    <row r="438" spans="14:15">
      <c r="N438" s="145"/>
      <c r="O438" s="160"/>
    </row>
    <row r="439" spans="14:15">
      <c r="N439" s="145"/>
      <c r="O439" s="160"/>
    </row>
    <row r="440" spans="14:15">
      <c r="N440" s="145"/>
      <c r="O440" s="160"/>
    </row>
    <row r="441" spans="14:15">
      <c r="N441" s="145"/>
      <c r="O441" s="160"/>
    </row>
    <row r="442" spans="14:15">
      <c r="N442" s="145"/>
      <c r="O442" s="160"/>
    </row>
    <row r="443" spans="14:15">
      <c r="N443" s="145"/>
      <c r="O443" s="160"/>
    </row>
    <row r="444" spans="14:15">
      <c r="N444" s="145"/>
      <c r="O444" s="160"/>
    </row>
    <row r="445" spans="14:15">
      <c r="N445" s="145"/>
      <c r="O445" s="160"/>
    </row>
    <row r="446" spans="14:15">
      <c r="N446" s="145"/>
      <c r="O446" s="160"/>
    </row>
    <row r="447" spans="14:15">
      <c r="N447" s="145"/>
      <c r="O447" s="160"/>
    </row>
    <row r="448" spans="14:15">
      <c r="N448" s="145"/>
      <c r="O448" s="160"/>
    </row>
  </sheetData>
  <mergeCells count="27">
    <mergeCell ref="A1:C3"/>
    <mergeCell ref="B38:C38"/>
    <mergeCell ref="B26:C26"/>
    <mergeCell ref="B16:C16"/>
    <mergeCell ref="B9:C9"/>
    <mergeCell ref="A8:N8"/>
    <mergeCell ref="D3:N3"/>
    <mergeCell ref="D1:N2"/>
    <mergeCell ref="A4:N5"/>
    <mergeCell ref="F6:N6"/>
    <mergeCell ref="A6:A7"/>
    <mergeCell ref="B6:B7"/>
    <mergeCell ref="C6:C7"/>
    <mergeCell ref="D6:D7"/>
    <mergeCell ref="E6:E7"/>
    <mergeCell ref="B254:C254"/>
    <mergeCell ref="B242:C242"/>
    <mergeCell ref="B179:C179"/>
    <mergeCell ref="B129:C129"/>
    <mergeCell ref="B121:C121"/>
    <mergeCell ref="B57:C57"/>
    <mergeCell ref="B45:C45"/>
    <mergeCell ref="B116:C116"/>
    <mergeCell ref="B99:C99"/>
    <mergeCell ref="B91:C91"/>
    <mergeCell ref="B79:C79"/>
    <mergeCell ref="B66:C66"/>
  </mergeCells>
  <phoneticPr fontId="43" type="noConversion"/>
  <conditionalFormatting sqref="G1:H6 G9:H9 G14:H18 H10:H13 H19 G30:H30 H29 H31 H39:H41 G48:H52 H47 G59:H66 H58 G77:H79 H67:H76 G88:H91 H80:H87 G97:H99 H92:H96 G114:H116 H100:H113 G119:H121 G127:H129 H122:H126 G177:H179 H130:H176 G240:H242 H180:H239 G252:H254 H243:H251 H255:H256 G257:H267 G56:H57 H53:H55 H117:H118 G42:H46 G272:H1048576 G20:H28 G32:H38">
    <cfRule type="cellIs" dxfId="16" priority="4" operator="greaterThan">
      <formula>0</formula>
    </cfRule>
  </conditionalFormatting>
  <conditionalFormatting sqref="N271:N1048576 N1:N7 N9:N269">
    <cfRule type="cellIs" dxfId="15" priority="2" operator="lessThan">
      <formula>0</formula>
    </cfRule>
    <cfRule type="cellIs" dxfId="14" priority="3" operator="lessThan">
      <formula>0</formula>
    </cfRule>
  </conditionalFormatting>
  <conditionalFormatting sqref="L1:L266 L274:L1048576 L271:L272 L268">
    <cfRule type="cellIs" dxfId="13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45" fitToHeight="13" orientation="landscape" horizontalDpi="360" verticalDpi="360" r:id="rId1"/>
  <rowBreaks count="8" manualBreakCount="8">
    <brk id="44" max="15" man="1"/>
    <brk id="78" max="15" man="1"/>
    <brk id="102" max="15" man="1"/>
    <brk id="135" max="15" man="1"/>
    <brk id="158" max="15" man="1"/>
    <brk id="188" max="15" man="1"/>
    <brk id="214" max="15" man="1"/>
    <brk id="237" max="1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topLeftCell="A16" workbookViewId="0">
      <selection activeCell="G28" sqref="G28"/>
    </sheetView>
  </sheetViews>
  <sheetFormatPr defaultRowHeight="15"/>
  <cols>
    <col min="1" max="1" width="33.140625" style="64" customWidth="1"/>
    <col min="2" max="2" width="5.42578125" style="64" bestFit="1" customWidth="1"/>
    <col min="3" max="3" width="13.5703125" style="64" bestFit="1" customWidth="1"/>
    <col min="4" max="4" width="12.28515625" style="64" bestFit="1" customWidth="1"/>
    <col min="5" max="5" width="14.5703125" style="64" bestFit="1" customWidth="1"/>
    <col min="6" max="6" width="7.28515625" style="64" bestFit="1" customWidth="1"/>
    <col min="7" max="16384" width="9.140625" style="64"/>
  </cols>
  <sheetData>
    <row r="1" spans="1:6" ht="21">
      <c r="A1" s="530" t="s">
        <v>838</v>
      </c>
      <c r="B1" s="530"/>
      <c r="C1" s="530"/>
      <c r="D1" s="530"/>
      <c r="E1" s="530"/>
      <c r="F1" s="530"/>
    </row>
    <row r="2" spans="1:6" ht="21">
      <c r="A2" s="531" t="s">
        <v>839</v>
      </c>
      <c r="B2" s="531"/>
      <c r="C2" s="531"/>
      <c r="D2" s="531"/>
      <c r="E2" s="531"/>
      <c r="F2" s="531"/>
    </row>
    <row r="3" spans="1:6" ht="15.95" customHeight="1">
      <c r="A3" s="65" t="s">
        <v>840</v>
      </c>
      <c r="B3" s="66" t="s">
        <v>4</v>
      </c>
      <c r="C3" s="66" t="s">
        <v>841</v>
      </c>
      <c r="D3" s="66" t="s">
        <v>842</v>
      </c>
      <c r="E3" s="66" t="s">
        <v>843</v>
      </c>
      <c r="F3" s="66" t="s">
        <v>844</v>
      </c>
    </row>
    <row r="4" spans="1:6" ht="15.95" customHeight="1">
      <c r="A4" s="67" t="s">
        <v>845</v>
      </c>
      <c r="B4" s="68" t="s">
        <v>846</v>
      </c>
      <c r="C4" s="68">
        <v>0.35</v>
      </c>
      <c r="D4" s="69">
        <v>0.6</v>
      </c>
      <c r="E4" s="69">
        <v>42</v>
      </c>
      <c r="F4" s="70">
        <f>C4*D4*E4</f>
        <v>8.82</v>
      </c>
    </row>
    <row r="5" spans="1:6" ht="15.95" customHeight="1">
      <c r="A5" s="67" t="s">
        <v>847</v>
      </c>
      <c r="B5" s="68" t="s">
        <v>846</v>
      </c>
      <c r="C5" s="68">
        <v>0.35</v>
      </c>
      <c r="D5" s="69">
        <v>0.6</v>
      </c>
      <c r="E5" s="69">
        <v>40</v>
      </c>
      <c r="F5" s="70">
        <f t="shared" ref="F5:F7" si="0">C5*D5*E5</f>
        <v>8.4</v>
      </c>
    </row>
    <row r="6" spans="1:6" ht="15.95" customHeight="1">
      <c r="A6" s="67" t="s">
        <v>848</v>
      </c>
      <c r="B6" s="68" t="s">
        <v>846</v>
      </c>
      <c r="C6" s="68">
        <v>0.35</v>
      </c>
      <c r="D6" s="69">
        <v>0.6</v>
      </c>
      <c r="E6" s="69">
        <v>45</v>
      </c>
      <c r="F6" s="70">
        <f t="shared" si="0"/>
        <v>9.4499999999999993</v>
      </c>
    </row>
    <row r="7" spans="1:6" ht="15.95" customHeight="1">
      <c r="A7" s="67" t="s">
        <v>849</v>
      </c>
      <c r="B7" s="68" t="s">
        <v>846</v>
      </c>
      <c r="C7" s="68">
        <v>0.35</v>
      </c>
      <c r="D7" s="69">
        <v>0.6</v>
      </c>
      <c r="E7" s="69">
        <v>26</v>
      </c>
      <c r="F7" s="70">
        <f t="shared" si="0"/>
        <v>5.46</v>
      </c>
    </row>
    <row r="8" spans="1:6" ht="15.95" customHeight="1" thickBot="1">
      <c r="A8" s="71"/>
      <c r="B8" s="72"/>
      <c r="C8" s="72"/>
      <c r="D8" s="72"/>
      <c r="E8" s="73" t="s">
        <v>850</v>
      </c>
      <c r="F8" s="74">
        <f>SUM(F4:F7)</f>
        <v>32.129999999999995</v>
      </c>
    </row>
    <row r="9" spans="1:6" ht="15.95" customHeight="1" thickTop="1">
      <c r="A9" s="71"/>
      <c r="B9" s="72"/>
      <c r="C9" s="72"/>
      <c r="D9" s="72"/>
      <c r="E9" s="72"/>
      <c r="F9" s="72"/>
    </row>
    <row r="10" spans="1:6" ht="15.95" customHeight="1">
      <c r="A10" s="75" t="s">
        <v>851</v>
      </c>
      <c r="B10" s="66" t="s">
        <v>4</v>
      </c>
      <c r="C10" s="66" t="s">
        <v>852</v>
      </c>
      <c r="D10" s="66" t="s">
        <v>853</v>
      </c>
      <c r="E10" s="76" t="s">
        <v>843</v>
      </c>
      <c r="F10" s="76" t="s">
        <v>844</v>
      </c>
    </row>
    <row r="11" spans="1:6" ht="15.95" customHeight="1">
      <c r="A11" s="67" t="s">
        <v>854</v>
      </c>
      <c r="B11" s="68" t="s">
        <v>42</v>
      </c>
      <c r="C11" s="69">
        <v>0.4</v>
      </c>
      <c r="D11" s="69">
        <v>0.6</v>
      </c>
      <c r="E11" s="69">
        <v>42</v>
      </c>
      <c r="F11" s="69">
        <f>((C11+D11)/2)*E11</f>
        <v>21</v>
      </c>
    </row>
    <row r="12" spans="1:6" ht="15.95" customHeight="1">
      <c r="A12" s="67" t="s">
        <v>855</v>
      </c>
      <c r="B12" s="68" t="s">
        <v>42</v>
      </c>
      <c r="C12" s="69">
        <v>0.1</v>
      </c>
      <c r="D12" s="69">
        <v>0.4</v>
      </c>
      <c r="E12" s="69">
        <v>40</v>
      </c>
      <c r="F12" s="69">
        <f t="shared" ref="F12:F14" si="1">(C12+D12)/2*E12</f>
        <v>10</v>
      </c>
    </row>
    <row r="13" spans="1:6" ht="15.95" customHeight="1">
      <c r="A13" s="67" t="s">
        <v>856</v>
      </c>
      <c r="B13" s="68" t="s">
        <v>42</v>
      </c>
      <c r="C13" s="69">
        <v>0.4</v>
      </c>
      <c r="D13" s="69">
        <v>0.6</v>
      </c>
      <c r="E13" s="69">
        <v>45</v>
      </c>
      <c r="F13" s="69">
        <f t="shared" si="1"/>
        <v>22.5</v>
      </c>
    </row>
    <row r="14" spans="1:6" ht="15.95" customHeight="1">
      <c r="A14" s="67" t="s">
        <v>857</v>
      </c>
      <c r="B14" s="68" t="s">
        <v>42</v>
      </c>
      <c r="C14" s="69">
        <v>0.1</v>
      </c>
      <c r="D14" s="69">
        <v>0.4</v>
      </c>
      <c r="E14" s="69">
        <v>26</v>
      </c>
      <c r="F14" s="69">
        <f t="shared" si="1"/>
        <v>6.5</v>
      </c>
    </row>
    <row r="15" spans="1:6" ht="15.95" customHeight="1" thickBot="1">
      <c r="A15" s="71"/>
      <c r="B15" s="72"/>
      <c r="C15" s="72"/>
      <c r="D15" s="72"/>
      <c r="E15" s="73" t="s">
        <v>850</v>
      </c>
      <c r="F15" s="74">
        <f>SUM(F11:F14)</f>
        <v>60</v>
      </c>
    </row>
    <row r="16" spans="1:6" ht="15.95" customHeight="1" thickTop="1">
      <c r="A16" s="71"/>
      <c r="B16" s="72"/>
      <c r="C16" s="72"/>
      <c r="D16" s="72"/>
      <c r="E16" s="72"/>
      <c r="F16" s="72"/>
    </row>
    <row r="17" spans="1:6" ht="15.95" customHeight="1">
      <c r="A17" s="77" t="s">
        <v>858</v>
      </c>
      <c r="B17" s="66" t="s">
        <v>4</v>
      </c>
      <c r="C17" s="66" t="s">
        <v>841</v>
      </c>
      <c r="D17" s="66" t="s">
        <v>859</v>
      </c>
      <c r="E17" s="66" t="s">
        <v>843</v>
      </c>
      <c r="F17" s="66" t="s">
        <v>844</v>
      </c>
    </row>
    <row r="18" spans="1:6" ht="15.95" customHeight="1">
      <c r="A18" s="78" t="s">
        <v>860</v>
      </c>
      <c r="B18" s="68" t="s">
        <v>846</v>
      </c>
      <c r="C18" s="68">
        <v>0.09</v>
      </c>
      <c r="D18" s="69">
        <v>0.2</v>
      </c>
      <c r="E18" s="69">
        <v>18.2</v>
      </c>
      <c r="F18" s="69">
        <f>D18*C18*E18</f>
        <v>0.32759999999999995</v>
      </c>
    </row>
    <row r="19" spans="1:6" ht="15.95" customHeight="1">
      <c r="A19" s="78" t="s">
        <v>861</v>
      </c>
      <c r="B19" s="68" t="s">
        <v>846</v>
      </c>
      <c r="C19" s="68">
        <v>0.09</v>
      </c>
      <c r="D19" s="69">
        <v>0.2</v>
      </c>
      <c r="E19" s="69">
        <v>13.2</v>
      </c>
      <c r="F19" s="69">
        <f t="shared" ref="F19:F21" si="2">D19*C19*E19</f>
        <v>0.23759999999999998</v>
      </c>
    </row>
    <row r="20" spans="1:6" ht="15.95" customHeight="1">
      <c r="A20" s="78" t="s">
        <v>862</v>
      </c>
      <c r="B20" s="68" t="s">
        <v>846</v>
      </c>
      <c r="C20" s="68">
        <v>0.09</v>
      </c>
      <c r="D20" s="69">
        <v>0.2</v>
      </c>
      <c r="E20" s="69">
        <v>19.8</v>
      </c>
      <c r="F20" s="69">
        <f t="shared" si="2"/>
        <v>0.35639999999999999</v>
      </c>
    </row>
    <row r="21" spans="1:6" ht="15.95" customHeight="1">
      <c r="A21" s="78" t="s">
        <v>863</v>
      </c>
      <c r="B21" s="68" t="s">
        <v>846</v>
      </c>
      <c r="C21" s="68">
        <v>0.09</v>
      </c>
      <c r="D21" s="69">
        <v>0.2</v>
      </c>
      <c r="E21" s="69">
        <v>4</v>
      </c>
      <c r="F21" s="69">
        <f t="shared" si="2"/>
        <v>7.1999999999999995E-2</v>
      </c>
    </row>
    <row r="22" spans="1:6" ht="15.95" customHeight="1" thickBot="1">
      <c r="A22" s="71"/>
      <c r="B22" s="72"/>
      <c r="C22" s="72"/>
      <c r="D22" s="72"/>
      <c r="E22" s="73" t="s">
        <v>850</v>
      </c>
      <c r="F22" s="74">
        <f>SUM(F18:F21)</f>
        <v>0.99359999999999993</v>
      </c>
    </row>
    <row r="23" spans="1:6" ht="15.95" customHeight="1" thickTop="1">
      <c r="A23" s="71"/>
      <c r="B23" s="72"/>
      <c r="C23" s="72"/>
      <c r="D23" s="72"/>
      <c r="E23" s="72"/>
      <c r="F23" s="72"/>
    </row>
    <row r="24" spans="1:6" ht="15.95" customHeight="1">
      <c r="A24" s="77" t="s">
        <v>864</v>
      </c>
      <c r="B24" s="66" t="s">
        <v>4</v>
      </c>
      <c r="C24" s="66" t="s">
        <v>852</v>
      </c>
      <c r="D24" s="66" t="s">
        <v>853</v>
      </c>
      <c r="E24" s="76" t="s">
        <v>843</v>
      </c>
      <c r="F24" s="76" t="s">
        <v>844</v>
      </c>
    </row>
    <row r="25" spans="1:6" ht="15.95" customHeight="1">
      <c r="A25" s="79" t="s">
        <v>865</v>
      </c>
      <c r="B25" s="68" t="s">
        <v>42</v>
      </c>
      <c r="C25" s="69">
        <v>0.4</v>
      </c>
      <c r="D25" s="69">
        <v>0.6</v>
      </c>
      <c r="E25" s="69">
        <v>42</v>
      </c>
      <c r="F25" s="69">
        <f>((C25+D25)/2)*E25*2</f>
        <v>42</v>
      </c>
    </row>
    <row r="26" spans="1:6" ht="15.95" customHeight="1">
      <c r="A26" s="78" t="s">
        <v>866</v>
      </c>
      <c r="B26" s="68" t="s">
        <v>42</v>
      </c>
      <c r="C26" s="69">
        <v>0.1</v>
      </c>
      <c r="D26" s="69">
        <v>0.4</v>
      </c>
      <c r="E26" s="69">
        <v>40</v>
      </c>
      <c r="F26" s="69">
        <f t="shared" ref="F26:F28" si="3">((C26+D26)/2)*E26*2</f>
        <v>20</v>
      </c>
    </row>
    <row r="27" spans="1:6" ht="15.95" customHeight="1">
      <c r="A27" s="78" t="s">
        <v>867</v>
      </c>
      <c r="B27" s="68" t="s">
        <v>42</v>
      </c>
      <c r="C27" s="69">
        <v>0.4</v>
      </c>
      <c r="D27" s="69">
        <v>0.6</v>
      </c>
      <c r="E27" s="69">
        <v>45</v>
      </c>
      <c r="F27" s="69">
        <f t="shared" si="3"/>
        <v>45</v>
      </c>
    </row>
    <row r="28" spans="1:6" ht="15.95" customHeight="1">
      <c r="A28" s="78" t="s">
        <v>868</v>
      </c>
      <c r="B28" s="68" t="s">
        <v>42</v>
      </c>
      <c r="C28" s="69">
        <v>0.1</v>
      </c>
      <c r="D28" s="69">
        <v>0.4</v>
      </c>
      <c r="E28" s="69">
        <v>26</v>
      </c>
      <c r="F28" s="69">
        <f t="shared" si="3"/>
        <v>13</v>
      </c>
    </row>
    <row r="29" spans="1:6" ht="15.95" customHeight="1" thickBot="1">
      <c r="A29" s="71"/>
      <c r="B29" s="72"/>
      <c r="C29" s="72"/>
      <c r="D29" s="80"/>
      <c r="E29" s="73" t="s">
        <v>850</v>
      </c>
      <c r="F29" s="74">
        <f>SUM(F25:F28)</f>
        <v>120</v>
      </c>
    </row>
    <row r="30" spans="1:6" ht="15.95" customHeight="1" thickTop="1">
      <c r="A30" s="71"/>
      <c r="B30" s="72"/>
      <c r="C30" s="72"/>
      <c r="D30" s="72"/>
      <c r="E30" s="72"/>
      <c r="F30" s="72"/>
    </row>
    <row r="31" spans="1:6" ht="15.95" customHeight="1">
      <c r="A31" s="77" t="s">
        <v>869</v>
      </c>
      <c r="B31" s="66" t="s">
        <v>4</v>
      </c>
      <c r="C31" s="66" t="s">
        <v>852</v>
      </c>
      <c r="D31" s="66" t="s">
        <v>853</v>
      </c>
      <c r="E31" s="76" t="s">
        <v>843</v>
      </c>
      <c r="F31" s="76" t="s">
        <v>844</v>
      </c>
    </row>
    <row r="32" spans="1:6" ht="15.95" customHeight="1">
      <c r="A32" s="79" t="s">
        <v>865</v>
      </c>
      <c r="B32" s="68" t="s">
        <v>42</v>
      </c>
      <c r="C32" s="69">
        <v>0.4</v>
      </c>
      <c r="D32" s="69">
        <v>0.6</v>
      </c>
      <c r="E32" s="69">
        <v>42</v>
      </c>
      <c r="F32" s="69">
        <f>(C32+D32)/2*E32*2</f>
        <v>42</v>
      </c>
    </row>
    <row r="33" spans="1:6" ht="15.95" customHeight="1">
      <c r="A33" s="78" t="s">
        <v>866</v>
      </c>
      <c r="B33" s="68" t="s">
        <v>42</v>
      </c>
      <c r="C33" s="69">
        <v>0.1</v>
      </c>
      <c r="D33" s="69">
        <v>0.4</v>
      </c>
      <c r="E33" s="69">
        <v>40</v>
      </c>
      <c r="F33" s="69">
        <f>(C33+D33)/2*E33*2</f>
        <v>20</v>
      </c>
    </row>
    <row r="34" spans="1:6" ht="15.95" customHeight="1">
      <c r="A34" s="78" t="s">
        <v>867</v>
      </c>
      <c r="B34" s="68" t="s">
        <v>42</v>
      </c>
      <c r="C34" s="69">
        <v>0.4</v>
      </c>
      <c r="D34" s="69">
        <v>0.6</v>
      </c>
      <c r="E34" s="69">
        <v>45</v>
      </c>
      <c r="F34" s="69">
        <f>(C34+D34)/2*E34*2</f>
        <v>45</v>
      </c>
    </row>
    <row r="35" spans="1:6" ht="15.95" customHeight="1">
      <c r="A35" s="78" t="s">
        <v>868</v>
      </c>
      <c r="B35" s="68" t="s">
        <v>42</v>
      </c>
      <c r="C35" s="69">
        <v>0.1</v>
      </c>
      <c r="D35" s="69">
        <v>0.4</v>
      </c>
      <c r="E35" s="69">
        <v>26</v>
      </c>
      <c r="F35" s="69">
        <f>(C35+D35)/2*E35*2</f>
        <v>13</v>
      </c>
    </row>
    <row r="36" spans="1:6" ht="15.95" customHeight="1" thickBot="1">
      <c r="A36" s="71"/>
      <c r="B36" s="72"/>
      <c r="C36" s="72"/>
      <c r="D36" s="80"/>
      <c r="E36" s="73" t="s">
        <v>850</v>
      </c>
      <c r="F36" s="74">
        <f>SUM(F32:F35)</f>
        <v>120</v>
      </c>
    </row>
    <row r="37" spans="1:6" ht="15.75" thickTop="1"/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24"/>
  <sheetViews>
    <sheetView view="pageBreakPreview" zoomScale="80" zoomScaleSheetLayoutView="80" workbookViewId="0">
      <selection activeCell="D53" sqref="D53"/>
    </sheetView>
  </sheetViews>
  <sheetFormatPr defaultRowHeight="15"/>
  <cols>
    <col min="2" max="2" width="46.710937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>
      <c r="A1" s="432" t="s">
        <v>601</v>
      </c>
      <c r="B1" s="432"/>
      <c r="C1" s="435" t="s">
        <v>654</v>
      </c>
      <c r="D1" s="436"/>
      <c r="E1" s="437"/>
      <c r="F1" s="49"/>
      <c r="G1" s="49"/>
      <c r="H1" s="49"/>
      <c r="I1" s="49"/>
      <c r="J1" s="49"/>
      <c r="K1" s="49"/>
      <c r="L1" s="49"/>
      <c r="M1" s="49"/>
      <c r="N1" s="444"/>
      <c r="O1" s="444"/>
      <c r="P1" s="444"/>
    </row>
    <row r="2" spans="1:16" ht="15" customHeight="1">
      <c r="A2" s="433"/>
      <c r="B2" s="433"/>
      <c r="C2" s="438"/>
      <c r="D2" s="439"/>
      <c r="E2" s="440"/>
      <c r="F2" s="49"/>
      <c r="G2" s="49"/>
      <c r="H2" s="49"/>
      <c r="I2" s="49"/>
      <c r="J2" s="49"/>
      <c r="K2" s="49"/>
      <c r="L2" s="49"/>
      <c r="M2" s="49"/>
      <c r="N2" s="444"/>
      <c r="O2" s="444"/>
      <c r="P2" s="444"/>
    </row>
    <row r="3" spans="1:16" ht="15" customHeight="1">
      <c r="A3" s="433"/>
      <c r="B3" s="433"/>
      <c r="C3" s="441"/>
      <c r="D3" s="442"/>
      <c r="E3" s="443"/>
      <c r="F3" s="49"/>
      <c r="G3" s="49"/>
      <c r="H3" s="49"/>
      <c r="I3" s="49"/>
      <c r="J3" s="49"/>
      <c r="K3" s="49"/>
      <c r="L3" s="49"/>
      <c r="M3" s="49"/>
      <c r="N3" s="51"/>
      <c r="O3" s="51"/>
      <c r="P3" s="51"/>
    </row>
    <row r="4" spans="1:16" ht="15" customHeight="1">
      <c r="A4" s="433"/>
      <c r="B4" s="433"/>
      <c r="C4" s="532" t="s">
        <v>602</v>
      </c>
      <c r="D4" s="532"/>
      <c r="E4" s="533"/>
      <c r="F4" s="50"/>
      <c r="G4" s="50"/>
      <c r="H4" s="50"/>
      <c r="I4" s="50"/>
      <c r="J4" s="50"/>
      <c r="K4" s="50"/>
      <c r="L4" s="50"/>
      <c r="M4" s="50"/>
      <c r="N4" s="446"/>
      <c r="O4" s="446"/>
      <c r="P4" s="446"/>
    </row>
    <row r="5" spans="1:16" ht="15" customHeight="1">
      <c r="A5" s="434"/>
      <c r="B5" s="434"/>
      <c r="C5" s="534"/>
      <c r="D5" s="534"/>
      <c r="E5" s="535"/>
      <c r="F5" s="50"/>
      <c r="G5" s="50"/>
      <c r="H5" s="50"/>
      <c r="I5" s="50"/>
      <c r="J5" s="50"/>
      <c r="K5" s="50"/>
      <c r="L5" s="50"/>
      <c r="M5" s="50"/>
      <c r="N5" s="52"/>
      <c r="O5" s="52"/>
      <c r="P5" s="52"/>
    </row>
    <row r="6" spans="1:16" ht="26.25">
      <c r="A6" s="447" t="s">
        <v>656</v>
      </c>
      <c r="B6" s="448"/>
      <c r="C6" s="448"/>
      <c r="D6" s="448"/>
      <c r="E6" s="449"/>
    </row>
    <row r="7" spans="1:16">
      <c r="A7" s="450"/>
      <c r="B7" s="451"/>
      <c r="C7" s="451"/>
      <c r="D7" s="451"/>
      <c r="E7" s="452"/>
    </row>
    <row r="8" spans="1:16">
      <c r="A8" s="9" t="s">
        <v>0</v>
      </c>
      <c r="B8" s="10" t="s">
        <v>603</v>
      </c>
      <c r="C8" s="11" t="s">
        <v>604</v>
      </c>
      <c r="D8" s="9" t="s">
        <v>605</v>
      </c>
      <c r="E8" s="12" t="s">
        <v>606</v>
      </c>
    </row>
    <row r="9" spans="1:16">
      <c r="A9" s="450"/>
      <c r="B9" s="451"/>
      <c r="C9" s="451"/>
      <c r="D9" s="451"/>
      <c r="E9" s="452"/>
    </row>
    <row r="10" spans="1:16">
      <c r="A10" s="7">
        <f>'[2]1 MEDIÇÃO'!A9</f>
        <v>1</v>
      </c>
      <c r="B10" s="453" t="str">
        <f>'1º aditivo de valor'!B9:K9</f>
        <v>SERVIÇOS PRELIMINARES</v>
      </c>
      <c r="C10" s="454"/>
      <c r="D10" s="454"/>
      <c r="E10" s="454"/>
    </row>
    <row r="11" spans="1:16">
      <c r="A11" s="8" t="str">
        <f>'[2]1 MEDIÇÃO'!A10</f>
        <v xml:space="preserve"> 1.1 </v>
      </c>
      <c r="B11" s="5" t="str">
        <f>'1º aditivo de valor'!C10</f>
        <v>Placa de obra em chapa aço galvanizado, instalada</v>
      </c>
      <c r="C11" s="4" t="str">
        <f>'1º aditivo de valor'!E10</f>
        <v>m2</v>
      </c>
      <c r="D11" s="6"/>
      <c r="E11" s="14"/>
    </row>
    <row r="12" spans="1:16" ht="30">
      <c r="A12" s="8" t="str">
        <f>'[2]1 MEDIÇÃO'!A11</f>
        <v xml:space="preserve"> 1.2 </v>
      </c>
      <c r="B12" s="5" t="str">
        <f>'1º aditivo de valor'!C11</f>
        <v>Barracão para escritório de obra porte pequeno s=25,41m2 com materiais novos</v>
      </c>
      <c r="C12" s="4" t="str">
        <f>'1º aditivo de valor'!E11</f>
        <v>un</v>
      </c>
      <c r="D12" s="6"/>
      <c r="E12" s="14"/>
    </row>
    <row r="13" spans="1:16" ht="45">
      <c r="A13" s="8" t="str">
        <f>'[2]1 MEDIÇÃO'!A12</f>
        <v xml:space="preserve"> 1.3 </v>
      </c>
      <c r="B13" s="5" t="str">
        <f>'1º aditivo de valor'!C12</f>
        <v>LOCACAO CONVENCIONAL DE OBRA, UTILIZANDO GABARITO DE TÁBUAS CORRIDAS PONTALETADAS A CADA 2,00M -  2 UTILIZAÇÕES. AF_10/2018</v>
      </c>
      <c r="C13" s="4" t="str">
        <f>'1º aditivo de valor'!E12</f>
        <v>M</v>
      </c>
      <c r="D13" s="4"/>
      <c r="E13" s="14"/>
    </row>
    <row r="14" spans="1:16" ht="45">
      <c r="A14" s="8" t="str">
        <f>'[2]1 MEDIÇÃO'!A13</f>
        <v xml:space="preserve"> 1.4 </v>
      </c>
      <c r="B14" s="5" t="str">
        <f>'1º aditivo de valor'!C13</f>
        <v>Instalação provisória de energia elétrica, aerea, trifasica, em poste galvanizado, exclusive fornecimento do medidor</v>
      </c>
      <c r="C14" s="4" t="str">
        <f>'1º aditivo de valor'!E13</f>
        <v>un</v>
      </c>
      <c r="D14" s="6"/>
      <c r="E14" s="14"/>
    </row>
    <row r="15" spans="1:16">
      <c r="A15" s="7" t="str">
        <f>'1º aditivo de valor'!A16</f>
        <v>2</v>
      </c>
      <c r="B15" s="428" t="str">
        <f>'1º aditivo de valor'!B16:K16</f>
        <v>MOVIMENTO DE TERRA</v>
      </c>
      <c r="C15" s="428"/>
      <c r="D15" s="428"/>
      <c r="E15" s="428"/>
    </row>
    <row r="16" spans="1:16" ht="45">
      <c r="A16" s="4" t="str">
        <f>'1º aditivo de valor'!A17</f>
        <v>2.1</v>
      </c>
      <c r="B16" s="13" t="str">
        <f>'1º aditivo de valor'!C17</f>
        <v>ATERRO MANUAL DE VALAS COM SOLO ARGILO-ARENOSO E COMPACTAÇÃO MECANIZADA. AF_05/2016</v>
      </c>
      <c r="C16" s="15" t="str">
        <f>'1º aditivo de valor'!E17</f>
        <v>M3</v>
      </c>
      <c r="D16" s="19"/>
      <c r="E16" s="53"/>
    </row>
    <row r="17" spans="1:6" ht="60">
      <c r="A17" s="4" t="str">
        <f>'1º aditivo de valor'!A18</f>
        <v>2.2</v>
      </c>
      <c r="B17" s="5" t="str">
        <f>'1º aditivo de valor'!C18</f>
        <v>ESCAVAÇÃO MANUAL PARA BLOCO DE COROAMENTO OU SAPATA (INCLUINDO ESCAVAÇÃO PARA COLOCAÇÃO DE FÔRMAS). AF_06/2017</v>
      </c>
      <c r="C17" s="4" t="str">
        <f>'1º aditivo de valor'!E18</f>
        <v>M3</v>
      </c>
      <c r="D17" s="18"/>
      <c r="E17" s="20"/>
      <c r="F17">
        <f>2*2.45*2.55*1.5</f>
        <v>18.7425</v>
      </c>
    </row>
    <row r="18" spans="1:6" ht="45">
      <c r="A18" s="4" t="str">
        <f>'1º aditivo de valor'!A19</f>
        <v>2.3</v>
      </c>
      <c r="B18" s="5" t="str">
        <f>'1º aditivo de valor'!C19</f>
        <v>ATERRO MANUAL DE VALAS COM SOLO ARGILO-ARENOSO E COMPACTAÇÃO MECANIZADA. AF_05/2016</v>
      </c>
      <c r="C18" s="4" t="str">
        <f>'1º aditivo de valor'!E19</f>
        <v>M3</v>
      </c>
      <c r="D18" s="19" t="s">
        <v>657</v>
      </c>
      <c r="E18" s="53">
        <f>'MEMORIA ATERRO'!AD42-477.87</f>
        <v>612.55272500000012</v>
      </c>
    </row>
    <row r="19" spans="1:6">
      <c r="A19" s="7" t="str">
        <f>'1º aditivo de valor'!A26</f>
        <v>3</v>
      </c>
      <c r="B19" s="428" t="str">
        <f>'1º aditivo de valor'!B26:K26</f>
        <v>FUNDAÇÃO</v>
      </c>
      <c r="C19" s="428"/>
      <c r="D19" s="428"/>
      <c r="E19" s="428"/>
    </row>
    <row r="20" spans="1:6" ht="60">
      <c r="A20" s="4" t="str">
        <f>'1º aditivo de valor'!A27</f>
        <v>3.1</v>
      </c>
      <c r="B20" s="13" t="str">
        <f>'1º aditivo de valor'!C27</f>
        <v>CONCRETO MAGRO PARA LASTRO, TRAÇO 1:4,5:4,5 (EM MASSA SECA DE CIMENTO/ AREIA MÉDIA/ BRITA 1) - PREPARO MECÂNICO COM BETONEIRA 400 L. AF_05/2021</v>
      </c>
      <c r="C20" s="15" t="str">
        <f>'1º aditivo de valor'!E27</f>
        <v>M3</v>
      </c>
      <c r="D20" s="18"/>
      <c r="E20" s="20"/>
      <c r="F20">
        <f>2*1.6*1.65*0.1</f>
        <v>0.52800000000000002</v>
      </c>
    </row>
    <row r="21" spans="1:6" ht="30">
      <c r="A21" s="4" t="str">
        <f>'1º aditivo de valor'!A28</f>
        <v>3.2</v>
      </c>
      <c r="B21" s="13" t="str">
        <f>'1º aditivo de valor'!C28</f>
        <v>Forma plana para fundações, em tábuas de pinho, 07 usos</v>
      </c>
      <c r="C21" s="15" t="str">
        <f>'1º aditivo de valor'!E28</f>
        <v>m²</v>
      </c>
      <c r="D21" s="6"/>
      <c r="E21" s="20"/>
    </row>
    <row r="22" spans="1:6" ht="45">
      <c r="A22" s="4" t="str">
        <f>'1º aditivo de valor'!A29</f>
        <v>3.3</v>
      </c>
      <c r="B22" s="13" t="str">
        <f>'1º aditivo de valor'!C29</f>
        <v>ARMAÇÃO DE BLOCO, VIGA BALDRAME OU SAPATA UTILIZANDO AÇO CA-50 DE 6,3 MM - MONTAGEM. AF_06/2017</v>
      </c>
      <c r="C22" s="15" t="str">
        <f>'1º aditivo de valor'!E29</f>
        <v>KG</v>
      </c>
      <c r="D22" s="21"/>
      <c r="E22" s="19"/>
    </row>
    <row r="23" spans="1:6" ht="45">
      <c r="A23" s="4" t="str">
        <f>'1º aditivo de valor'!A30</f>
        <v>3.4</v>
      </c>
      <c r="B23" s="13" t="str">
        <f>'1º aditivo de valor'!C30</f>
        <v>ARMAÇÃO DE BLOCO, VIGA BALDRAME OU SAPATA UTILIZANDO AÇO CA-50 DE 10 MM - MONTAGEM. AF_06/2017</v>
      </c>
      <c r="C23" s="15" t="str">
        <f>'1º aditivo de valor'!E30</f>
        <v>KG</v>
      </c>
      <c r="D23" s="21"/>
      <c r="E23" s="20"/>
    </row>
    <row r="24" spans="1:6" ht="45">
      <c r="A24" s="4" t="str">
        <f>'1º aditivo de valor'!A31</f>
        <v>3.5</v>
      </c>
      <c r="B24" s="13" t="str">
        <f>'1º aditivo de valor'!C31</f>
        <v>ARMAÇÃO DE BLOCO, VIGA BALDRAME OU SAPATA UTILIZANDO AÇO CA-50 DE 12,5 MM - MONTAGEM. AF_06/2017</v>
      </c>
      <c r="C24" s="15" t="str">
        <f>'1º aditivo de valor'!E31</f>
        <v>KG</v>
      </c>
      <c r="D24" s="22"/>
      <c r="E24" s="19"/>
    </row>
    <row r="25" spans="1:6" ht="45">
      <c r="A25" s="4" t="str">
        <f>'1º aditivo de valor'!A32</f>
        <v>3.6</v>
      </c>
      <c r="B25" s="13" t="str">
        <f>'1º aditivo de valor'!C32</f>
        <v>ARMAÇÃO DE BLOCO, VIGA BALDRAME E SAPATA UTILIZANDO AÇO CA-60 DE 5 MM - MONTAGEM. AF_06/2017</v>
      </c>
      <c r="C25" s="15" t="str">
        <f>'1º aditivo de valor'!E32</f>
        <v>KG</v>
      </c>
      <c r="D25" s="21"/>
      <c r="E25" s="20"/>
      <c r="F25" s="55"/>
    </row>
    <row r="26" spans="1:6" ht="60">
      <c r="A26" s="4" t="str">
        <f>'1º aditivo de valor'!A33</f>
        <v>3.7</v>
      </c>
      <c r="B26" s="13" t="str">
        <f>'1º aditivo de valor'!C33</f>
        <v>CONCRETO FCK = 25MPA, TRAÇO 1:2,3:2,7 (EM MASSA SECA DE CIMENTO/ AREIA MÉDIA/ BRITA 1) - PREPARO MECÂNICO COM BETONEIRA 400 L. AF_05/2021</v>
      </c>
      <c r="C26" s="15" t="str">
        <f>'1º aditivo de valor'!E33</f>
        <v>M3</v>
      </c>
      <c r="D26" s="6"/>
      <c r="E26" s="20"/>
    </row>
    <row r="27" spans="1:6" ht="45">
      <c r="A27" s="4" t="str">
        <f>'1º aditivo de valor'!A34</f>
        <v>3.8</v>
      </c>
      <c r="B27" s="13" t="str">
        <f>'1º aditivo de valor'!C34</f>
        <v>LANÇAMENTO COM USO DE BOMBA, ADENSAMENTO E ACABAMENTO DE CONCRETO EM ESTRUTURAS. AF_12/2015</v>
      </c>
      <c r="C27" s="15" t="str">
        <f>'1º aditivo de valor'!E34</f>
        <v>M3</v>
      </c>
      <c r="D27" s="6"/>
      <c r="E27" s="20"/>
    </row>
    <row r="28" spans="1:6">
      <c r="A28" s="7" t="str">
        <f>'1º aditivo de valor'!A38</f>
        <v>4</v>
      </c>
      <c r="B28" s="428" t="str">
        <f>'1º aditivo de valor'!B38:K38</f>
        <v>ELEMENTO VAZADO</v>
      </c>
      <c r="C28" s="428"/>
      <c r="D28" s="428"/>
      <c r="E28" s="428"/>
    </row>
    <row r="29" spans="1:6" ht="300">
      <c r="A29" s="4" t="str">
        <f>'1º aditivo de valor'!A39</f>
        <v>4.1</v>
      </c>
      <c r="B29" s="5" t="str">
        <f>'1º aditivo de valor'!C39</f>
        <v>ALVENARIA DE VEDAÇÃO DE BLOCOS CERÂMICOS FURADOS NA HORIZONTAL DE 9X19X19CM (ESPESSURA 9CM) DE PAREDES COM ÁREA LÍQUIDA MAIOR OU IGUAL A 6M² SEM VÃOS E ARGAMASSA DE ASSENTAMENTO COM PREPARO EM BETONEIRA. AF_06/2014</v>
      </c>
      <c r="C29" s="4" t="str">
        <f>'1º aditivo de valor'!E39</f>
        <v>M2</v>
      </c>
      <c r="D29" s="18" t="s">
        <v>661</v>
      </c>
      <c r="E29" s="19">
        <f>50.814+79.7+1.89+46.16+12.738+58.175+21.279+16.915+4.86+37.388+22.539+22.539+5.052+8.65+20.25+16.875+22.113+13.284+12.708+22.689+37.893+16.743+19.746+21.762+10.935+4.995+4.3605+2.925+4.3605+22.005+21.6+21.6+40.887+40.887+21.6+21.6+22.41+24.18+4.86+8.1</f>
        <v>870.06699999999978</v>
      </c>
    </row>
    <row r="30" spans="1:6" ht="60">
      <c r="A30" s="4" t="str">
        <f>'1º aditivo de valor'!A40</f>
        <v>4.2</v>
      </c>
      <c r="B30" s="5" t="str">
        <f>'1º aditivo de valor'!C40</f>
        <v>ALVENARIA DE VEDAÇÃO COM ELEMENTO VAZADO DE CONCRETO (COBOGÓ) DE 7X50X50CM E ARGAMASSA DE ASSENTAMENTO COM PREPARO EM BETONEIRA. AF_05/2020</v>
      </c>
      <c r="C30" s="4" t="str">
        <f>'1º aditivo de valor'!E40</f>
        <v>M2</v>
      </c>
      <c r="D30" s="18" t="s">
        <v>658</v>
      </c>
      <c r="E30" s="19">
        <v>16</v>
      </c>
    </row>
    <row r="31" spans="1:6" ht="90">
      <c r="A31" s="4" t="str">
        <f>'1º aditivo de valor'!A41</f>
        <v>4.3</v>
      </c>
      <c r="B31" s="5" t="str">
        <f>'1º aditivo de valor'!C41</f>
        <v>ALVENARIA DE VEDAÇÃO DE BLOCOS CERÂMICOS FURADOS NA HORIZONTAL DE 9X19X19CM (ESPESSURA 9CM) DE PAREDES COM ÁREA LÍQUIDA MAIOR OU IGUAL A 6M² SEM VÃOS E ARGAMASSA DE ASSENTAMENTO COM PREPARO EM BETONEIRA. AF_06/2014</v>
      </c>
      <c r="C31" s="4" t="str">
        <f>'1º aditivo de valor'!E41</f>
        <v>M2</v>
      </c>
      <c r="D31" s="19"/>
      <c r="E31" s="19">
        <v>0</v>
      </c>
    </row>
    <row r="32" spans="1:6">
      <c r="A32" s="7" t="str">
        <f>'1º aditivo de valor'!A45</f>
        <v>5</v>
      </c>
      <c r="B32" s="428" t="str">
        <f>'1º aditivo de valor'!B45:K45</f>
        <v>ESTRUTURA</v>
      </c>
      <c r="C32" s="428"/>
      <c r="D32" s="428"/>
      <c r="E32" s="428"/>
    </row>
    <row r="33" spans="1:6" ht="300">
      <c r="A33" s="4" t="str">
        <f>'1º aditivo de valor'!A46</f>
        <v>5.1</v>
      </c>
      <c r="B33" s="6" t="str">
        <f>'1º aditivo de valor'!C46</f>
        <v>Forma plana para estruturas, em compensado plastificado de 12mm, 07 usos, inclusive escoramento - Revisada 07.2015</v>
      </c>
      <c r="C33" s="4" t="str">
        <f>'1º aditivo de valor'!E46</f>
        <v>m2</v>
      </c>
      <c r="D33" s="18" t="s">
        <v>783</v>
      </c>
      <c r="E33" s="20">
        <f>28.6848+46.6944+63.744+5.4208+41.4336+3.8272+14.5024+40+9.5616+9.5616+3.8272+3.5072+4.1472+3.1872+3.1872+3.1872+4.9408-90.44+'MEMÓRIA PILARES'!AI15+'MEMÓRIA VIGAS'!AI15</f>
        <v>578.26440000000014</v>
      </c>
      <c r="F33">
        <f>(1*((0.174*3.2*2)+(0.324*3.2*2)))+(1*((0.224*3.2)+(0.324*3.2)))</f>
        <v>4.9408000000000003</v>
      </c>
    </row>
    <row r="34" spans="1:6" ht="60">
      <c r="A34" s="4" t="str">
        <f>'1º aditivo de valor'!A47</f>
        <v>5.2</v>
      </c>
      <c r="B34" s="6" t="str">
        <f>'1º aditivo de valor'!C47</f>
        <v>ARMAÇÃO DE PILAR OU VIGA DE UMA ESTRUTURA CONVENCIONAL DE CONCRETO ARMADO EM UMA EDIFICAÇÃO TÉRREA OU SOBRADO UTILIZANDO AÇO CA-50 DE 6,3 MM - MONTAGEM. AF_12/2015</v>
      </c>
      <c r="C34" s="4" t="str">
        <f>'1º aditivo de valor'!E47</f>
        <v>KG</v>
      </c>
      <c r="D34" s="19" t="s">
        <v>784</v>
      </c>
      <c r="E34" s="4">
        <f>'MEMÓRIA VIGAS'!AI42</f>
        <v>8.0399999999999991</v>
      </c>
    </row>
    <row r="35" spans="1:6" ht="285" customHeight="1">
      <c r="A35" s="4" t="str">
        <f>'1º aditivo de valor'!A48</f>
        <v>5.3</v>
      </c>
      <c r="B35" s="6" t="str">
        <f>'1º aditivo de valor'!C48</f>
        <v>ARMAÇÃO DE PILAR OU VIGA DE UMA ESTRUTURA CONVENCIONAL DE CONCRETO ARMADO EM UMA EDIFICAÇÃO TÉRREA OU SOBRADO UTILIZANDO AÇO CA-50 DE 10,0 MM - MONTAGEM. AF_12/2015</v>
      </c>
      <c r="C35" s="4" t="str">
        <f>'1º aditivo de valor'!E48</f>
        <v>KG</v>
      </c>
      <c r="D35" s="18" t="s">
        <v>785</v>
      </c>
      <c r="E35" s="20">
        <f>((115.2+224+262.4+38.4+166.4+19.2+70.4+204.8+44.8+25.6+19.2+19.2+25.6+12.8)*0.617)-290.53+'MEMÓRIA PILARES'!AI109+'MEMÓRIA VIGAS'!AI45</f>
        <v>2702.826</v>
      </c>
    </row>
    <row r="36" spans="1:6" ht="120">
      <c r="A36" s="4" t="str">
        <f>'1º aditivo de valor'!A49</f>
        <v>5.4</v>
      </c>
      <c r="B36" s="6" t="str">
        <f>'1º aditivo de valor'!C49</f>
        <v>ARMAÇÃO DE PILAR OU VIGA DE UMA ESTRUTURA CONVENCIONAL DE CONCRETO ARMADO EM UMA EDIFICAÇÃO TÉRREA OU SOBRADO UTILIZANDO AÇO CA-50 DE 12,5 MM - MONTAGEM. AF_12/2015</v>
      </c>
      <c r="C36" s="4" t="str">
        <f>'1º aditivo de valor'!E49</f>
        <v>KG</v>
      </c>
      <c r="D36" s="18" t="s">
        <v>786</v>
      </c>
      <c r="E36" s="20">
        <f>((25.6+25.6+19.2+25.6)*0.963)-75.92+'MEMÓRIA PILARES'!AI203+'MEMÓRIA VIGAS'!AI72</f>
        <v>371.42800000000005</v>
      </c>
    </row>
    <row r="37" spans="1:6" ht="315">
      <c r="A37" s="4" t="str">
        <f>'1º aditivo de valor'!A50</f>
        <v>5.5</v>
      </c>
      <c r="B37" s="6" t="str">
        <f>'1º aditivo de valor'!C50</f>
        <v>ARMAÇÃO DE PILAR OU VIGA DE UMA ESTRUTURA CONVENCIONAL DE CONCRETO ARMADO EM UMA EDIFICAÇÃO TÉRREA OU SOBRADO UTILIZANDO AÇO CA-60 DE 5,0 MM - MONTAGEM. AF_12/2015</v>
      </c>
      <c r="C37" s="4" t="str">
        <f>'1º aditivo de valor'!E50</f>
        <v>KG</v>
      </c>
      <c r="D37" s="18" t="s">
        <v>787</v>
      </c>
      <c r="E37" s="20">
        <f>((173.25+315.5+385+54.5+250.25+32.75+106+266+63.75+55.44+30.25+19.14+34+25.25+22.22+19.25+36.08)*0.154)-87.52+'MEMÓRIA PILARES'!AI210+'MEMÓRIA VIGAS'!AI75</f>
        <v>1072.1090199999999</v>
      </c>
    </row>
    <row r="38" spans="1:6" ht="300">
      <c r="A38" s="4" t="str">
        <f>'1º aditivo de valor'!A51</f>
        <v>5.6</v>
      </c>
      <c r="B38" s="6" t="str">
        <f>'1º aditivo de valor'!C51</f>
        <v>CONCRETO FCK = 25MPA, TRAÇO 1:2,3:2,7 (EM MASSA SECA DE CIMENTO/ AREIA MÉDIA/ BRITA 1) - PREPARO MECÂNICO COM BETONEIRA 600 L. AF_05/2021</v>
      </c>
      <c r="C38" s="4" t="str">
        <f>'1º aditivo de valor'!E51</f>
        <v>M3</v>
      </c>
      <c r="D38" s="18" t="s">
        <v>788</v>
      </c>
      <c r="E38" s="20">
        <f>1.215+2.295+2.7+0.405+1.755+0.225+0.72+1.8+0.405+0.405+0.18+0.18+0.24+0.135+0.135+0.135+0.315-4.74+'MEMÓRIA PILARES'!AI304+'MEMÓRIA VIGAS'!AI102</f>
        <v>48.304999999999993</v>
      </c>
    </row>
    <row r="39" spans="1:6" ht="300">
      <c r="A39" s="4" t="str">
        <f>'1º aditivo de valor'!A52</f>
        <v>5.7</v>
      </c>
      <c r="B39" s="6" t="str">
        <f>'1º aditivo de valor'!C52</f>
        <v>LANÇAMENTO COM USO DE BOMBA, ADENSAMENTO E ACABAMENTO DE CONCRETO EM ESTRUTURAS. AF_12/2015</v>
      </c>
      <c r="C39" s="4" t="str">
        <f>'1º aditivo de valor'!E52</f>
        <v>M3</v>
      </c>
      <c r="D39" s="18" t="s">
        <v>788</v>
      </c>
      <c r="E39" s="20">
        <f>1.215+2.295+2.7+0.405+1.755+0.225+0.72+1.8+0.405+0.405+0.18+0.18+0.24+0.135+0.135+0.135+0.315-4.74+'MEMÓRIA PILARES'!AI398+'MEMÓRIA VIGAS'!AI129</f>
        <v>48.304999999999993</v>
      </c>
    </row>
    <row r="40" spans="1:6" ht="150">
      <c r="A40" s="4" t="str">
        <f>'1º aditivo de valor'!A53</f>
        <v>5.8</v>
      </c>
      <c r="B40" s="6" t="str">
        <f>'1º aditivo de valor'!C53</f>
        <v>LAJE PRÉ-MOLDADA UNIDIRECIONAL, BIAPOIADA, PARA PISO, ENCHIMENTO EM CERÂMICA, VIGOTA CONVENCIONAL, ALTURA TOTAL DA LAJE (ENCHIMENTO+CAPA) = (8+4). AF_11/2020</v>
      </c>
      <c r="C40" s="4" t="str">
        <f>'1º aditivo de valor'!E53</f>
        <v>M2</v>
      </c>
      <c r="D40" s="6" t="s">
        <v>789</v>
      </c>
      <c r="E40" s="4">
        <f>12.41+12.4+12.4+11.07+6.69+1.83+4.44+7.18+12.4</f>
        <v>80.819999999999993</v>
      </c>
    </row>
    <row r="41" spans="1:6" ht="330">
      <c r="A41" s="4" t="str">
        <f>'1º aditivo de valor'!A54</f>
        <v>5.9</v>
      </c>
      <c r="B41" s="6" t="str">
        <f>'1º aditivo de valor'!C54</f>
        <v>VERGA PRÉ-MOLDADA PARA PORTAS COM ATÉ 1,5 M DE VÃO. AF_03/2016</v>
      </c>
      <c r="C41" s="4" t="str">
        <f>'1º aditivo de valor'!E54</f>
        <v>M</v>
      </c>
      <c r="D41" s="18" t="s">
        <v>660</v>
      </c>
      <c r="E41" s="19">
        <f>3+1.5+3+1.5+1.5+1.5+1.5+1.5+1.5+1.5+1.5+1.5+3+3+1.5+1.5+1.5+1.5+1.5+1.5+1.5</f>
        <v>37.5</v>
      </c>
    </row>
    <row r="42" spans="1:6" ht="285">
      <c r="A42" s="4" t="str">
        <f>'1º aditivo de valor'!A55</f>
        <v>5.10</v>
      </c>
      <c r="B42" s="6" t="str">
        <f>'1º aditivo de valor'!C55</f>
        <v>VERGA PRÉ-MOLDADA PARA JANELAS COM ATÉ 1,5 M DE VÃO. AF_03/2016</v>
      </c>
      <c r="C42" s="4" t="str">
        <f>'1º aditivo de valor'!E55</f>
        <v>M</v>
      </c>
      <c r="D42" s="18" t="s">
        <v>659</v>
      </c>
      <c r="E42" s="19">
        <f>5+5+2.5+2.5+5+5+5+5+5+5+2.5+2.5+7.5+2.5+5+2.5+2.5+2.5+5</f>
        <v>77.5</v>
      </c>
    </row>
    <row r="43" spans="1:6">
      <c r="A43" s="16" t="str">
        <f>'1º aditivo de valor'!A57</f>
        <v>5.11</v>
      </c>
      <c r="B43" s="429" t="str">
        <f>'1º aditivo de valor'!B57:K57</f>
        <v>MURO DE CONTORNO</v>
      </c>
      <c r="C43" s="430"/>
      <c r="D43" s="430"/>
      <c r="E43" s="431"/>
    </row>
    <row r="44" spans="1:6" ht="75">
      <c r="A44" s="4" t="str">
        <f>'1º aditivo de valor'!A58</f>
        <v>5.11.1</v>
      </c>
      <c r="B44" s="6" t="str">
        <f>'1º aditivo de valor'!C58</f>
        <v>Muro em alvenaria bloco cerâmico, e= 0,09m, c/ alv de pedra granítica, 0,35 x 0,60m, colunas (9x20cm) e cintamento (9x15cm) superior e inferior concreto armado fck = 15,0 Mpa cada 3,00m, chapisco e reboco</v>
      </c>
      <c r="C44" s="4" t="str">
        <f>'1º aditivo de valor'!E58</f>
        <v>m2</v>
      </c>
      <c r="D44" s="6"/>
      <c r="E44" s="4"/>
    </row>
    <row r="45" spans="1:6">
      <c r="A45" s="7" t="str">
        <f>'1º aditivo de valor'!A66</f>
        <v>6</v>
      </c>
      <c r="B45" s="428" t="str">
        <f>'1º aditivo de valor'!B66:K66</f>
        <v>COBERTA</v>
      </c>
      <c r="C45" s="428"/>
      <c r="D45" s="428"/>
      <c r="E45" s="428"/>
    </row>
    <row r="46" spans="1:6" ht="45">
      <c r="A46" s="4" t="str">
        <f>'1º aditivo de valor'!A67</f>
        <v>6.1</v>
      </c>
      <c r="B46" s="6" t="str">
        <f>'1º aditivo de valor'!C67</f>
        <v>TELHAMENTO COM TELHA CERÂMICA CAPA-CANAL, TIPO COLONIAL, COM ATÉ 2 ÁGUAS, INCLUSO TRANSPORTE VERTICAL. AF_07/2019</v>
      </c>
      <c r="C46" s="4" t="str">
        <f>'1º aditivo de valor'!E67</f>
        <v>M2</v>
      </c>
      <c r="D46" s="4"/>
      <c r="E46" s="4"/>
    </row>
    <row r="47" spans="1:6" ht="60">
      <c r="A47" s="4" t="str">
        <f>'1º aditivo de valor'!A68</f>
        <v>6.2</v>
      </c>
      <c r="B47" s="6" t="str">
        <f>'1º aditivo de valor'!C68</f>
        <v>FABRICAÇÃO E INSTALAÇÃO DE TESOURA INTEIRA EM MADEIRA NÃO APARELHADA, VÃO DE 8 M, PARA TELHA CERÂMICA OU DE CONCRETO, INCLUSO IÇAMENTO. AF_07/2019</v>
      </c>
      <c r="C47" s="4" t="str">
        <f>'1º aditivo de valor'!E68</f>
        <v>UN</v>
      </c>
      <c r="D47" s="4"/>
      <c r="E47" s="4"/>
    </row>
    <row r="48" spans="1:6" ht="60">
      <c r="A48" s="4" t="str">
        <f>'1º aditivo de valor'!A69</f>
        <v>6.3</v>
      </c>
      <c r="B48" s="6" t="str">
        <f>'1º aditivo de valor'!C69</f>
        <v>FABRICAÇÃO E INSTALAÇÃO DE TESOURA INTEIRA EM MADEIRA NÃO APARELHADA, VÃO DE 10 M, PARA TELHA CERÂMICA OU DE CONCRETO, INCLUSO IÇAMENTO. AF_07/2019</v>
      </c>
      <c r="C48" s="4" t="str">
        <f>'1º aditivo de valor'!E69</f>
        <v>UN</v>
      </c>
      <c r="D48" s="4"/>
      <c r="E48" s="4"/>
    </row>
    <row r="49" spans="1:5" ht="60">
      <c r="A49" s="4" t="str">
        <f>'1º aditivo de valor'!A70</f>
        <v>6.4</v>
      </c>
      <c r="B49" s="6" t="str">
        <f>'1º aditivo de valor'!C70</f>
        <v>CUMEEIRA PARA TELHA CERÂMICA EMBOÇADA COM ARGAMASSA TRAÇO 1:2:9 (CIMENTO, CAL E AREIA) PARA TELHADOS COM ATÉ 2 ÁGUAS, INCLUSO TRANSPORTE VERTICAL. AF_07/2019</v>
      </c>
      <c r="C49" s="4" t="str">
        <f>'1º aditivo de valor'!E70</f>
        <v>M</v>
      </c>
      <c r="D49" s="4"/>
      <c r="E49" s="4"/>
    </row>
    <row r="50" spans="1:5" ht="75">
      <c r="A50" s="4" t="str">
        <f>'1º aditivo de valor'!A71</f>
        <v>6.5</v>
      </c>
      <c r="B50" s="6" t="str">
        <f>'1º aditivo de valor'!C71</f>
        <v>TRAMA DE MADEIRA COMPOSTA POR RIPAS, CAIBROS E TERÇAS PARA TELHADOS DE ATÉ 2 ÁGUAS PARA TELHA DE ENCAIXE DE CERÂMICA OU DE CONCRETO, INCLUSO TRANSPORTE VERTICAL. AF_07/2019</v>
      </c>
      <c r="C50" s="4" t="str">
        <f>'1º aditivo de valor'!E71</f>
        <v>M2</v>
      </c>
      <c r="D50" s="4"/>
      <c r="E50" s="4"/>
    </row>
    <row r="51" spans="1:5" ht="30">
      <c r="A51" s="4" t="str">
        <f>'1º aditivo de valor'!A72</f>
        <v>6.6</v>
      </c>
      <c r="B51" s="6" t="str">
        <f>'1º aditivo de valor'!C72</f>
        <v>FORRO EM PLACAS DE GESSO, PARA AMBIENTES COMERCIAIS. AF_05/2017_P</v>
      </c>
      <c r="C51" s="4" t="str">
        <f>'1º aditivo de valor'!E72</f>
        <v>M2</v>
      </c>
      <c r="D51" s="4"/>
      <c r="E51" s="4"/>
    </row>
    <row r="52" spans="1:5" ht="45">
      <c r="A52" s="4" t="str">
        <f>'1º aditivo de valor'!A73</f>
        <v>6.7</v>
      </c>
      <c r="B52" s="6" t="str">
        <f>'1º aditivo de valor'!C73</f>
        <v>Fornecimento e implantação de viga em concreto pré-moldado, seção = 12x20cm</v>
      </c>
      <c r="C52" s="4" t="str">
        <f>'1º aditivo de valor'!E73</f>
        <v>m</v>
      </c>
      <c r="D52" s="6" t="s">
        <v>790</v>
      </c>
      <c r="E52" s="4">
        <f>2.35*39</f>
        <v>91.65</v>
      </c>
    </row>
    <row r="53" spans="1:5" ht="45">
      <c r="A53" s="4" t="str">
        <f>'1º aditivo de valor'!A74</f>
        <v>6.8</v>
      </c>
      <c r="B53" s="6" t="str">
        <f>'1º aditivo de valor'!C74</f>
        <v>CALHA EM CHAPA DE AÇO GALVANIZADO NÚMERO 24, DESENVOLVIMENTO DE 50 CM, INCLUSO TRANSPORTE VERTICAL. AF_07/2019</v>
      </c>
      <c r="C53" s="4" t="str">
        <f>'1º aditivo de valor'!E74</f>
        <v>M</v>
      </c>
      <c r="D53" s="4"/>
      <c r="E53" s="4"/>
    </row>
    <row r="54" spans="1:5" ht="45">
      <c r="A54" s="4" t="str">
        <f>'1º aditivo de valor'!A75</f>
        <v>6.9</v>
      </c>
      <c r="B54" s="6" t="str">
        <f>'1º aditivo de valor'!C75</f>
        <v>TUBO PVC, SÉRIE R, ÁGUA PLUVIAL, DN 75 MM, FORNECIDO E INSTALADO EM CONDUTORES VERTICAIS DE ÁGUAS PLUVIAIS. AF_12/2014</v>
      </c>
      <c r="C54" s="4" t="str">
        <f>'1º aditivo de valor'!E75</f>
        <v>M</v>
      </c>
      <c r="D54" s="4"/>
      <c r="E54" s="4"/>
    </row>
    <row r="55" spans="1:5" ht="45">
      <c r="A55" s="4" t="str">
        <f>'1º aditivo de valor'!A76</f>
        <v>6.10</v>
      </c>
      <c r="B55" s="6" t="str">
        <f>'1º aditivo de valor'!C76</f>
        <v>TUBO PVC, SÉRIE R, ÁGUA PLUVIAL, DN 100 MM, FORNECIDO E INSTALADO EM RAMAL DE ENCAMINHAMENTO. AF_12/2014</v>
      </c>
      <c r="C55" s="4" t="str">
        <f>'1º aditivo de valor'!E76</f>
        <v>M</v>
      </c>
      <c r="D55" s="4"/>
      <c r="E55" s="4"/>
    </row>
    <row r="56" spans="1:5">
      <c r="A56" s="7" t="str">
        <f>'1º aditivo de valor'!A79</f>
        <v>7</v>
      </c>
      <c r="B56" s="428" t="str">
        <f>'1º aditivo de valor'!B79:K79</f>
        <v>PAVIMENTAÇÃO</v>
      </c>
      <c r="C56" s="428"/>
      <c r="D56" s="428"/>
      <c r="E56" s="428"/>
    </row>
    <row r="57" spans="1:5" ht="45">
      <c r="A57" s="4" t="str">
        <f>'1º aditivo de valor'!A80</f>
        <v>7.1</v>
      </c>
      <c r="B57" s="6" t="str">
        <f>'1º aditivo de valor'!C80</f>
        <v>LASTRO DE CONCRETO MAGRO, APLICADO EM PISOS, LAJES SOBRE SOLO OU RADIERS, ESPESSURA DE 5 CM. AF_07/2016</v>
      </c>
      <c r="C57" s="4" t="str">
        <f>'1º aditivo de valor'!E80</f>
        <v>M2</v>
      </c>
      <c r="D57" s="4"/>
      <c r="E57" s="4"/>
    </row>
    <row r="58" spans="1:5" ht="60">
      <c r="A58" s="4" t="str">
        <f>'1º aditivo de valor'!A81</f>
        <v>7.2</v>
      </c>
      <c r="B58" s="6" t="str">
        <f>'1º aditivo de valor'!C81</f>
        <v>Fornecimento e instalação de tela aço soldada nervurada CA-60, malha 15x15cm, ferro 4.2mm, painel 2x3m, (1,50kg/m²), Malha Pop Reforçada Gerdau ou similar</v>
      </c>
      <c r="C58" s="4" t="str">
        <f>'1º aditivo de valor'!E81</f>
        <v>m2</v>
      </c>
      <c r="D58" s="4"/>
      <c r="E58" s="4"/>
    </row>
    <row r="59" spans="1:5" ht="75">
      <c r="A59" s="4" t="str">
        <f>'1º aditivo de valor'!A82</f>
        <v>7.3</v>
      </c>
      <c r="B59" s="6" t="str">
        <f>'1º aditivo de valor'!C82</f>
        <v>CONTRAPISO EM ARGAMASSA TRAÇO 1:4 (CIMENTO E AREIA), PREPARO MANUAL, APLICADO EM ÁREAS SECAS SOBRE LAJE, ADERIDO, ACABAMENTO NÃO REFORÇADO, ESPESSURA 3CM. AF_07/2021</v>
      </c>
      <c r="C59" s="4" t="str">
        <f>'1º aditivo de valor'!E82</f>
        <v>M2</v>
      </c>
      <c r="D59" s="4"/>
      <c r="E59" s="4"/>
    </row>
    <row r="60" spans="1:5" ht="45">
      <c r="A60" s="4" t="str">
        <f>'1º aditivo de valor'!A83</f>
        <v>7.4</v>
      </c>
      <c r="B60" s="6" t="str">
        <f>'1º aditivo de valor'!C83</f>
        <v>LASTRO COM MATERIAL GRANULAR (AREIA MÉDIA), APLICADO EM PISOS OU LAJES SOBRE SOLO, ESPESSURA DE *10 CM*. AF_07/2019</v>
      </c>
      <c r="C60" s="4" t="str">
        <f>'1º aditivo de valor'!E83</f>
        <v>M3</v>
      </c>
      <c r="D60" s="4"/>
      <c r="E60" s="4"/>
    </row>
    <row r="61" spans="1:5" ht="90">
      <c r="A61" s="4" t="str">
        <f>'1º aditivo de valor'!A84</f>
        <v>7.5</v>
      </c>
      <c r="B61" s="6" t="str">
        <f>'1º aditivo de valor'!C84</f>
        <v>ASSENTAMENTO DE GUIA (MEIO-FIO) EM TRECHO RETO, CONFECCIONADA EM CONCRETO PRÉ-FABRICADO, DIMENSÕES 100X15X13X30 CM (COMPRIMENTO X BASE INFERIOR X BASE SUPERIOR X ALTURA), PARA VIAS URBANAS (USO VIÁRIO). AF_06/2016</v>
      </c>
      <c r="C61" s="4" t="str">
        <f>'1º aditivo de valor'!E84</f>
        <v>M</v>
      </c>
      <c r="D61" s="4"/>
      <c r="E61" s="4"/>
    </row>
    <row r="62" spans="1:5" ht="30">
      <c r="A62" s="4" t="str">
        <f>'1º aditivo de valor'!A85</f>
        <v>7.6</v>
      </c>
      <c r="B62" s="6" t="str">
        <f>'1º aditivo de valor'!C85</f>
        <v>RODAPÉ EM MARMORITE, ALTURA 10CM. AF_09/2020</v>
      </c>
      <c r="C62" s="4" t="str">
        <f>'1º aditivo de valor'!E85</f>
        <v>M</v>
      </c>
      <c r="D62" s="4"/>
      <c r="E62" s="4"/>
    </row>
    <row r="63" spans="1:5" ht="60">
      <c r="A63" s="4" t="str">
        <f>'1º aditivo de valor'!A86</f>
        <v>7.7</v>
      </c>
      <c r="B63" s="6" t="str">
        <f>'1º aditivo de valor'!C86</f>
        <v>EXECUÇÃO DE PÁTIO/ESTACIONAMENTO EM PISO INTERTRAVADO, COM BLOCO RETANGULAR COR NATURAL DE 20 X 10 CM, ESPESSURA 6 CM. AF_12/2015</v>
      </c>
      <c r="C63" s="4" t="str">
        <f>'1º aditivo de valor'!E86</f>
        <v>M2</v>
      </c>
      <c r="D63" s="4"/>
      <c r="E63" s="4"/>
    </row>
    <row r="64" spans="1:5" ht="45">
      <c r="A64" s="4" t="str">
        <f>'1º aditivo de valor'!A87</f>
        <v>7.8</v>
      </c>
      <c r="B64" s="6" t="str">
        <f>'1º aditivo de valor'!C87</f>
        <v>PISO EM GRANILITE, MARMORITE OU GRANITINA, AGREGADO COR PRETO, CINZA, PALHA OU BRANCO, E=  *8* MM (INCLUSO EXECUCAO)</v>
      </c>
      <c r="C64" s="4" t="str">
        <f>'1º aditivo de valor'!E87</f>
        <v>M2</v>
      </c>
      <c r="D64" s="4"/>
      <c r="E64" s="4"/>
    </row>
    <row r="65" spans="1:5">
      <c r="A65" s="7" t="str">
        <f>'1º aditivo de valor'!A91</f>
        <v>8</v>
      </c>
      <c r="B65" s="428" t="str">
        <f>'1º aditivo de valor'!B91:K91</f>
        <v>REVESTIMENTOS</v>
      </c>
      <c r="C65" s="428"/>
      <c r="D65" s="428"/>
      <c r="E65" s="428"/>
    </row>
    <row r="66" spans="1:5" ht="60">
      <c r="A66" s="4" t="str">
        <f>'1º aditivo de valor'!A92</f>
        <v>8.1</v>
      </c>
      <c r="B66" s="6" t="str">
        <f>'1º aditivo de valor'!C92</f>
        <v>CHAPISCO APLICADO EM ALVENARIAS E ESTRUTURAS DE CONCRETO INTERNAS, COM COLHER DE PEDREIRO.  ARGAMASSA TRAÇO 1:3 COM PREPARO EM BETONEIRA 400L. AF_06/2014</v>
      </c>
      <c r="C66" s="4" t="str">
        <f>'1º aditivo de valor'!E92</f>
        <v>M2</v>
      </c>
      <c r="D66" s="4"/>
      <c r="E66" s="4"/>
    </row>
    <row r="67" spans="1:5" ht="90">
      <c r="A67" s="4" t="str">
        <f>'1º aditivo de valor'!A93</f>
        <v>8.2</v>
      </c>
      <c r="B67" s="6" t="str">
        <f>'1º aditivo de valor'!C93</f>
        <v>MASSA ÚNICA, PARA RECEBIMENTO DE PINTURA, EM ARGAMASSA TRAÇO 1:2:8, PREPARO MECÂNICO COM BETONEIRA 400L, APLICADA MANUALMENTE EM FACES INTERNAS DE PAREDES, ESPESSURA DE 10MM, COM EXECUÇÃO DE TALISCAS. AF_06/2014</v>
      </c>
      <c r="C67" s="4" t="str">
        <f>'1º aditivo de valor'!E93</f>
        <v>M2</v>
      </c>
      <c r="D67" s="4"/>
      <c r="E67" s="4"/>
    </row>
    <row r="68" spans="1:5" ht="90">
      <c r="A68" s="4" t="str">
        <f>'1º aditivo de valor'!A94</f>
        <v>8.3</v>
      </c>
      <c r="B68" s="6" t="str">
        <f>'1º aditivo de valor'!C94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4" t="str">
        <f>'1º aditivo de valor'!E94</f>
        <v>M2</v>
      </c>
      <c r="D68" s="4"/>
      <c r="E68" s="4"/>
    </row>
    <row r="69" spans="1:5" ht="60">
      <c r="A69" s="4" t="str">
        <f>'1º aditivo de valor'!A95</f>
        <v>8.4</v>
      </c>
      <c r="B69" s="6" t="str">
        <f>'1º aditivo de valor'!C95</f>
        <v>REVESTIMENTO CERÂMICO PARA PISO COM PLACAS TIPO ESMALTADA EXTRA DE DIMENSÕES 45X45 CM APLICADA EM AMBIENTES DE ÁREA MAIOR QUE 10 M2. AF_06/2014</v>
      </c>
      <c r="C69" s="4" t="str">
        <f>'1º aditivo de valor'!E95</f>
        <v>M2</v>
      </c>
      <c r="D69" s="4"/>
      <c r="E69" s="4"/>
    </row>
    <row r="70" spans="1:5" ht="90">
      <c r="A70" s="4" t="str">
        <f>'1º aditivo de valor'!A96</f>
        <v>8.5</v>
      </c>
      <c r="B70" s="6" t="str">
        <f>'1º aditivo de valor'!C96</f>
        <v>ARGAMASSA TRAÇO 1:7 (EM VOLUME DE CIMENTO E AREIA MÉDIA ÚMIDA) COM ADIÇÃO DE PLASTIFICANTE PARA EMBOÇO/MASSA ÚNICA/ASSENTAMENTO DE ALVENARIA DE VEDAÇÃO, PREPARO MECÂNICO COM BETONEIRA 400 L. AF_08/2019</v>
      </c>
      <c r="C70" s="4" t="str">
        <f>'1º aditivo de valor'!E96</f>
        <v>M3</v>
      </c>
      <c r="D70" s="4"/>
      <c r="E70" s="4"/>
    </row>
    <row r="71" spans="1:5">
      <c r="A71" s="7" t="str">
        <f>'1º aditivo de valor'!A99</f>
        <v>9</v>
      </c>
      <c r="B71" s="428" t="str">
        <f>'1º aditivo de valor'!B99:K99</f>
        <v>ESQUADRIAS, FERRAGENS, VIDROS, BANCADAS E DIVISÓRIAS</v>
      </c>
      <c r="C71" s="428"/>
      <c r="D71" s="428"/>
      <c r="E71" s="428"/>
    </row>
    <row r="72" spans="1:5" ht="90">
      <c r="A72" s="4" t="str">
        <f>'1º aditivo de valor'!A100</f>
        <v>9.1</v>
      </c>
      <c r="B72" s="6" t="str">
        <f>'1º aditivo de valor'!C100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4" t="str">
        <f>'1º aditivo de valor'!E100</f>
        <v>UN</v>
      </c>
      <c r="D72" s="4"/>
      <c r="E72" s="4"/>
    </row>
    <row r="73" spans="1:5" ht="90">
      <c r="A73" s="4" t="str">
        <f>'1º aditivo de valor'!A101</f>
        <v>9.2</v>
      </c>
      <c r="B73" s="6" t="str">
        <f>'1º aditivo de valor'!C101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4" t="str">
        <f>'1º aditivo de valor'!E101</f>
        <v>UN</v>
      </c>
      <c r="D73" s="4"/>
      <c r="E73" s="4"/>
    </row>
    <row r="74" spans="1:5" ht="90">
      <c r="A74" s="4" t="str">
        <f>'1º aditivo de valor'!A102</f>
        <v>9.3</v>
      </c>
      <c r="B74" s="6" t="str">
        <f>'1º aditivo de valor'!C102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4" t="str">
        <f>'1º aditivo de valor'!E102</f>
        <v>UN</v>
      </c>
      <c r="D74" s="4"/>
      <c r="E74" s="4"/>
    </row>
    <row r="75" spans="1:5" ht="90">
      <c r="A75" s="4" t="str">
        <f>'1º aditivo de valor'!A103</f>
        <v>9.4</v>
      </c>
      <c r="B75" s="6" t="str">
        <f>'1º aditivo de valor'!C103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4" t="str">
        <f>'1º aditivo de valor'!E103</f>
        <v>UN</v>
      </c>
      <c r="D75" s="4"/>
      <c r="E75" s="4"/>
    </row>
    <row r="76" spans="1:5" ht="45">
      <c r="A76" s="4" t="str">
        <f>'1º aditivo de valor'!A104</f>
        <v>9.5</v>
      </c>
      <c r="B76" s="6" t="str">
        <f>'1º aditivo de valor'!C104</f>
        <v>PORTA EM ALUMÍNIO DE ABRIR TIPO VENEZIANA COM GUARNIÇÃO, FIXAÇÃO COM PARAFUSOS - FORNECIMENTO E INSTALAÇÃO. AF_12/2019</v>
      </c>
      <c r="C76" s="4" t="str">
        <f>'1º aditivo de valor'!E104</f>
        <v>M2</v>
      </c>
      <c r="D76" s="4"/>
      <c r="E76" s="4"/>
    </row>
    <row r="77" spans="1:5" ht="30">
      <c r="A77" s="4" t="str">
        <f>'1º aditivo de valor'!A105</f>
        <v>9.6</v>
      </c>
      <c r="B77" s="6" t="str">
        <f>'1º aditivo de valor'!C105</f>
        <v>Janela basculante, moldura em barra chata de ferro 1x1/4, e cantoneira 1x1x1/4 - exclusive vidro</v>
      </c>
      <c r="C77" s="4" t="str">
        <f>'1º aditivo de valor'!E105</f>
        <v>m2</v>
      </c>
      <c r="D77" s="4"/>
      <c r="E77" s="4"/>
    </row>
    <row r="78" spans="1:5">
      <c r="A78" s="4" t="str">
        <f>'1º aditivo de valor'!A106</f>
        <v>9.7</v>
      </c>
      <c r="B78" s="6" t="str">
        <f>'1º aditivo de valor'!C106</f>
        <v>Vidro fantasia canelado 4 mm</v>
      </c>
      <c r="C78" s="4" t="str">
        <f>'1º aditivo de valor'!E106</f>
        <v>m2</v>
      </c>
      <c r="D78" s="4"/>
      <c r="E78" s="4"/>
    </row>
    <row r="79" spans="1:5" ht="75">
      <c r="A79" s="4" t="str">
        <f>'1º aditivo de valor'!A107</f>
        <v>9.8</v>
      </c>
      <c r="B79" s="6" t="str">
        <f>'1º aditivo de valor'!C107</f>
        <v>JANELA DE ALUMÍNIO DE CORRER COM 2 FOLHAS PARA VIDROS, COM VIDROS, BATENTE, ACABAMENTO COM ACETATO OU BRILHANTE E FERRAGENS. EXCLUSIVE ALIZAR E CONTRAMARCO. FORNECIMENTO E INSTALAÇÃO. AF_12/2019</v>
      </c>
      <c r="C79" s="4" t="str">
        <f>'1º aditivo de valor'!E107</f>
        <v>M2</v>
      </c>
      <c r="D79" s="4"/>
      <c r="E79" s="4"/>
    </row>
    <row r="80" spans="1:5" ht="60">
      <c r="A80" s="4" t="str">
        <f>'1º aditivo de valor'!A108</f>
        <v>9.9</v>
      </c>
      <c r="B80" s="6" t="str">
        <f>'1º aditivo de valor'!C108</f>
        <v>JANELA DE ALUMÍNIO TIPO MAXIM-AR, COM VIDROS, BATENTE E FERRAGENS. EXCLUSIVE ALIZAR, ACABAMENTO E CONTRAMARCO. FORNECIMENTO E INSTALAÇÃO. AF_12/2019</v>
      </c>
      <c r="C80" s="4" t="str">
        <f>'1º aditivo de valor'!E108</f>
        <v>M2</v>
      </c>
      <c r="D80" s="4"/>
      <c r="E80" s="4"/>
    </row>
    <row r="81" spans="1:5" ht="60">
      <c r="A81" s="4" t="str">
        <f>'1º aditivo de valor'!A109</f>
        <v>9.10</v>
      </c>
      <c r="B81" s="6" t="str">
        <f>'1º aditivo de valor'!C109</f>
        <v>Portão de ferro de abrir, quadro em tubo de aço galv.1 1/2", barra quadrada 1/2" na vertical e barra chata de 1 x 3/16" na horizontal, inclusive dobradiças e e ferrolho</v>
      </c>
      <c r="C81" s="4" t="str">
        <f>'1º aditivo de valor'!E109</f>
        <v>m2</v>
      </c>
      <c r="D81" s="4"/>
      <c r="E81" s="4"/>
    </row>
    <row r="82" spans="1:5">
      <c r="A82" s="4" t="str">
        <f>'1º aditivo de valor'!A110</f>
        <v>9.11</v>
      </c>
      <c r="B82" s="6" t="str">
        <f>'1º aditivo de valor'!C110</f>
        <v>Grade ferro 1/2 x 1/2"</v>
      </c>
      <c r="C82" s="4" t="str">
        <f>'1º aditivo de valor'!E110</f>
        <v>m2</v>
      </c>
      <c r="D82" s="4"/>
      <c r="E82" s="4"/>
    </row>
    <row r="83" spans="1:5" ht="45">
      <c r="A83" s="4" t="str">
        <f>'1º aditivo de valor'!A111</f>
        <v>9.12</v>
      </c>
      <c r="B83" s="6" t="str">
        <f>'1º aditivo de valor'!C111</f>
        <v>Divisória em granito cinza andorinha polido, e=2cm, inclusive montagem com ferragens - Rev 02</v>
      </c>
      <c r="C83" s="4" t="str">
        <f>'1º aditivo de valor'!E111</f>
        <v>m2</v>
      </c>
      <c r="D83" s="4"/>
      <c r="E83" s="4"/>
    </row>
    <row r="84" spans="1:5">
      <c r="A84" s="4" t="str">
        <f>'1º aditivo de valor'!A112</f>
        <v>9.13</v>
      </c>
      <c r="B84" s="6" t="str">
        <f>'1º aditivo de valor'!C112</f>
        <v>Bancada em granito cinza andorinha, e=2cm</v>
      </c>
      <c r="C84" s="4" t="str">
        <f>'1º aditivo de valor'!E112</f>
        <v>m2</v>
      </c>
      <c r="D84" s="4"/>
      <c r="E84" s="4"/>
    </row>
    <row r="85" spans="1:5">
      <c r="A85" s="4" t="str">
        <f>'1º aditivo de valor'!A113</f>
        <v>9.14</v>
      </c>
      <c r="B85" s="6" t="str">
        <f>'1º aditivo de valor'!C113</f>
        <v>Bandeira fixa em madeira para vidro</v>
      </c>
      <c r="C85" s="4" t="str">
        <f>'1º aditivo de valor'!E113</f>
        <v>m2</v>
      </c>
      <c r="D85" s="4"/>
      <c r="E85" s="4"/>
    </row>
    <row r="86" spans="1:5">
      <c r="A86" s="7" t="str">
        <f>'1º aditivo de valor'!A116</f>
        <v>10</v>
      </c>
      <c r="B86" s="428" t="str">
        <f>'1º aditivo de valor'!B116:K116</f>
        <v>IMPERMEABILIZAÇÃO</v>
      </c>
      <c r="C86" s="428"/>
      <c r="D86" s="428"/>
      <c r="E86" s="428"/>
    </row>
    <row r="87" spans="1:5" ht="360">
      <c r="A87" s="4" t="str">
        <f>'1º aditivo de valor'!A117</f>
        <v>10.1</v>
      </c>
      <c r="B87" s="6" t="str">
        <f>'1º aditivo de valor'!C117</f>
        <v>Impermeabilização com asfalto elastomérico c/armação de véu de poliéster, inclusive primer  (p/fundação)</v>
      </c>
      <c r="C87" s="4" t="str">
        <f>'1º aditivo de valor'!E117</f>
        <v>m2</v>
      </c>
      <c r="D87" s="6" t="s">
        <v>613</v>
      </c>
      <c r="E87" s="14">
        <f>17.805+2.55+2.55+2.445+4.8+1.53+29.7225+4.8+1.275+29.97+3.18+4.23+29.7225+6.195+1.275+29.97+7.965+14.5725+24.0375+14.4225+24.3675+24.3675+7.305</f>
        <v>289.0575</v>
      </c>
    </row>
    <row r="88" spans="1:5" ht="45">
      <c r="A88" s="4" t="str">
        <f>'1º aditivo de valor'!A118</f>
        <v>10.2</v>
      </c>
      <c r="B88" s="6" t="str">
        <f>'1º aditivo de valor'!C118</f>
        <v>IMPERMEABILIZAÇÃO DE SUPERFÍCIE COM MANTA ASFÁLTICA, UMA CAMADA, INCLUSIVE APLICAÇÃO DE PRIMER ASFÁLTICO, E=3MM. AF_06/2018</v>
      </c>
      <c r="C88" s="4" t="str">
        <f>'1º aditivo de valor'!E118</f>
        <v>M2</v>
      </c>
      <c r="D88" s="4"/>
      <c r="E88" s="4"/>
    </row>
    <row r="89" spans="1:5">
      <c r="A89" s="7" t="str">
        <f>'1º aditivo de valor'!A121</f>
        <v>11</v>
      </c>
      <c r="B89" s="428" t="str">
        <f>'1º aditivo de valor'!B121:K121</f>
        <v>INSTALAÇÃO DE COMBATE A INCÊNDIO</v>
      </c>
      <c r="C89" s="428"/>
      <c r="D89" s="428"/>
      <c r="E89" s="428"/>
    </row>
    <row r="90" spans="1:5" ht="45">
      <c r="A90" s="4" t="str">
        <f>'1º aditivo de valor'!A122</f>
        <v>11.1</v>
      </c>
      <c r="B90" s="6" t="str">
        <f>'1º aditivo de valor'!C122</f>
        <v>EXTINTOR DE INCÊNDIO PORTÁTIL COM CARGA DE ÁGUA PRESSURIZADA DE 10 L, CLASSE A - FORNECIMENTO E INSTALAÇÃO. AF_10/2020_P</v>
      </c>
      <c r="C90" s="4" t="str">
        <f>'1º aditivo de valor'!E122</f>
        <v>UN</v>
      </c>
      <c r="D90" s="4"/>
      <c r="E90" s="4"/>
    </row>
    <row r="91" spans="1:5" ht="45">
      <c r="A91" s="4" t="str">
        <f>'1º aditivo de valor'!A123</f>
        <v>11.2</v>
      </c>
      <c r="B91" s="6" t="str">
        <f>'1º aditivo de valor'!C123</f>
        <v>EXTINTOR DE INCÊNDIO PORTÁTIL COM CARGA DE PQS DE 4 KG, CLASSE BC - FORNECIMENTO E INSTALAÇÃO. AF_10/2020_P</v>
      </c>
      <c r="C91" s="4" t="str">
        <f>'1º aditivo de valor'!E123</f>
        <v>UN</v>
      </c>
      <c r="D91" s="4"/>
      <c r="E91" s="4"/>
    </row>
    <row r="92" spans="1:5" ht="45">
      <c r="A92" s="4" t="str">
        <f>'1º aditivo de valor'!A124</f>
        <v>11.3</v>
      </c>
      <c r="B92" s="6" t="str">
        <f>'1º aditivo de valor'!C124</f>
        <v>Luminaria autônoma de emergencia com lâmapda halógena H3/12v, ref. Lux 110, da Luxtron ou similar - Rev.01</v>
      </c>
      <c r="C92" s="4" t="str">
        <f>'1º aditivo de valor'!E124</f>
        <v>un</v>
      </c>
      <c r="D92" s="4"/>
      <c r="E92" s="4"/>
    </row>
    <row r="93" spans="1:5" ht="60">
      <c r="A93" s="4" t="str">
        <f>'1º aditivo de valor'!A125</f>
        <v>11.4</v>
      </c>
      <c r="B93" s="6" t="str">
        <f>'1º aditivo de valor'!C125</f>
        <v>Placa de sinalizacao de seguranca contra incendio, fotoluminescente, retangular, *12 x 40* cm, em pvc *2* mm anti-chamas (simbolos, cores e pictogramas conforme nbr 13434)</v>
      </c>
      <c r="C93" s="4" t="str">
        <f>'1º aditivo de valor'!E125</f>
        <v>Un</v>
      </c>
      <c r="D93" s="4"/>
      <c r="E93" s="4"/>
    </row>
    <row r="94" spans="1:5" ht="45">
      <c r="A94" s="4" t="str">
        <f>'1º aditivo de valor'!A126</f>
        <v>11.5</v>
      </c>
      <c r="B94" s="6" t="str">
        <f>'1º aditivo de valor'!C126</f>
        <v>Placa de sinalizacao, fotoluminescente, em pvc , com logotipo "Extintor de incêndio portátil"- Placa E5</v>
      </c>
      <c r="C94" s="4" t="str">
        <f>'1º aditivo de valor'!E126</f>
        <v>un</v>
      </c>
      <c r="D94" s="4"/>
      <c r="E94" s="4"/>
    </row>
    <row r="95" spans="1:5">
      <c r="A95" s="7" t="str">
        <f>'1º aditivo de valor'!A129</f>
        <v>12</v>
      </c>
      <c r="B95" s="428" t="str">
        <f>'1º aditivo de valor'!B129:K129</f>
        <v>INSTALAÇÕES ELÉTRICAS</v>
      </c>
      <c r="C95" s="428"/>
      <c r="D95" s="428"/>
      <c r="E95" s="428"/>
    </row>
    <row r="96" spans="1:5">
      <c r="A96" s="4" t="str">
        <f>'1º aditivo de valor'!A130</f>
        <v>12.1</v>
      </c>
      <c r="B96" s="6" t="str">
        <f>'1º aditivo de valor'!C130</f>
        <v>CAIXA DE LIGAÇÃO PVC 4" X 2"</v>
      </c>
      <c r="C96" s="4" t="str">
        <f>'1º aditivo de valor'!E130</f>
        <v>UN</v>
      </c>
      <c r="D96" s="4"/>
      <c r="E96" s="4"/>
    </row>
    <row r="97" spans="1:5" ht="45">
      <c r="A97" s="4" t="str">
        <f>'1º aditivo de valor'!A131</f>
        <v>12.2</v>
      </c>
      <c r="B97" s="6" t="str">
        <f>'1º aditivo de valor'!C131</f>
        <v>CAIXA SEXTAVADA 3" X 3", METÁLICA, INSTALADA EM LAJE - FORNECIMENTO E INSTALAÇÃO. AF_12/2015</v>
      </c>
      <c r="C97" s="4" t="str">
        <f>'1º aditivo de valor'!E131</f>
        <v>UN</v>
      </c>
      <c r="D97" s="4"/>
      <c r="E97" s="4"/>
    </row>
    <row r="98" spans="1:5" ht="60">
      <c r="A98" s="4" t="str">
        <f>'1º aditivo de valor'!A132</f>
        <v>12.3</v>
      </c>
      <c r="B98" s="6" t="str">
        <f>'1º aditivo de valor'!C132</f>
        <v>CURVA 90 GRAUS PARA ELETRODUTO, PVC, ROSCÁVEL, DN 32 MM (1"), PARA CIRCUITOS TERMINAIS, INSTALADA EM PAREDE - FORNECIMENTO E INSTALAÇÃO. AF_12/2015</v>
      </c>
      <c r="C98" s="4" t="str">
        <f>'1º aditivo de valor'!E132</f>
        <v>UN</v>
      </c>
      <c r="D98" s="4"/>
      <c r="E98" s="4"/>
    </row>
    <row r="99" spans="1:5" ht="60">
      <c r="A99" s="4" t="str">
        <f>'1º aditivo de valor'!A133</f>
        <v>12.4</v>
      </c>
      <c r="B99" s="6" t="str">
        <f>'1º aditivo de valor'!C133</f>
        <v>CURVA 90 GRAUS PARA ELETRODUTO, PVC, ROSCÁVEL, DN 40 MM (1 1/4"), PARA CIRCUITOS TERMINAIS, INSTALADA EM PAREDE - FORNECIMENTO E INSTALAÇÃO. AF_12/2015</v>
      </c>
      <c r="C99" s="4" t="str">
        <f>'1º aditivo de valor'!E133</f>
        <v>UN</v>
      </c>
      <c r="D99" s="4"/>
      <c r="E99" s="4"/>
    </row>
    <row r="100" spans="1:5" ht="60">
      <c r="A100" s="4" t="str">
        <f>'1º aditivo de valor'!A134</f>
        <v>12.5</v>
      </c>
      <c r="B100" s="6" t="str">
        <f>'1º aditivo de valor'!C134</f>
        <v>ELETRODUTO FLEXÍVEL CORRUGADO REFORÇADO, PVC, DN 32 MM (1"), PARA CIRCUITOS TERMINAIS, INSTALADO EM PAREDE - FORNECIMENTO E INSTALAÇÃO. AF_12/2015</v>
      </c>
      <c r="C100" s="4" t="str">
        <f>'1º aditivo de valor'!E134</f>
        <v>M</v>
      </c>
      <c r="D100" s="4"/>
      <c r="E100" s="4"/>
    </row>
    <row r="101" spans="1:5" ht="60">
      <c r="A101" s="4" t="str">
        <f>'1º aditivo de valor'!A135</f>
        <v>12.6</v>
      </c>
      <c r="B101" s="6" t="str">
        <f>'1º aditivo de valor'!C135</f>
        <v>ELETRODUTO FLEXÍVEL CORRUGADO, PEAD, DN 40 MM (1 1/4"), PARA CIRCUITOS TERMINAIS, INSTALADO EM PAREDE - FORNECIMENTO E INSTALAÇÃO. AF_12/2015</v>
      </c>
      <c r="C101" s="4" t="str">
        <f>'1º aditivo de valor'!E135</f>
        <v>M</v>
      </c>
      <c r="D101" s="4"/>
      <c r="E101" s="4"/>
    </row>
    <row r="102" spans="1:5" ht="60">
      <c r="A102" s="4" t="str">
        <f>'1º aditivo de valor'!A136</f>
        <v>12.7</v>
      </c>
      <c r="B102" s="6" t="str">
        <f>'1º aditivo de valor'!C136</f>
        <v>ELETRODUTO FLEXÍVEL CORRUGADO REFORÇADO, PVC, DN 20 MM (1/2"), PARA CIRCUITOS TERMINAIS, INSTALADO EM PAREDE - FORNECIMENTO E INSTALAÇÃO. AF_12/2015</v>
      </c>
      <c r="C102" s="4" t="str">
        <f>'1º aditivo de valor'!E136</f>
        <v>M</v>
      </c>
      <c r="D102" s="4"/>
      <c r="E102" s="4"/>
    </row>
    <row r="103" spans="1:5" ht="45">
      <c r="A103" s="4" t="str">
        <f>'1º aditivo de valor'!A137</f>
        <v>12.8</v>
      </c>
      <c r="B103" s="6" t="str">
        <f>'1º aditivo de valor'!C137</f>
        <v>ELETRODUTO RÍGIDO ROSCÁVEL, PVC, DN 50 MM (1 1/2") - FORNECIMENTO E INSTALAÇÃO. AF_12/2015</v>
      </c>
      <c r="C103" s="4" t="str">
        <f>'1º aditivo de valor'!E137</f>
        <v>M</v>
      </c>
      <c r="D103" s="4"/>
      <c r="E103" s="4"/>
    </row>
    <row r="104" spans="1:5" ht="60">
      <c r="A104" s="4" t="str">
        <f>'1º aditivo de valor'!A138</f>
        <v>12.9</v>
      </c>
      <c r="B104" s="6" t="str">
        <f>'1º aditivo de valor'!C138</f>
        <v>ELETRODUTO RÍGIDO ROSCÁVEL, PVC, DN 40 MM (1 1/4"), PARA CIRCUITOS TERMINAIS, INSTALADO EM PAREDE - FORNECIMENTO E INSTALAÇÃO. AF_12/2015</v>
      </c>
      <c r="C104" s="4" t="str">
        <f>'1º aditivo de valor'!E138</f>
        <v>M</v>
      </c>
      <c r="D104" s="4"/>
      <c r="E104" s="4"/>
    </row>
    <row r="105" spans="1:5" ht="60">
      <c r="A105" s="4" t="str">
        <f>'1º aditivo de valor'!A139</f>
        <v>12.10</v>
      </c>
      <c r="B105" s="6" t="str">
        <f>'1º aditivo de valor'!C139</f>
        <v>ELETRODUTO RÍGIDO ROSCÁVEL, PVC, DN 32 MM (1"), PARA CIRCUITOS TERMINAIS, INSTALADO EM PAREDE - FORNECIMENTO E INSTALAÇÃO. AF_12/2015</v>
      </c>
      <c r="C105" s="4" t="str">
        <f>'1º aditivo de valor'!E139</f>
        <v>M</v>
      </c>
      <c r="D105" s="4"/>
      <c r="E105" s="4"/>
    </row>
    <row r="106" spans="1:5" ht="60">
      <c r="A106" s="4" t="str">
        <f>'1º aditivo de valor'!A140</f>
        <v>12.11</v>
      </c>
      <c r="B106" s="6" t="str">
        <f>'1º aditivo de valor'!C140</f>
        <v>LUVA PARA ELETRODUTO, PVC, ROSCÁVEL, DN 32 MM (1"), PARA CIRCUITOS TERMINAIS, INSTALADA EM FORRO - FORNECIMENTO E INSTALAÇÃO. AF_12/2015</v>
      </c>
      <c r="C106" s="4" t="str">
        <f>'1º aditivo de valor'!E140</f>
        <v>UN</v>
      </c>
      <c r="D106" s="4"/>
      <c r="E106" s="4"/>
    </row>
    <row r="107" spans="1:5" ht="60">
      <c r="A107" s="4" t="str">
        <f>'1º aditivo de valor'!A141</f>
        <v>12.12</v>
      </c>
      <c r="B107" s="6" t="str">
        <f>'1º aditivo de valor'!C141</f>
        <v>LUVA PARA ELETRODUTO, PVC, ROSCÁVEL, DN 40 MM (1 1/4"), PARA CIRCUITOS TERMINAIS, INSTALADA EM FORRO - FORNECIMENTO E INSTALAÇÃO. AF_12/2015</v>
      </c>
      <c r="C107" s="4" t="str">
        <f>'1º aditivo de valor'!E141</f>
        <v>UN</v>
      </c>
      <c r="D107" s="4"/>
      <c r="E107" s="4"/>
    </row>
    <row r="108" spans="1:5" ht="45">
      <c r="A108" s="4" t="str">
        <f>'1º aditivo de valor'!A142</f>
        <v>12.13</v>
      </c>
      <c r="B108" s="6" t="str">
        <f>'1º aditivo de valor'!C142</f>
        <v>LUVA PARA ELETRODUTO, PVC, ROSCÁVEL, DN 50 MM (1 1/2") - FORNECIMENTO E INSTALAÇÃO. AF_12/2015</v>
      </c>
      <c r="C108" s="4" t="str">
        <f>'1º aditivo de valor'!E142</f>
        <v>UN</v>
      </c>
      <c r="D108" s="4"/>
      <c r="E108" s="4"/>
    </row>
    <row r="109" spans="1:5" ht="75">
      <c r="A109" s="4" t="str">
        <f>'1º aditivo de valor'!A143</f>
        <v>12.14</v>
      </c>
      <c r="B109" s="6" t="str">
        <f>'1º aditivo de valor'!C143</f>
        <v>QUADRO DE DISTRIBUIÇÃO DE ENERGIA EM CHAPA DE AÇO GALVANIZADO, DE EMBUTIR, COM BARRAMENTO TRIFÁSICO, PARA 24 DISJUNTORES DIN 100A - FORNECIMENTO E INSTALAÇÃO. AF_10/2020</v>
      </c>
      <c r="C109" s="4" t="str">
        <f>'1º aditivo de valor'!E143</f>
        <v>UN</v>
      </c>
      <c r="D109" s="4"/>
      <c r="E109" s="4"/>
    </row>
    <row r="110" spans="1:5" ht="75">
      <c r="A110" s="4" t="str">
        <f>'1º aditivo de valor'!A144</f>
        <v>12.15</v>
      </c>
      <c r="B110" s="6" t="str">
        <f>'1º aditivo de valor'!C144</f>
        <v>QUADRO DE DISTRIBUIÇÃO DE ENERGIA EM CHAPA DE AÇO GALVANIZADO, DE SOBREPOR, COM BARRAMENTO TRIFÁSICO, PARA 18 DISJUNTORES DIN 100A - FORNECIMENTO E INSTALAÇÃO. AF_10/2020</v>
      </c>
      <c r="C110" s="4" t="str">
        <f>'1º aditivo de valor'!E144</f>
        <v>UN</v>
      </c>
      <c r="D110" s="4"/>
      <c r="E110" s="4"/>
    </row>
    <row r="111" spans="1:5">
      <c r="A111" s="4" t="str">
        <f>'1º aditivo de valor'!A145</f>
        <v>12.16</v>
      </c>
      <c r="B111" s="6" t="str">
        <f>'1º aditivo de valor'!C145</f>
        <v>Tomada 2P + T - 10A</v>
      </c>
      <c r="C111" s="4" t="str">
        <f>'1º aditivo de valor'!E145</f>
        <v>PC</v>
      </c>
      <c r="D111" s="4"/>
      <c r="E111" s="4"/>
    </row>
    <row r="112" spans="1:5" ht="30">
      <c r="A112" s="4" t="str">
        <f>'1º aditivo de valor'!A146</f>
        <v>12.17</v>
      </c>
      <c r="B112" s="6" t="str">
        <f>'1º aditivo de valor'!C146</f>
        <v>Tomada 2p+t, ABNT, 10 A, para piso, com placa em metal amarelo e caixa pvc</v>
      </c>
      <c r="C112" s="4" t="str">
        <f>'1º aditivo de valor'!E146</f>
        <v>un</v>
      </c>
      <c r="D112" s="4"/>
      <c r="E112" s="4"/>
    </row>
    <row r="113" spans="1:5" ht="45">
      <c r="A113" s="4" t="str">
        <f>'1º aditivo de valor'!A147</f>
        <v>12.18</v>
      </c>
      <c r="B113" s="6" t="str">
        <f>'1º aditivo de valor'!C147</f>
        <v>TOMADA ALTA DE EMBUTIR (1 MÓDULO), 2P+T 10 A, INCLUINDO SUPORTE E PLACA - FORNECIMENTO E INSTALAÇÃO. AF_12/2015</v>
      </c>
      <c r="C113" s="4" t="str">
        <f>'1º aditivo de valor'!E147</f>
        <v>UN</v>
      </c>
      <c r="D113" s="4"/>
      <c r="E113" s="4"/>
    </row>
    <row r="114" spans="1:5" ht="60">
      <c r="A114" s="4" t="str">
        <f>'1º aditivo de valor'!A148</f>
        <v>12.19</v>
      </c>
      <c r="B114" s="6" t="str">
        <f>'1º aditivo de valor'!C148</f>
        <v>INTERRUPTOR SIMPLES (1 MÓDULO) COM 1 TOMADA DE EMBUTIR 2P+T 10 A,  INCLUINDO SUPORTE E PLACA - FORNECIMENTO E INSTALAÇÃO. AF_12/2015</v>
      </c>
      <c r="C114" s="4" t="str">
        <f>'1º aditivo de valor'!E148</f>
        <v>UN</v>
      </c>
      <c r="D114" s="4"/>
      <c r="E114" s="4"/>
    </row>
    <row r="115" spans="1:5" ht="60">
      <c r="A115" s="4" t="str">
        <f>'1º aditivo de valor'!A149</f>
        <v>12.20</v>
      </c>
      <c r="B115" s="6" t="str">
        <f>'1º aditivo de valor'!C149</f>
        <v>INTERRUPTOR SIMPLES (3 MÓDULOS) COM INTERRUPTOR PARALELO (1 MÓDULO), 10A/250V, INCLUINDO SUPORTE E PLACA - FORNECIMENTO E INSTALAÇÃO. AF_12/2015</v>
      </c>
      <c r="C115" s="4" t="str">
        <f>'1º aditivo de valor'!E149</f>
        <v>UN</v>
      </c>
      <c r="D115" s="4"/>
      <c r="E115" s="4"/>
    </row>
    <row r="116" spans="1:5" ht="60">
      <c r="A116" s="4" t="str">
        <f>'1º aditivo de valor'!A150</f>
        <v>12.21</v>
      </c>
      <c r="B116" s="6" t="str">
        <f>'1º aditivo de valor'!C150</f>
        <v>LUMINÁRIA TIPO CALHA, DE SOBREPOR, COM 2 LÂMPADAS TUBULARES FLUORESCENTES DE 18 W, COM REATOR DE PARTIDA RÁPIDA - FORNECIMENTO E INSTALAÇÃO. AF_02/2020</v>
      </c>
      <c r="C116" s="4" t="str">
        <f>'1º aditivo de valor'!E150</f>
        <v>UN</v>
      </c>
      <c r="D116" s="4"/>
      <c r="E116" s="4"/>
    </row>
    <row r="117" spans="1:5" ht="60">
      <c r="A117" s="4" t="str">
        <f>'1º aditivo de valor'!A151</f>
        <v>12.22</v>
      </c>
      <c r="B117" s="6" t="str">
        <f>'1º aditivo de valor'!C151</f>
        <v>LUMINÁRIA TIPO CALHA, DE SOBREPOR, COM 2 LÂMPADAS TUBULARES FLUORESCENTES DE 36 W, COM REATOR DE PARTIDA RÁPIDA - FORNECIMENTO E INSTALAÇÃO. AF_02/2020</v>
      </c>
      <c r="C117" s="4" t="str">
        <f>'1º aditivo de valor'!E151</f>
        <v>UN</v>
      </c>
      <c r="D117" s="4"/>
      <c r="E117" s="4"/>
    </row>
    <row r="118" spans="1:5" ht="60">
      <c r="A118" s="4" t="str">
        <f>'1º aditivo de valor'!A152</f>
        <v>12.23</v>
      </c>
      <c r="B118" s="6" t="str">
        <f>'1º aditivo de valor'!C152</f>
        <v>CABO DE COBRE FLEXÍVEL ISOLADO, 16 MM², 0,6/1,0 KV, PARA REDE AÉREA DE DISTRIBUIÇÃO DE ENERGIA ELÉTRICA DE BAIXA TENSÃO - FORNECIMENTO E INSTALAÇÃO. AF_07/2020</v>
      </c>
      <c r="C118" s="4" t="str">
        <f>'1º aditivo de valor'!E152</f>
        <v>M</v>
      </c>
      <c r="D118" s="4"/>
      <c r="E118" s="4"/>
    </row>
    <row r="119" spans="1:5" ht="60">
      <c r="A119" s="4" t="str">
        <f>'1º aditivo de valor'!A153</f>
        <v>12.24</v>
      </c>
      <c r="B119" s="6" t="str">
        <f>'1º aditivo de valor'!C153</f>
        <v>CABO DE COBRE FLEXÍVEL ISOLADO, 16 MM², 0,6/1,0 KV, PARA REDE AÉREA DE DISTRIBUIÇÃO DE ENERGIA ELÉTRICA DE BAIXA TENSÃO - FORNECIMENTO E INSTALAÇÃO. AF_07/2020</v>
      </c>
      <c r="C119" s="4" t="str">
        <f>'1º aditivo de valor'!E153</f>
        <v>M</v>
      </c>
      <c r="D119" s="4"/>
      <c r="E119" s="4"/>
    </row>
    <row r="120" spans="1:5" ht="60">
      <c r="A120" s="4" t="str">
        <f>'1º aditivo de valor'!A154</f>
        <v>12.25</v>
      </c>
      <c r="B120" s="6" t="str">
        <f>'1º aditivo de valor'!C154</f>
        <v>CABO DE COBRE FLEXÍVEL ISOLADO, 16 MM², 0,6/1,0 KV, PARA REDE AÉREA DE DISTRIBUIÇÃO DE ENERGIA ELÉTRICA DE BAIXA TENSÃO - FORNECIMENTO E INSTALAÇÃO. AF_07/2020</v>
      </c>
      <c r="C120" s="4" t="str">
        <f>'1º aditivo de valor'!E154</f>
        <v>M</v>
      </c>
      <c r="D120" s="4"/>
      <c r="E120" s="4"/>
    </row>
    <row r="121" spans="1:5" ht="45">
      <c r="A121" s="4" t="str">
        <f>'1º aditivo de valor'!A155</f>
        <v>12.26</v>
      </c>
      <c r="B121" s="6" t="str">
        <f>'1º aditivo de valor'!C155</f>
        <v>Disjuntor bipolar DR 25 A  - Dispositivo residual diferencial, tipo AC, 30MA, ref.5SM1 312-OMB, Siemens ou similar</v>
      </c>
      <c r="C121" s="4" t="str">
        <f>'1º aditivo de valor'!E155</f>
        <v>un</v>
      </c>
      <c r="D121" s="4"/>
      <c r="E121" s="4"/>
    </row>
    <row r="122" spans="1:5" ht="45">
      <c r="A122" s="4" t="str">
        <f>'1º aditivo de valor'!A156</f>
        <v>12.27</v>
      </c>
      <c r="B122" s="6" t="str">
        <f>'1º aditivo de valor'!C156</f>
        <v>DISJUNTOR MONOPOLAR TIPO DIN, CORRENTE NOMINAL DE 25A - FORNECIMENTO E INSTALAÇÃO. AF_10/2020</v>
      </c>
      <c r="C122" s="4" t="str">
        <f>'1º aditivo de valor'!E156</f>
        <v>UN</v>
      </c>
      <c r="D122" s="4"/>
      <c r="E122" s="4"/>
    </row>
    <row r="123" spans="1:5" ht="45">
      <c r="A123" s="4" t="str">
        <f>'1º aditivo de valor'!A157</f>
        <v>12.28</v>
      </c>
      <c r="B123" s="6" t="str">
        <f>'1º aditivo de valor'!C157</f>
        <v>DISJUNTOR MONOPOLAR TIPO DIN, CORRENTE NOMINAL DE 10A - FORNECIMENTO E INSTALAÇÃO. AF_10/2020</v>
      </c>
      <c r="C123" s="4" t="str">
        <f>'1º aditivo de valor'!E157</f>
        <v>UN</v>
      </c>
      <c r="D123" s="4"/>
      <c r="E123" s="4"/>
    </row>
    <row r="124" spans="1:5" ht="45">
      <c r="A124" s="4" t="str">
        <f>'1º aditivo de valor'!A158</f>
        <v>12.29</v>
      </c>
      <c r="B124" s="6" t="str">
        <f>'1º aditivo de valor'!C158</f>
        <v>DISJUNTOR TRIPOLAR TIPO NEMA, CORRENTE NOMINAL DE 10 ATÉ 50A - FORNECIMENTO E INSTALAÇÃO. AF_10/2020</v>
      </c>
      <c r="C124" s="4" t="str">
        <f>'1º aditivo de valor'!E158</f>
        <v>UN</v>
      </c>
      <c r="D124" s="4"/>
      <c r="E124" s="4"/>
    </row>
    <row r="125" spans="1:5" ht="45">
      <c r="A125" s="4" t="str">
        <f>'1º aditivo de valor'!A159</f>
        <v>12.30</v>
      </c>
      <c r="B125" s="6" t="str">
        <f>'1º aditivo de valor'!C159</f>
        <v>DISJUNTOR TRIPOLAR TIPO NEMA, CORRENTE NOMINAL DE 10 ATÉ 50A - FORNECIMENTO E INSTALAÇÃO. AF_10/2020</v>
      </c>
      <c r="C125" s="4" t="str">
        <f>'1º aditivo de valor'!E159</f>
        <v>UN</v>
      </c>
      <c r="D125" s="4"/>
      <c r="E125" s="4"/>
    </row>
    <row r="126" spans="1:5" ht="45">
      <c r="A126" s="4" t="str">
        <f>'1º aditivo de valor'!A160</f>
        <v>12.31</v>
      </c>
      <c r="B126" s="6" t="str">
        <f>'1º aditivo de valor'!C160</f>
        <v>CABO DE COBRE FLEXÍVEL ISOLADO, 4 MM², ANTI-CHAMA 450/750 V, PARA CIRCUITOS TERMINAIS - FORNECIMENTO E INSTALAÇÃO. AF_12/2015</v>
      </c>
      <c r="C126" s="4" t="str">
        <f>'1º aditivo de valor'!E160</f>
        <v>M</v>
      </c>
      <c r="D126" s="4"/>
      <c r="E126" s="4"/>
    </row>
    <row r="127" spans="1:5" ht="45">
      <c r="A127" s="4" t="str">
        <f>'1º aditivo de valor'!A161</f>
        <v>12.32</v>
      </c>
      <c r="B127" s="6" t="str">
        <f>'1º aditivo de valor'!C161</f>
        <v>CABO DE COBRE FLEXÍVEL ISOLADO, 1,5 MM², ANTI-CHAMA 450/750 V, PARA CIRCUITOS TERMINAIS - FORNECIMENTO E INSTALAÇÃO. AF_12/2015</v>
      </c>
      <c r="C127" s="4" t="str">
        <f>'1º aditivo de valor'!E161</f>
        <v>M</v>
      </c>
      <c r="D127" s="4"/>
      <c r="E127" s="4"/>
    </row>
    <row r="128" spans="1:5" ht="30">
      <c r="A128" s="4" t="str">
        <f>'1º aditivo de valor'!A162</f>
        <v>12.33</v>
      </c>
      <c r="B128" s="6" t="str">
        <f>'1º aditivo de valor'!C162</f>
        <v>CAIXA PARA MEDIDOR TRIFÁSICO - PADRÃO ENERGISA</v>
      </c>
      <c r="C128" s="4" t="str">
        <f>'1º aditivo de valor'!E162</f>
        <v>pc</v>
      </c>
      <c r="D128" s="4"/>
      <c r="E128" s="4"/>
    </row>
    <row r="129" spans="1:5" ht="45">
      <c r="A129" s="4" t="str">
        <f>'1º aditivo de valor'!A163</f>
        <v>12.34</v>
      </c>
      <c r="B129" s="6" t="str">
        <f>'1º aditivo de valor'!C163</f>
        <v>CAIXA DE INSPEÇÃO PARA ATERRAMENTO, CIRCULAR, EM POLIETILENO, DIÂMETRO INTERNO = 0,3 M. AF_12/2020</v>
      </c>
      <c r="C129" s="4" t="str">
        <f>'1º aditivo de valor'!E163</f>
        <v>UN</v>
      </c>
      <c r="D129" s="4"/>
      <c r="E129" s="4"/>
    </row>
    <row r="130" spans="1:5" ht="30">
      <c r="A130" s="4" t="str">
        <f>'1º aditivo de valor'!A164</f>
        <v>12.35</v>
      </c>
      <c r="B130" s="6" t="str">
        <f>'1º aditivo de valor'!C164</f>
        <v>CAIXA PARA MEDIDOR TRIFÁSICO - PADRÃO ENERGISA</v>
      </c>
      <c r="C130" s="4" t="str">
        <f>'1º aditivo de valor'!E164</f>
        <v>PC</v>
      </c>
      <c r="D130" s="4"/>
      <c r="E130" s="4"/>
    </row>
    <row r="131" spans="1:5">
      <c r="A131" s="4" t="str">
        <f>'1º aditivo de valor'!A165</f>
        <v>12.36</v>
      </c>
      <c r="B131" s="6" t="str">
        <f>'1º aditivo de valor'!C165</f>
        <v>Massa 3M para calafetação (fornecimento)</v>
      </c>
      <c r="C131" s="4" t="str">
        <f>'1º aditivo de valor'!E165</f>
        <v>kg</v>
      </c>
      <c r="D131" s="4"/>
      <c r="E131" s="4"/>
    </row>
    <row r="132" spans="1:5" ht="30">
      <c r="A132" s="4" t="str">
        <f>'1º aditivo de valor'!A166</f>
        <v>12.37</v>
      </c>
      <c r="B132" s="6" t="str">
        <f>'1º aditivo de valor'!C166</f>
        <v>HASTE DE ATERRAMENTO 5/8  PARA SPDA - FORNECIMENTO E INSTALAÇÃO. AF_12/2017</v>
      </c>
      <c r="C132" s="4" t="str">
        <f>'1º aditivo de valor'!E166</f>
        <v>UN</v>
      </c>
      <c r="D132" s="4"/>
      <c r="E132" s="4"/>
    </row>
    <row r="133" spans="1:5">
      <c r="A133" s="4" t="str">
        <f>'1º aditivo de valor'!A167</f>
        <v>12.38</v>
      </c>
      <c r="B133" s="6" t="str">
        <f>'1º aditivo de valor'!C167</f>
        <v>Fita isolante (rolo 20m) 3/4" - Fornecimento</v>
      </c>
      <c r="C133" s="4" t="str">
        <f>'1º aditivo de valor'!E167</f>
        <v>Un</v>
      </c>
      <c r="D133" s="4"/>
      <c r="E133" s="4"/>
    </row>
    <row r="134" spans="1:5" ht="45">
      <c r="A134" s="4" t="str">
        <f>'1º aditivo de valor'!A168</f>
        <v>12.39</v>
      </c>
      <c r="B134" s="6" t="str">
        <f>'1º aditivo de valor'!C168</f>
        <v>CABO DE COBRE FLEXÍVEL ISOLADO, 2,5 MM², ANTI-CHAMA 450/750 V, PARA CIRCUITOS TERMINAIS - FORNECIMENTO E INSTALAÇÃO. AF_12/2015</v>
      </c>
      <c r="C134" s="4" t="str">
        <f>'1º aditivo de valor'!E168</f>
        <v>M</v>
      </c>
      <c r="D134" s="4"/>
      <c r="E134" s="4"/>
    </row>
    <row r="135" spans="1:5" ht="45">
      <c r="A135" s="4" t="str">
        <f>'1º aditivo de valor'!A169</f>
        <v>12.40</v>
      </c>
      <c r="B135" s="6" t="str">
        <f>'1º aditivo de valor'!C169</f>
        <v>CABO DE COBRE FLEXÍVEL ISOLADO, 1,5 MM², ANTI-CHAMA 450/750 V, PARA CIRCUITOS TERMINAIS - FORNECIMENTO E INSTALAÇÃO. AF_12/2015</v>
      </c>
      <c r="C135" s="4" t="str">
        <f>'1º aditivo de valor'!E169</f>
        <v>M</v>
      </c>
      <c r="D135" s="4"/>
      <c r="E135" s="4"/>
    </row>
    <row r="136" spans="1:5" ht="45">
      <c r="A136" s="4" t="str">
        <f>'1º aditivo de valor'!A170</f>
        <v>12.41</v>
      </c>
      <c r="B136" s="6" t="str">
        <f>'1º aditivo de valor'!C170</f>
        <v>CABO DE COBRE FLEXÍVEL ISOLADO, 2,5 MM², ANTI-CHAMA 450/750 V, PARA CIRCUITOS TERMINAIS - FORNECIMENTO E INSTALAÇÃO. AF_12/2015</v>
      </c>
      <c r="C136" s="4" t="str">
        <f>'1º aditivo de valor'!E170</f>
        <v>M</v>
      </c>
      <c r="D136" s="4"/>
      <c r="E136" s="4"/>
    </row>
    <row r="137" spans="1:5" ht="45">
      <c r="A137" s="4" t="str">
        <f>'1º aditivo de valor'!A171</f>
        <v>12.42</v>
      </c>
      <c r="B137" s="6" t="str">
        <f>'1º aditivo de valor'!C171</f>
        <v>CABO DE COBRE FLEXÍVEL ISOLADO, 2,5 MM², ANTI-CHAMA 450/750 V, PARA CIRCUITOS TERMINAIS - FORNECIMENTO E INSTALAÇÃO. AF_12/2015</v>
      </c>
      <c r="C137" s="4" t="str">
        <f>'1º aditivo de valor'!E171</f>
        <v>M</v>
      </c>
      <c r="D137" s="4"/>
      <c r="E137" s="4"/>
    </row>
    <row r="138" spans="1:5" ht="90">
      <c r="A138" s="4" t="str">
        <f>'1º aditivo de valor'!A172</f>
        <v>12.43</v>
      </c>
      <c r="B138" s="6" t="str">
        <f>'1º aditivo de valor'!C172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4" t="str">
        <f>'1º aditivo de valor'!E172</f>
        <v>M</v>
      </c>
      <c r="D138" s="4"/>
      <c r="E138" s="4"/>
    </row>
    <row r="139" spans="1:5" ht="45">
      <c r="A139" s="4" t="str">
        <f>'1º aditivo de valor'!A173</f>
        <v>12.44</v>
      </c>
      <c r="B139" s="6" t="str">
        <f>'1º aditivo de valor'!C173</f>
        <v>CABO DE COBRE FLEXÍVEL ISOLADO, 10 MM², ANTI-CHAMA 0,6/1,0 KV, PARA CIRCUITOS TERMINAIS - FORNECIMENTO E INSTALAÇÃO. AF_12/2015</v>
      </c>
      <c r="C139" s="4" t="str">
        <f>'1º aditivo de valor'!E173</f>
        <v>M</v>
      </c>
      <c r="D139" s="4"/>
      <c r="E139" s="4"/>
    </row>
    <row r="140" spans="1:5" ht="45">
      <c r="A140" s="4" t="str">
        <f>'1º aditivo de valor'!A174</f>
        <v>12.45</v>
      </c>
      <c r="B140" s="6" t="str">
        <f>'1º aditivo de valor'!C174</f>
        <v>CABO DE COBRE FLEXÍVEL ISOLADO, 10 MM², ANTI-CHAMA 0,6/1,0 KV, PARA CIRCUITOS TERMINAIS - FORNECIMENTO E INSTALAÇÃO. AF_12/2015</v>
      </c>
      <c r="C140" s="4" t="str">
        <f>'1º aditivo de valor'!E174</f>
        <v>M</v>
      </c>
      <c r="D140" s="4"/>
      <c r="E140" s="4"/>
    </row>
    <row r="141" spans="1:5" ht="60">
      <c r="A141" s="4" t="str">
        <f>'1º aditivo de valor'!A175</f>
        <v>12.46</v>
      </c>
      <c r="B141" s="6" t="str">
        <f>'1º aditivo de valor'!C175</f>
        <v>INTERRUPTOR SIMPLES (1 MÓDULO) COM 1 TOMADA DE EMBUTIR 2P+T 10 A,  INCLUINDO SUPORTE E PLACA - FORNECIMENTO E INSTALAÇÃO. AF_12/2015</v>
      </c>
      <c r="C141" s="4" t="str">
        <f>'1º aditivo de valor'!E175</f>
        <v>UN</v>
      </c>
      <c r="D141" s="4"/>
      <c r="E141" s="4"/>
    </row>
    <row r="142" spans="1:5" ht="60">
      <c r="A142" s="4" t="str">
        <f>'1º aditivo de valor'!A176</f>
        <v>12.47</v>
      </c>
      <c r="B142" s="6" t="str">
        <f>'1º aditivo de valor'!C176</f>
        <v>INTERRUPTOR SIMPLES (1 MÓDULO) COM 1 TOMADA DE EMBUTIR 2P+T 10 A,  SEM SUPORTE E SEM PLACA - FORNECIMENTO E INSTALAÇÃO. AF_12/2015</v>
      </c>
      <c r="C142" s="4" t="str">
        <f>'1º aditivo de valor'!E176</f>
        <v>UN</v>
      </c>
      <c r="D142" s="4"/>
      <c r="E142" s="4"/>
    </row>
    <row r="143" spans="1:5">
      <c r="A143" s="7" t="str">
        <f>'1º aditivo de valor'!A179</f>
        <v>13</v>
      </c>
      <c r="B143" s="428" t="str">
        <f>'1º aditivo de valor'!B179:K179</f>
        <v>INSTALAÇÕES HIDRO-SANITÁRIA</v>
      </c>
      <c r="C143" s="428"/>
      <c r="D143" s="428"/>
      <c r="E143" s="428"/>
    </row>
    <row r="144" spans="1:5" ht="60">
      <c r="A144" s="4" t="str">
        <f>'1º aditivo de valor'!A180</f>
        <v>13.1</v>
      </c>
      <c r="B144" s="6" t="str">
        <f>'1º aditivo de valor'!C180</f>
        <v>CAIXA SIFONADA, PVC, DN 100 X 100 X 50 MM, JUNTA ELÁSTICA, FORNECIDA E INSTALADA EM RAMAL DE DESCARGA OU EM RAMAL DE ESGOTO SANITÁRIO. AF_12/2014</v>
      </c>
      <c r="C144" s="4" t="str">
        <f>'1º aditivo de valor'!E180</f>
        <v>UN</v>
      </c>
      <c r="D144" s="4"/>
      <c r="E144" s="4"/>
    </row>
    <row r="145" spans="1:5" ht="30">
      <c r="A145" s="4" t="str">
        <f>'1º aditivo de valor'!A181</f>
        <v>13.2</v>
      </c>
      <c r="B145" s="6" t="str">
        <f>'1º aditivo de valor'!C181</f>
        <v>CAIXA SIFONADA, PVC, 150 X 150 X 50 MM, COM GRELHA QUADRADA, BRANCA (NBR 5688)</v>
      </c>
      <c r="C145" s="4" t="str">
        <f>'1º aditivo de valor'!E181</f>
        <v>UN</v>
      </c>
      <c r="D145" s="4"/>
      <c r="E145" s="4"/>
    </row>
    <row r="146" spans="1:5" ht="60">
      <c r="A146" s="4" t="str">
        <f>'1º aditivo de valor'!A182</f>
        <v>13.3</v>
      </c>
      <c r="B146" s="6" t="str">
        <f>'1º aditivo de valor'!C182</f>
        <v>RALO SECO, PVC, DN 100 X 40 MM, JUNTA SOLDÁVEL, FORNECIDO E INSTALADO EM RAMAL DE DESCARGA OU EM RAMAL DE ESGOTO SANITÁRIO. AF_12/2014</v>
      </c>
      <c r="C146" s="4" t="str">
        <f>'1º aditivo de valor'!E182</f>
        <v>UN</v>
      </c>
      <c r="D146" s="4"/>
      <c r="E146" s="4"/>
    </row>
    <row r="147" spans="1:5" ht="60">
      <c r="A147" s="4" t="str">
        <f>'1º aditivo de valor'!A183</f>
        <v>13.4</v>
      </c>
      <c r="B147" s="6" t="str">
        <f>'1º aditivo de valor'!C183</f>
        <v>CAIXA ENTERRADA HIDRÁULICA RETANGULAR EM ALVENARIA COM TIJOLOS CERÂMICOS MACIÇOS, DIMENSÕES INTERNAS: 0,6X0,6X0,6 M PARA REDE DE ESGOTO. AF_12/2020</v>
      </c>
      <c r="C147" s="4" t="str">
        <f>'1º aditivo de valor'!E183</f>
        <v>UN</v>
      </c>
      <c r="D147" s="4"/>
      <c r="E147" s="4"/>
    </row>
    <row r="148" spans="1:5" ht="30">
      <c r="A148" s="4" t="str">
        <f>'1º aditivo de valor'!A184</f>
        <v>13.5</v>
      </c>
      <c r="B148" s="6" t="str">
        <f>'1º aditivo de valor'!C184</f>
        <v>BUCHA DE REDUCAO DE PVC, SOLDAVEL, CURTA, COM 60 X 50 MM, PARA AGUA FRIA PREDIAL</v>
      </c>
      <c r="C148" s="4" t="str">
        <f>'1º aditivo de valor'!E184</f>
        <v>UN</v>
      </c>
      <c r="D148" s="4"/>
      <c r="E148" s="4"/>
    </row>
    <row r="149" spans="1:5" ht="30">
      <c r="A149" s="4" t="str">
        <f>'1º aditivo de valor'!A185</f>
        <v>13.6</v>
      </c>
      <c r="B149" s="6" t="str">
        <f>'1º aditivo de valor'!C185</f>
        <v>BUCHA DE REDUCAO DE PVC, SOLDAVEL, CURTA, COM 25 X 20 MM, PARA AGUA FRIA PREDIAL</v>
      </c>
      <c r="C149" s="4" t="str">
        <f>'1º aditivo de valor'!E185</f>
        <v>UN</v>
      </c>
      <c r="D149" s="4"/>
      <c r="E149" s="4"/>
    </row>
    <row r="150" spans="1:5" ht="30">
      <c r="A150" s="4" t="str">
        <f>'1º aditivo de valor'!A186</f>
        <v>13.7</v>
      </c>
      <c r="B150" s="6" t="str">
        <f>'1º aditivo de valor'!C186</f>
        <v>BUCHA DE REDUCAO DE PVC, SOLDAVEL, LONGA, COM 50 X 25 MM, PARA AGUA FRIA PREDIAL</v>
      </c>
      <c r="C150" s="4" t="str">
        <f>'1º aditivo de valor'!E186</f>
        <v>UN</v>
      </c>
      <c r="D150" s="4"/>
      <c r="E150" s="4"/>
    </row>
    <row r="151" spans="1:5" ht="30">
      <c r="A151" s="4" t="str">
        <f>'1º aditivo de valor'!A187</f>
        <v>13.8</v>
      </c>
      <c r="B151" s="6" t="str">
        <f>'1º aditivo de valor'!C187</f>
        <v>BUCHA DE REDUCAO DE PVC, SOLDAVEL, LONGA, COM 50 X 32 MM, PARA AGUA FRIA PREDIAL</v>
      </c>
      <c r="C151" s="4" t="str">
        <f>'1º aditivo de valor'!E187</f>
        <v>UN</v>
      </c>
      <c r="D151" s="4"/>
      <c r="E151" s="4"/>
    </row>
    <row r="152" spans="1:5" ht="45">
      <c r="A152" s="4" t="str">
        <f>'1º aditivo de valor'!A188</f>
        <v>13.9</v>
      </c>
      <c r="B152" s="6" t="str">
        <f>'1º aditivo de valor'!C188</f>
        <v>JOELHO 90 GRAUS, PVC, SOLDÁVEL, DN 25MM, INSTALADO EM RAMAL OU SUB-RAMAL DE ÁGUA - FORNECIMENTO E INSTALAÇÃO. AF_12/2014</v>
      </c>
      <c r="C152" s="4" t="str">
        <f>'1º aditivo de valor'!E188</f>
        <v>UN</v>
      </c>
      <c r="D152" s="4"/>
      <c r="E152" s="4"/>
    </row>
    <row r="153" spans="1:5" ht="45">
      <c r="A153" s="4" t="str">
        <f>'1º aditivo de valor'!A189</f>
        <v>13.10</v>
      </c>
      <c r="B153" s="6" t="str">
        <f>'1º aditivo de valor'!C189</f>
        <v>JOELHO 90 GRAUS, PVC, SOLDÁVEL, DN 50MM, INSTALADO EM PRUMADA DE ÁGUA - FORNECIMENTO E INSTALAÇÃO. AF_12/2014</v>
      </c>
      <c r="C153" s="4" t="str">
        <f>'1º aditivo de valor'!E189</f>
        <v>UN</v>
      </c>
      <c r="D153" s="4"/>
      <c r="E153" s="4"/>
    </row>
    <row r="154" spans="1:5" ht="45">
      <c r="A154" s="4" t="str">
        <f>'1º aditivo de valor'!A190</f>
        <v>13.11</v>
      </c>
      <c r="B154" s="6" t="str">
        <f>'1º aditivo de valor'!C190</f>
        <v>Joelho 90 graus com bucha de latão, pvc, soldável, dn 25mm, x 3/4? instalado em ramal ou sub-ramal de água - fornecimento e instalação. af_12/2014</v>
      </c>
      <c r="C154" s="4" t="str">
        <f>'1º aditivo de valor'!E190</f>
        <v>UN</v>
      </c>
      <c r="D154" s="4"/>
      <c r="E154" s="4"/>
    </row>
    <row r="155" spans="1:5" ht="45">
      <c r="A155" s="4" t="str">
        <f>'1º aditivo de valor'!A191</f>
        <v>13.12</v>
      </c>
      <c r="B155" s="6" t="str">
        <f>'1º aditivo de valor'!C191</f>
        <v>LUVA DE REDUÇÃO, PVC, SOLDÁVEL, DN 50MM X 25MM, INSTALADO EM PRUMADA DE ÁGUA   FORNECIMENTO E INSTALAÇÃO. AF_12/2014</v>
      </c>
      <c r="C155" s="4" t="str">
        <f>'1º aditivo de valor'!E191</f>
        <v>UN</v>
      </c>
      <c r="D155" s="4"/>
      <c r="E155" s="4"/>
    </row>
    <row r="156" spans="1:5" ht="45">
      <c r="A156" s="4" t="str">
        <f>'1º aditivo de valor'!A192</f>
        <v>13.13</v>
      </c>
      <c r="B156" s="6" t="str">
        <f>'1º aditivo de valor'!C192</f>
        <v>TÊ DE REDUÇÃO, PVC, SOLDÁVEL, DN 50MM X 25MM, INSTALADO EM PRUMADA DE ÁGUA - FORNECIMENTO E INSTALAÇÃO. AF_12/2014</v>
      </c>
      <c r="C156" s="4" t="str">
        <f>'1º aditivo de valor'!E192</f>
        <v>UN</v>
      </c>
      <c r="D156" s="4"/>
      <c r="E156" s="4"/>
    </row>
    <row r="157" spans="1:5" ht="45">
      <c r="A157" s="4" t="str">
        <f>'1º aditivo de valor'!A193</f>
        <v>13.14</v>
      </c>
      <c r="B157" s="6" t="str">
        <f>'1º aditivo de valor'!C193</f>
        <v>TE, PVC, SOLDÁVEL, DN 20MM, INSTALADO EM RAMAL OU SUB-RAMAL DE ÁGUA - FORNECIMENTO E INSTALAÇÃO. AF_12/2014</v>
      </c>
      <c r="C157" s="4" t="str">
        <f>'1º aditivo de valor'!E193</f>
        <v>UN</v>
      </c>
      <c r="D157" s="4"/>
      <c r="E157" s="4"/>
    </row>
    <row r="158" spans="1:5" ht="45">
      <c r="A158" s="4" t="str">
        <f>'1º aditivo de valor'!A194</f>
        <v>13.15</v>
      </c>
      <c r="B158" s="6" t="str">
        <f>'1º aditivo de valor'!C194</f>
        <v>TE, PVC, SOLDÁVEL, DN 25MM, INSTALADO EM RAMAL OU SUB-RAMAL DE ÁGUA - FORNECIMENTO E INSTALAÇÃO. AF_12/2014</v>
      </c>
      <c r="C158" s="4" t="str">
        <f>'1º aditivo de valor'!E194</f>
        <v>UN</v>
      </c>
      <c r="D158" s="4"/>
      <c r="E158" s="4"/>
    </row>
    <row r="159" spans="1:5" ht="45">
      <c r="A159" s="4" t="str">
        <f>'1º aditivo de valor'!A195</f>
        <v>13.16</v>
      </c>
      <c r="B159" s="6" t="str">
        <f>'1º aditivo de valor'!C195</f>
        <v>TE, PVC, SOLDÁVEL, DN 50MM, INSTALADO EM PRUMADA DE ÁGUA - FORNECIMENTO E INSTALAÇÃO. AF_12/2014</v>
      </c>
      <c r="C159" s="4" t="str">
        <f>'1º aditivo de valor'!E195</f>
        <v>UN</v>
      </c>
      <c r="D159" s="4"/>
      <c r="E159" s="4"/>
    </row>
    <row r="160" spans="1:5" ht="60">
      <c r="A160" s="4" t="str">
        <f>'1º aditivo de valor'!A196</f>
        <v>13.17</v>
      </c>
      <c r="B160" s="6" t="str">
        <f>'1º aditivo de valor'!C196</f>
        <v>TÊ COM BUCHA DE LATÃO NA BOLSA CENTRAL, PVC, SOLDÁVEL, DN 25MM X 3/4?, INSTALADO EM RAMAL OU SUB-RAMAL DE ÁGUA - FORNECIMENTO E INSTALAÇÃO. AF_03/2015</v>
      </c>
      <c r="C160" s="4" t="str">
        <f>'1º aditivo de valor'!E196</f>
        <v>UN</v>
      </c>
      <c r="D160" s="4"/>
      <c r="E160" s="4"/>
    </row>
    <row r="161" spans="1:5" ht="45">
      <c r="A161" s="4" t="str">
        <f>'1º aditivo de valor'!A197</f>
        <v>13.18</v>
      </c>
      <c r="B161" s="6" t="str">
        <f>'1º aditivo de valor'!C197</f>
        <v>TUBO, PVC, SOLDÁVEL, DN 20MM, INSTALADO EM RAMAL DE DISTRIBUIÇÃO DE ÁGUA - FORNECIMENTO E INSTALAÇÃO. AF_12/2014</v>
      </c>
      <c r="C161" s="4" t="str">
        <f>'1º aditivo de valor'!E197</f>
        <v>M</v>
      </c>
      <c r="D161" s="4"/>
      <c r="E161" s="4"/>
    </row>
    <row r="162" spans="1:5" ht="45">
      <c r="A162" s="4" t="str">
        <f>'1º aditivo de valor'!A198</f>
        <v>13.19</v>
      </c>
      <c r="B162" s="6" t="str">
        <f>'1º aditivo de valor'!C198</f>
        <v>TUBO, PVC, SOLDÁVEL, DN 25MM, INSTALADO EM PRUMADA DE ÁGUA - FORNECIMENTO E INSTALAÇÃO. AF_12/2014</v>
      </c>
      <c r="C162" s="4" t="str">
        <f>'1º aditivo de valor'!E198</f>
        <v>M</v>
      </c>
      <c r="D162" s="4"/>
      <c r="E162" s="4"/>
    </row>
    <row r="163" spans="1:5" ht="45">
      <c r="A163" s="4" t="str">
        <f>'1º aditivo de valor'!A199</f>
        <v>13.20</v>
      </c>
      <c r="B163" s="6" t="str">
        <f>'1º aditivo de valor'!C199</f>
        <v>TUBO, PVC, SOLDÁVEL, DN 50MM, INSTALADO EM PRUMADA DE ÁGUA - FORNECIMENTO E INSTALAÇÃO. AF_12/2014</v>
      </c>
      <c r="C163" s="4" t="str">
        <f>'1º aditivo de valor'!E199</f>
        <v>M</v>
      </c>
      <c r="D163" s="4"/>
      <c r="E163" s="4"/>
    </row>
    <row r="164" spans="1:5" ht="60">
      <c r="A164" s="4" t="str">
        <f>'1º aditivo de valor'!A200</f>
        <v>13.21</v>
      </c>
      <c r="B164" s="6" t="str">
        <f>'1º aditivo de valor'!C200</f>
        <v>TUBO PVC, SERIE NORMAL, ESGOTO PREDIAL, DN 40 MM, FORNECIDO E INSTALADO EM RAMAL DE DESCARGA OU RAMAL DE ESGOTO SANITÁRIO. AF_12/2014</v>
      </c>
      <c r="C164" s="4" t="str">
        <f>'1º aditivo de valor'!E200</f>
        <v>M</v>
      </c>
      <c r="D164" s="4"/>
      <c r="E164" s="4"/>
    </row>
    <row r="165" spans="1:5" ht="60">
      <c r="A165" s="4" t="str">
        <f>'1º aditivo de valor'!A201</f>
        <v>13.22</v>
      </c>
      <c r="B165" s="6" t="str">
        <f>'1º aditivo de valor'!C201</f>
        <v>TUBO PVC, SERIE NORMAL, ESGOTO PREDIAL, DN 50 MM, FORNECIDO E INSTALADO EM PRUMADA DE ESGOTO SANITÁRIO OU VENTILAÇÃO. AF_12/2014</v>
      </c>
      <c r="C165" s="4" t="str">
        <f>'1º aditivo de valor'!E201</f>
        <v>M</v>
      </c>
      <c r="D165" s="4"/>
      <c r="E165" s="4"/>
    </row>
    <row r="166" spans="1:5" ht="60">
      <c r="A166" s="4" t="str">
        <f>'1º aditivo de valor'!A202</f>
        <v>13.23</v>
      </c>
      <c r="B166" s="6" t="str">
        <f>'1º aditivo de valor'!C202</f>
        <v>TUBO PVC, SERIE NORMAL, ESGOTO PREDIAL, DN 100 MM, FORNECIDO E INSTALADO EM PRUMADA DE ESGOTO SANITÁRIO OU VENTILAÇÃO. AF_12/2014</v>
      </c>
      <c r="C166" s="4" t="str">
        <f>'1º aditivo de valor'!E202</f>
        <v>M</v>
      </c>
      <c r="D166" s="4"/>
      <c r="E166" s="4"/>
    </row>
    <row r="167" spans="1:5" ht="60">
      <c r="A167" s="4" t="str">
        <f>'1º aditivo de valor'!A203</f>
        <v>13.24</v>
      </c>
      <c r="B167" s="6" t="str">
        <f>'1º aditivo de valor'!C203</f>
        <v>VASO SANITÁRIO SIFONADO COM CAIXA ACOPLADA LOUÇA BRANCA, INCLUSO ENGATE FLEXÍVEL EM PLÁSTICO BRANCO, 1/2  X 40CM - FORNECIMENTO E INSTALAÇÃO. AF_01/2020</v>
      </c>
      <c r="C167" s="4" t="str">
        <f>'1º aditivo de valor'!E203</f>
        <v>UN</v>
      </c>
      <c r="D167" s="4"/>
      <c r="E167" s="4"/>
    </row>
    <row r="168" spans="1:5" ht="30">
      <c r="A168" s="4" t="str">
        <f>'1º aditivo de valor'!A204</f>
        <v>13.25</v>
      </c>
      <c r="B168" s="6" t="str">
        <f>'1º aditivo de valor'!C204</f>
        <v>ASSENTO SANITARIO DE PLASTICO, TIPO CONVENCIONAL</v>
      </c>
      <c r="C168" s="4" t="str">
        <f>'1º aditivo de valor'!E204</f>
        <v>UN</v>
      </c>
      <c r="D168" s="4"/>
      <c r="E168" s="4"/>
    </row>
    <row r="169" spans="1:5" ht="30">
      <c r="A169" s="4" t="str">
        <f>'1º aditivo de valor'!A205</f>
        <v>13.26</v>
      </c>
      <c r="B169" s="6" t="str">
        <f>'1º aditivo de valor'!C205</f>
        <v>DUCHA HIGIENICA PLASTICA COM REGISTRO METALICO 1/2 "</v>
      </c>
      <c r="C169" s="4" t="str">
        <f>'1º aditivo de valor'!E205</f>
        <v>UN</v>
      </c>
      <c r="D169" s="4"/>
      <c r="E169" s="4"/>
    </row>
    <row r="170" spans="1:5" ht="45">
      <c r="A170" s="4" t="str">
        <f>'1º aditivo de valor'!A206</f>
        <v>13.27</v>
      </c>
      <c r="B170" s="6" t="str">
        <f>'1º aditivo de valor'!C206</f>
        <v>DUCHA / CHUVEIRO PLASTICO SIMPLES, 5 '', BRANCO, PARA ACOPLAR EM HASTE 1/2 ", AGUA FRIA</v>
      </c>
      <c r="C170" s="4" t="str">
        <f>'1º aditivo de valor'!E206</f>
        <v>UN</v>
      </c>
      <c r="D170" s="4"/>
      <c r="E170" s="4"/>
    </row>
    <row r="171" spans="1:5" ht="45">
      <c r="A171" s="4" t="str">
        <f>'1º aditivo de valor'!A207</f>
        <v>13.28</v>
      </c>
      <c r="B171" s="6" t="str">
        <f>'1º aditivo de valor'!C207</f>
        <v>MICTÓRIO SIFONADO LOUÇA BRANCA ? PADRÃO MÉDIO ? FORNECIMENTO E INSTALAÇÃO. AF_01/2020</v>
      </c>
      <c r="C171" s="4" t="str">
        <f>'1º aditivo de valor'!E207</f>
        <v>UN</v>
      </c>
      <c r="D171" s="4"/>
      <c r="E171" s="4"/>
    </row>
    <row r="172" spans="1:5" ht="30">
      <c r="A172" s="4" t="str">
        <f>'1º aditivo de valor'!A208</f>
        <v>13.29</v>
      </c>
      <c r="B172" s="6" t="str">
        <f>'1º aditivo de valor'!C208</f>
        <v>TORNEIRA PLÁSTICA 3/4? PARA TANQUE - FORNECIMENTO E INSTALAÇÃO. AF_01/2020</v>
      </c>
      <c r="C172" s="4" t="str">
        <f>'1º aditivo de valor'!E208</f>
        <v>UN</v>
      </c>
      <c r="D172" s="4"/>
      <c r="E172" s="4"/>
    </row>
    <row r="173" spans="1:5" ht="60">
      <c r="A173" s="4" t="str">
        <f>'1º aditivo de valor'!A209</f>
        <v>13.30</v>
      </c>
      <c r="B173" s="6" t="str">
        <f>'1º aditivo de valor'!C209</f>
        <v>KIT CAVALETE PARA MEDIÇÃO DE ÁGUA - ENTRADA PRINCIPAL, EM PVC SOLDÁVEL DN 25 (¾")   FORNECIMENTO E INSTALAÇÃO (EXCLUSIVE HIDRÔMETRO). AF_11/2016</v>
      </c>
      <c r="C173" s="4" t="str">
        <f>'1º aditivo de valor'!E209</f>
        <v>UN</v>
      </c>
      <c r="D173" s="4"/>
      <c r="E173" s="4"/>
    </row>
    <row r="174" spans="1:5" ht="60">
      <c r="A174" s="4" t="str">
        <f>'1º aditivo de valor'!A210</f>
        <v>13.31</v>
      </c>
      <c r="B174" s="6" t="str">
        <f>'1º aditivo de valor'!C210</f>
        <v>CUBA DE EMBUTIR DE AÇO INOXIDÁVEL MÉDIA, INCLUSO VÁLVULA TIPO AMERICANA EM METAL CROMADO E SIFÃO FLEXÍVEL EM PVC - FORNECIMENTO E INSTALAÇÃO. AF_01/2020</v>
      </c>
      <c r="C174" s="4" t="str">
        <f>'1º aditivo de valor'!E210</f>
        <v>UN</v>
      </c>
      <c r="D174" s="4"/>
      <c r="E174" s="4"/>
    </row>
    <row r="175" spans="1:5" ht="45">
      <c r="A175" s="4" t="str">
        <f>'1º aditivo de valor'!A211</f>
        <v>13.32</v>
      </c>
      <c r="B175" s="6" t="str">
        <f>'1º aditivo de valor'!C211</f>
        <v>TORNEIRA CROMADA LONGA, DE PAREDE, 1/2? OU 3/4?, PARA PIA DE COZINHA, PADRÃO POPULAR - FORNECIMENTO E INSTALAÇÃO. AF_01/2020</v>
      </c>
      <c r="C175" s="4" t="str">
        <f>'1º aditivo de valor'!E211</f>
        <v>UN</v>
      </c>
      <c r="D175" s="4"/>
      <c r="E175" s="4"/>
    </row>
    <row r="176" spans="1:5" ht="60">
      <c r="A176" s="4" t="str">
        <f>'1º aditivo de valor'!A212</f>
        <v>13.33</v>
      </c>
      <c r="B176" s="6" t="str">
        <f>'1º aditivo de valor'!C212</f>
        <v>CUBA DE EMBUTIR OVAL EM LOUÇA BRANCA, 35 X 50CM OU EQUIVALENTE, INCLUSO VÁLVULA EM METAL CROMADO E SIFÃO FLEXÍVEL EM PVC - FORNECIMENTO E INSTALAÇÃO. AF_01/2020</v>
      </c>
      <c r="C176" s="4" t="str">
        <f>'1º aditivo de valor'!E212</f>
        <v>UN</v>
      </c>
      <c r="D176" s="4"/>
      <c r="E176" s="4"/>
    </row>
    <row r="177" spans="1:5" ht="45">
      <c r="A177" s="4" t="str">
        <f>'1º aditivo de valor'!A213</f>
        <v>13.34</v>
      </c>
      <c r="B177" s="6" t="str">
        <f>'1º aditivo de valor'!C213</f>
        <v>TORNEIRA CROMADA DE MESA, 1/2? OU 3/4?, PARA LAVATÓRIO, PADRÃO POPULAR - FORNECIMENTO E INSTALAÇÃO. AF_01/2020</v>
      </c>
      <c r="C177" s="4" t="str">
        <f>'1º aditivo de valor'!E213</f>
        <v>UN</v>
      </c>
      <c r="D177" s="4"/>
      <c r="E177" s="4"/>
    </row>
    <row r="178" spans="1:5" ht="45">
      <c r="A178" s="4" t="str">
        <f>'1º aditivo de valor'!A214</f>
        <v>13.35</v>
      </c>
      <c r="B178" s="6" t="str">
        <f>'1º aditivo de valor'!C214</f>
        <v>TORNEIRA DE BOIA PARA CAIXA D'ÁGUA, ROSCÁVEL, 3/4" - FORNECIMENTO E INSTALAÇÃO. AF_08/2021</v>
      </c>
      <c r="C178" s="4" t="str">
        <f>'1º aditivo de valor'!E214</f>
        <v>UN</v>
      </c>
      <c r="D178" s="4"/>
      <c r="E178" s="4"/>
    </row>
    <row r="179" spans="1:5" ht="45">
      <c r="A179" s="4" t="str">
        <f>'1º aditivo de valor'!A215</f>
        <v>13.36</v>
      </c>
      <c r="B179" s="6" t="str">
        <f>'1º aditivo de valor'!C215</f>
        <v>BARRA DE APOIO RETA, EM ACO INOX POLIDO, COMPRIMENTO 70 CM,  FIXADA NA PAREDE - FORNECIMENTO E INSTALAÇÃO. AF_01/2020</v>
      </c>
      <c r="C179" s="4" t="str">
        <f>'1º aditivo de valor'!E215</f>
        <v>UN</v>
      </c>
      <c r="D179" s="4"/>
      <c r="E179" s="4"/>
    </row>
    <row r="180" spans="1:5" ht="45">
      <c r="A180" s="4" t="str">
        <f>'1º aditivo de valor'!A216</f>
        <v>13.37</v>
      </c>
      <c r="B180" s="6" t="str">
        <f>'1º aditivo de valor'!C216</f>
        <v>BARRA DE APOIO RETA, EM ACO INOX POLIDO, COMPRIMENTO 60CM, FIXADA NA PAREDE - FORNECIMENTO E INSTALAÇÃO. AF_01/2020</v>
      </c>
      <c r="C180" s="4" t="str">
        <f>'1º aditivo de valor'!E216</f>
        <v>UN</v>
      </c>
      <c r="D180" s="4"/>
      <c r="E180" s="4"/>
    </row>
    <row r="181" spans="1:5" ht="90">
      <c r="A181" s="4" t="str">
        <f>'1º aditivo de valor'!A217</f>
        <v>13.38</v>
      </c>
      <c r="B181" s="6" t="str">
        <f>'1º aditivo de valor'!C217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4" t="str">
        <f>'1º aditivo de valor'!E217</f>
        <v>UN</v>
      </c>
      <c r="D181" s="4"/>
      <c r="E181" s="4"/>
    </row>
    <row r="182" spans="1:5" ht="30">
      <c r="A182" s="4" t="str">
        <f>'1º aditivo de valor'!A218</f>
        <v>13.39</v>
      </c>
      <c r="B182" s="6" t="str">
        <f>'1º aditivo de valor'!C218</f>
        <v>PAPELEIRA DE PAREDE EM METAL CROMADO SEM TAMPA, INCLUSO FIXAÇÃO. AF_01/2020</v>
      </c>
      <c r="C182" s="4" t="str">
        <f>'1º aditivo de valor'!E218</f>
        <v>UN</v>
      </c>
      <c r="D182" s="4"/>
      <c r="E182" s="4"/>
    </row>
    <row r="183" spans="1:5" ht="30">
      <c r="A183" s="4" t="str">
        <f>'1º aditivo de valor'!A219</f>
        <v>13.40</v>
      </c>
      <c r="B183" s="6" t="str">
        <f>'1º aditivo de valor'!C219</f>
        <v>REGISTRO DE GAVETA BRUTO, LATÃO, ROSCÁVEL, 2" - FORNECIMENTO E INSTALAÇÃO. AF_08/2021</v>
      </c>
      <c r="C183" s="4" t="str">
        <f>'1º aditivo de valor'!E219</f>
        <v>UN</v>
      </c>
      <c r="D183" s="4"/>
      <c r="E183" s="4"/>
    </row>
    <row r="184" spans="1:5" ht="30">
      <c r="A184" s="4" t="str">
        <f>'1º aditivo de valor'!A220</f>
        <v>13.41</v>
      </c>
      <c r="B184" s="6" t="str">
        <f>'1º aditivo de valor'!C220</f>
        <v>REGISTRO DE GAVETA BRUTO, LATÃO, ROSCÁVEL, 1 1/2" - FORNECIMENTO E INSTALAÇÃO. AF_08/2021</v>
      </c>
      <c r="C184" s="4" t="str">
        <f>'1º aditivo de valor'!E220</f>
        <v>UN</v>
      </c>
      <c r="D184" s="4"/>
      <c r="E184" s="4"/>
    </row>
    <row r="185" spans="1:5" ht="30">
      <c r="A185" s="4" t="str">
        <f>'1º aditivo de valor'!A221</f>
        <v>13.42</v>
      </c>
      <c r="B185" s="6" t="str">
        <f>'1º aditivo de valor'!C221</f>
        <v>REGISTRO DE GAVETA BRUTO, LATÃO, ROSCÁVEL, 1/2" - FORNECIMENTO E INSTALAÇÃO. AF_08/2021</v>
      </c>
      <c r="C185" s="4" t="str">
        <f>'1º aditivo de valor'!E221</f>
        <v>UN</v>
      </c>
      <c r="D185" s="4"/>
      <c r="E185" s="4"/>
    </row>
    <row r="186" spans="1:5" ht="30">
      <c r="A186" s="4" t="str">
        <f>'1º aditivo de valor'!A222</f>
        <v>13.43</v>
      </c>
      <c r="B186" s="6" t="str">
        <f>'1º aditivo de valor'!C222</f>
        <v>REGISTRO DE GAVETA BRUTO, LATÃO, ROSCÁVEL, 3/4" - FORNECIMENTO E INSTALAÇÃO. AF_08/2021</v>
      </c>
      <c r="C186" s="4" t="str">
        <f>'1º aditivo de valor'!E222</f>
        <v>UN</v>
      </c>
      <c r="D186" s="4"/>
      <c r="E186" s="4"/>
    </row>
    <row r="187" spans="1:5" ht="45">
      <c r="A187" s="4" t="str">
        <f>'1º aditivo de valor'!A223</f>
        <v>13.44</v>
      </c>
      <c r="B187" s="6" t="str">
        <f>'1º aditivo de valor'!C223</f>
        <v>REGISTRO DE PRESSÃO BRUTO, LATÃO, ROSCÁVEL, 3/4", COM ACABAMENTO E CANOPLA CROMADOS - FORNECIMENTO E INSTALAÇÃO. AF_08/2021</v>
      </c>
      <c r="C187" s="4" t="str">
        <f>'1º aditivo de valor'!E223</f>
        <v>UN</v>
      </c>
      <c r="D187" s="4"/>
      <c r="E187" s="4"/>
    </row>
    <row r="188" spans="1:5" ht="45">
      <c r="A188" s="4" t="str">
        <f>'1º aditivo de valor'!A224</f>
        <v>13.45</v>
      </c>
      <c r="B188" s="6" t="str">
        <f>'1º aditivo de valor'!C224</f>
        <v>UNIÃO, CPVC, SOLDÁVEL, DN35MM, INSTALADO EM PRUMADA DE ÁGUA ? FORNECIMENTO E INSTALAÇÃO. AF_12/2014</v>
      </c>
      <c r="C188" s="4" t="str">
        <f>'1º aditivo de valor'!E224</f>
        <v>UN</v>
      </c>
      <c r="D188" s="4"/>
      <c r="E188" s="4"/>
    </row>
    <row r="189" spans="1:5" ht="60">
      <c r="A189" s="4" t="str">
        <f>'1º aditivo de valor'!A225</f>
        <v>13.46</v>
      </c>
      <c r="B189" s="6" t="str">
        <f>'1º aditivo de valor'!C225</f>
        <v>JOELHO 45 GRAUS, PVC, SERIE NORMAL, ESGOTO PREDIAL, DN 50 MM, JUNTA ELÁSTICA, FORNECIDO E INSTALADO EM PRUMADA DE ESGOTO SANITÁRIO OU VENTILAÇÃO. AF_12/2014</v>
      </c>
      <c r="C189" s="4" t="str">
        <f>'1º aditivo de valor'!E225</f>
        <v>UN</v>
      </c>
      <c r="D189" s="4"/>
      <c r="E189" s="4"/>
    </row>
    <row r="190" spans="1:5" ht="60">
      <c r="A190" s="4" t="str">
        <f>'1º aditivo de valor'!A226</f>
        <v>13.47</v>
      </c>
      <c r="B190" s="6" t="str">
        <f>'1º aditivo de valor'!C226</f>
        <v>JOELHO 45 GRAUS, PVC, SERIE NORMAL, ESGOTO PREDIAL, DN 100 MM, JUNTA ELÁSTICA, FORNECIDO E INSTALADO EM PRUMADA DE ESGOTO SANITÁRIO OU VENTILAÇÃO. AF_12/2014</v>
      </c>
      <c r="C190" s="4" t="str">
        <f>'1º aditivo de valor'!E226</f>
        <v>UN</v>
      </c>
      <c r="D190" s="4"/>
      <c r="E190" s="4"/>
    </row>
    <row r="191" spans="1:5" ht="75">
      <c r="A191" s="4" t="str">
        <f>'1º aditivo de valor'!A227</f>
        <v>13.48</v>
      </c>
      <c r="B191" s="6" t="str">
        <f>'1º aditivo de valor'!C227</f>
        <v>JOELHO 90 GRAUS, PVC, SERIE NORMAL, ESGOTO PREDIAL, DN 40 MM, JUNTA SOLDÁVEL, FORNECIDO E INSTALADO EM RAMAL DE DESCARGA OU RAMAL DE ESGOTO SANITÁRIO. AF_12/2014</v>
      </c>
      <c r="C191" s="4" t="str">
        <f>'1º aditivo de valor'!E227</f>
        <v>UN</v>
      </c>
      <c r="D191" s="4"/>
      <c r="E191" s="4"/>
    </row>
    <row r="192" spans="1:5" ht="60">
      <c r="A192" s="4" t="str">
        <f>'1º aditivo de valor'!A228</f>
        <v>13.49</v>
      </c>
      <c r="B192" s="6" t="str">
        <f>'1º aditivo de valor'!C228</f>
        <v>JOELHO 90 GRAUS, PVC, SERIE NORMAL, ESGOTO PREDIAL, DN 50 MM, JUNTA ELÁSTICA, FORNECIDO E INSTALADO EM PRUMADA DE ESGOTO SANITÁRIO OU VENTILAÇÃO. AF_12/2014</v>
      </c>
      <c r="C192" s="4" t="str">
        <f>'1º aditivo de valor'!E228</f>
        <v>UN</v>
      </c>
      <c r="D192" s="4"/>
      <c r="E192" s="4"/>
    </row>
    <row r="193" spans="1:5" ht="75">
      <c r="A193" s="4" t="str">
        <f>'1º aditivo de valor'!A229</f>
        <v>13.50</v>
      </c>
      <c r="B193" s="6" t="str">
        <f>'1º aditivo de valor'!C229</f>
        <v>JOELHO 90 GRAUS, PVC, SERIE NORMAL, ESGOTO PREDIAL, DN 100 MM, JUNTA ELÁSTICA, FORNECIDO E INSTALADO EM RAMAL DE DESCARGA OU RAMAL DE ESGOTO SANITÁRIO. AF_12/2014</v>
      </c>
      <c r="C193" s="4" t="str">
        <f>'1º aditivo de valor'!E229</f>
        <v>UN</v>
      </c>
      <c r="D193" s="4"/>
      <c r="E193" s="4"/>
    </row>
    <row r="194" spans="1:5" ht="60">
      <c r="A194" s="4" t="str">
        <f>'1º aditivo de valor'!A230</f>
        <v>13.51</v>
      </c>
      <c r="B194" s="6" t="str">
        <f>'1º aditivo de valor'!C230</f>
        <v>JUNÇÃO SIMPLES, PVC, SERIE NORMAL, ESGOTO PREDIAL, DN 50 X 50 MM, JUNTA ELÁSTICA, FORNECIDO E INSTALADO EM PRUMADA DE ESGOTO SANITÁRIO OU VENTILAÇÃO. AF_12/2014</v>
      </c>
      <c r="C194" s="4" t="str">
        <f>'1º aditivo de valor'!E230</f>
        <v>UN</v>
      </c>
      <c r="D194" s="4"/>
      <c r="E194" s="4"/>
    </row>
    <row r="195" spans="1:5" ht="30">
      <c r="A195" s="4" t="str">
        <f>'1º aditivo de valor'!A231</f>
        <v>13.52</v>
      </c>
      <c r="B195" s="6" t="str">
        <f>'1º aditivo de valor'!C231</f>
        <v>JUNCAO SIMPLES, PVC, DN 100 X 50 MM, SERIE NORMAL PARA ESGOTO PREDIAL</v>
      </c>
      <c r="C195" s="4" t="str">
        <f>'1º aditivo de valor'!E231</f>
        <v>UN</v>
      </c>
      <c r="D195" s="4"/>
      <c r="E195" s="4"/>
    </row>
    <row r="196" spans="1:5" ht="30">
      <c r="A196" s="4" t="str">
        <f>'1º aditivo de valor'!A232</f>
        <v>13.53</v>
      </c>
      <c r="B196" s="6" t="str">
        <f>'1º aditivo de valor'!C232</f>
        <v>JUNCAO SIMPLES, PVC, DN 100 X 75 MM, SERIE NORMAL PARA ESGOTO PREDIAL</v>
      </c>
      <c r="C196" s="4" t="str">
        <f>'1º aditivo de valor'!E232</f>
        <v>UN</v>
      </c>
      <c r="D196" s="4"/>
      <c r="E196" s="4"/>
    </row>
    <row r="197" spans="1:5" ht="75">
      <c r="A197" s="4" t="str">
        <f>'1º aditivo de valor'!A233</f>
        <v>13.54</v>
      </c>
      <c r="B197" s="6" t="str">
        <f>'1º aditivo de valor'!C233</f>
        <v>JUNÇÃO SIMPLES, PVC, SERIE NORMAL, ESGOTO PREDIAL, DN 100 X 100 MM, JUNTA ELÁSTICA, FORNECIDO E INSTALADO EM RAMAL DE DESCARGA OU RAMAL DE ESGOTO SANITÁRIO. AF_12/2014</v>
      </c>
      <c r="C197" s="4" t="str">
        <f>'1º aditivo de valor'!E233</f>
        <v>UN</v>
      </c>
      <c r="D197" s="4"/>
      <c r="E197" s="4"/>
    </row>
    <row r="198" spans="1:5" ht="60">
      <c r="A198" s="4" t="str">
        <f>'1º aditivo de valor'!A234</f>
        <v>13.55</v>
      </c>
      <c r="B198" s="6" t="str">
        <f>'1º aditivo de valor'!C234</f>
        <v>LUVA SIMPLES, PVC, SERIE NORMAL, ESGOTO PREDIAL, DN 50 MM, JUNTA ELÁSTICA, FORNECIDO E INSTALADO EM PRUMADA DE ESGOTO SANITÁRIO OU VENTILAÇÃO. AF_12/2014</v>
      </c>
      <c r="C198" s="4" t="str">
        <f>'1º aditivo de valor'!E234</f>
        <v>UN</v>
      </c>
      <c r="D198" s="4"/>
      <c r="E198" s="4"/>
    </row>
    <row r="199" spans="1:5" ht="60">
      <c r="A199" s="4" t="str">
        <f>'1º aditivo de valor'!A235</f>
        <v>13.56</v>
      </c>
      <c r="B199" s="6" t="str">
        <f>'1º aditivo de valor'!C235</f>
        <v>LUVA SIMPLES, PVC, SERIE NORMAL, ESGOTO PREDIAL, DN 75 MM, JUNTA ELÁSTICA, FORNECIDO E INSTALADO EM PRUMADA DE ESGOTO SANITÁRIO OU VENTILAÇÃO. AF_12/2014</v>
      </c>
      <c r="C199" s="4" t="str">
        <f>'1º aditivo de valor'!E235</f>
        <v>UN</v>
      </c>
      <c r="D199" s="4"/>
      <c r="E199" s="4"/>
    </row>
    <row r="200" spans="1:5" ht="75">
      <c r="A200" s="4" t="str">
        <f>'1º aditivo de valor'!A236</f>
        <v>13.57</v>
      </c>
      <c r="B200" s="6" t="str">
        <f>'1º aditivo de valor'!C236</f>
        <v>LUVA SIMPLES, PVC, SERIE NORMAL, ESGOTO PREDIAL, DN 100 MM, JUNTA ELÁSTICA, FORNECIDO E INSTALADO EM RAMAL DE DESCARGA OU RAMAL DE ESGOTO SANITÁRIO. AF_12/2014</v>
      </c>
      <c r="C200" s="4" t="str">
        <f>'1º aditivo de valor'!E236</f>
        <v>UN</v>
      </c>
      <c r="D200" s="4"/>
      <c r="E200" s="4"/>
    </row>
    <row r="201" spans="1:5" ht="60">
      <c r="A201" s="4" t="str">
        <f>'1º aditivo de valor'!A237</f>
        <v>13.58</v>
      </c>
      <c r="B201" s="6" t="str">
        <f>'1º aditivo de valor'!C237</f>
        <v>TE, PVC, SERIE NORMAL, ESGOTO PREDIAL, DN 50 X 50 MM, JUNTA ELÁSTICA, FORNECIDO E INSTALADO EM PRUMADA DE ESGOTO SANITÁRIO OU VENTILAÇÃO. AF_12/2014</v>
      </c>
      <c r="C201" s="4" t="str">
        <f>'1º aditivo de valor'!E237</f>
        <v>UN</v>
      </c>
      <c r="D201" s="4"/>
      <c r="E201" s="4"/>
    </row>
    <row r="202" spans="1:5" ht="30">
      <c r="A202" s="4" t="str">
        <f>'1º aditivo de valor'!A238</f>
        <v>13.59</v>
      </c>
      <c r="B202" s="6" t="str">
        <f>'1º aditivo de valor'!C238</f>
        <v>TE SANITARIO, PVC, DN 75 X 50 MM, SERIE NORMAL PARA ESGOTO PREDIAL</v>
      </c>
      <c r="C202" s="4" t="str">
        <f>'1º aditivo de valor'!E238</f>
        <v>UN</v>
      </c>
      <c r="D202" s="4"/>
      <c r="E202" s="4"/>
    </row>
    <row r="203" spans="1:5" ht="30">
      <c r="A203" s="4" t="str">
        <f>'1º aditivo de valor'!A239</f>
        <v>13.60</v>
      </c>
      <c r="B203" s="6" t="str">
        <f>'1º aditivo de valor'!C239</f>
        <v>TE SANITARIO, PVC, DN 100 X 75 MM, SERIE NORMAL PARA ESGOTO PREDIAL</v>
      </c>
      <c r="C203" s="4" t="str">
        <f>'1º aditivo de valor'!E239</f>
        <v>UN</v>
      </c>
      <c r="D203" s="4"/>
      <c r="E203" s="4"/>
    </row>
    <row r="204" spans="1:5">
      <c r="A204" s="7" t="str">
        <f>'1º aditivo de valor'!A242</f>
        <v>14</v>
      </c>
      <c r="B204" s="428" t="str">
        <f>'1º aditivo de valor'!B242:K242</f>
        <v>PINTURA</v>
      </c>
      <c r="C204" s="428"/>
      <c r="D204" s="428"/>
      <c r="E204" s="428"/>
    </row>
    <row r="205" spans="1:5" ht="30">
      <c r="A205" s="4" t="str">
        <f>'1º aditivo de valor'!A243</f>
        <v>14.1</v>
      </c>
      <c r="B205" s="6" t="str">
        <f>'1º aditivo de valor'!C243</f>
        <v>APLICAÇÃO DE FUNDO SELADOR ACRÍLICO EM TETO, UMA DEMÃO. AF_06/2014</v>
      </c>
      <c r="C205" s="4" t="str">
        <f>'1º aditivo de valor'!E243</f>
        <v>M2</v>
      </c>
      <c r="D205" s="4"/>
      <c r="E205" s="4"/>
    </row>
    <row r="206" spans="1:5" ht="30">
      <c r="A206" s="4" t="str">
        <f>'1º aditivo de valor'!A244</f>
        <v>14.2</v>
      </c>
      <c r="B206" s="6" t="str">
        <f>'1º aditivo de valor'!C244</f>
        <v>APLICAÇÃO DE FUNDO SELADOR ACRÍLICO EM PAREDES, UMA DEMÃO. AF_06/2014</v>
      </c>
      <c r="C206" s="4" t="str">
        <f>'1º aditivo de valor'!E244</f>
        <v>M2</v>
      </c>
      <c r="D206" s="4"/>
      <c r="E206" s="4"/>
    </row>
    <row r="207" spans="1:5" ht="30">
      <c r="A207" s="4" t="str">
        <f>'1º aditivo de valor'!A245</f>
        <v>14.3</v>
      </c>
      <c r="B207" s="6" t="str">
        <f>'1º aditivo de valor'!C245</f>
        <v>APLICAÇÃO E LIXAMENTO DE MASSA LÁTEX EM TETO, UMA DEMÃO. AF_06/2014</v>
      </c>
      <c r="C207" s="4" t="str">
        <f>'1º aditivo de valor'!E245</f>
        <v>M2</v>
      </c>
      <c r="D207" s="4"/>
      <c r="E207" s="4"/>
    </row>
    <row r="208" spans="1:5" ht="45">
      <c r="A208" s="4" t="str">
        <f>'1º aditivo de valor'!A246</f>
        <v>14.4</v>
      </c>
      <c r="B208" s="6" t="str">
        <f>'1º aditivo de valor'!C246</f>
        <v>Emassamento de superfície, com aplicação de 02 demãos de massa acrílica, lixamento e retoques - Rev 01</v>
      </c>
      <c r="C208" s="4" t="str">
        <f>'1º aditivo de valor'!E246</f>
        <v>m2</v>
      </c>
      <c r="D208" s="4"/>
      <c r="E208" s="4"/>
    </row>
    <row r="209" spans="1:5" ht="45">
      <c r="A209" s="4" t="str">
        <f>'1º aditivo de valor'!A247</f>
        <v>14.5</v>
      </c>
      <c r="B209" s="6" t="str">
        <f>'1º aditivo de valor'!C247</f>
        <v>APLICAÇÃO MANUAL DE PINTURA COM TINTA LÁTEX ACRÍLICA EM PAREDES, DUAS DEMÃOS. AF_06/2014</v>
      </c>
      <c r="C209" s="4" t="str">
        <f>'1º aditivo de valor'!E247</f>
        <v>M2</v>
      </c>
      <c r="D209" s="4"/>
      <c r="E209" s="4"/>
    </row>
    <row r="210" spans="1:5" ht="45">
      <c r="A210" s="4" t="str">
        <f>'1º aditivo de valor'!A248</f>
        <v>14.6</v>
      </c>
      <c r="B210" s="6" t="str">
        <f>'1º aditivo de valor'!C248</f>
        <v>APLICAÇÃO MANUAL DE PINTURA COM TINTA LÁTEX ACRÍLICA EM TETO, DUAS DEMÃOS. AF_06/2014</v>
      </c>
      <c r="C210" s="4" t="str">
        <f>'1º aditivo de valor'!E248</f>
        <v>M2</v>
      </c>
      <c r="D210" s="4"/>
      <c r="E210" s="4"/>
    </row>
    <row r="211" spans="1:5" ht="45">
      <c r="A211" s="4" t="str">
        <f>'1º aditivo de valor'!A249</f>
        <v>14.7</v>
      </c>
      <c r="B211" s="6" t="str">
        <f>'1º aditivo de valor'!C249</f>
        <v>PINTURA TINTA DE ACABAMENTO (PIGMENTADA) ESMALTE SINTÉTICO FOSCO EM MADEIRA, 2 DEMÃOS. AF_01/2021</v>
      </c>
      <c r="C211" s="4" t="str">
        <f>'1º aditivo de valor'!E249</f>
        <v>M2</v>
      </c>
      <c r="D211" s="4"/>
      <c r="E211" s="4"/>
    </row>
    <row r="212" spans="1:5" ht="75">
      <c r="A212" s="4" t="str">
        <f>'1º aditivo de valor'!A250</f>
        <v>14.8</v>
      </c>
      <c r="B212" s="6" t="str">
        <f>'1º aditivo de valor'!C250</f>
        <v>PINTURA COM TINTA ALQUÍDICA DE FUNDO E ACABAMENTO (ESMALTE SINTÉTICO GRAFITE) APLICADA A ROLO OU PINCEL SOBRE PERFIL METÁLICO EXECUTADO EM FÁBRICA (POR DEMÃO). AF_01/2020</v>
      </c>
      <c r="C212" s="4" t="str">
        <f>'1º aditivo de valor'!E250</f>
        <v>M2</v>
      </c>
      <c r="D212" s="4"/>
      <c r="E212" s="4"/>
    </row>
    <row r="213" spans="1:5" ht="60">
      <c r="A213" s="4" t="str">
        <f>'1º aditivo de valor'!A251</f>
        <v>14.9</v>
      </c>
      <c r="B213" s="6" t="str">
        <f>'1º aditivo de valor'!C251</f>
        <v>PINTURA COM TINTA ALQUÍDICA DE FUNDO (TIPO ZARCÃO) APLICADA A ROLO OU PINCEL SOBRE PERFIL METÁLICO EXECUTADO EM FÁBRICA (POR DEMÃO). AF_01/2020</v>
      </c>
      <c r="C213" s="4" t="str">
        <f>'1º aditivo de valor'!E251</f>
        <v>M2</v>
      </c>
      <c r="D213" s="4"/>
      <c r="E213" s="4"/>
    </row>
    <row r="214" spans="1:5">
      <c r="A214" s="7" t="str">
        <f>'1º aditivo de valor'!A254</f>
        <v>15</v>
      </c>
      <c r="B214" s="428" t="str">
        <f>'1º aditivo de valor'!B254:K254</f>
        <v>SERVIÇOS COMPLEMENTARES</v>
      </c>
      <c r="C214" s="428"/>
      <c r="D214" s="428"/>
      <c r="E214" s="428"/>
    </row>
    <row r="215" spans="1:5">
      <c r="A215" s="4" t="str">
        <f>'1º aditivo de valor'!A255</f>
        <v>15.1</v>
      </c>
      <c r="B215" s="4" t="str">
        <f>'1º aditivo de valor'!C255</f>
        <v>Limpeza geral</v>
      </c>
      <c r="C215" s="4" t="str">
        <f>'1º aditivo de valor'!E255</f>
        <v>m2</v>
      </c>
      <c r="D215" s="4"/>
      <c r="E215" s="4"/>
    </row>
    <row r="216" spans="1:5">
      <c r="A216" s="4" t="str">
        <f>'1º aditivo de valor'!A256</f>
        <v>15.2</v>
      </c>
      <c r="B216" s="4" t="str">
        <f>'1º aditivo de valor'!C256</f>
        <v>Escada de ferro com guarda corpo</v>
      </c>
      <c r="C216" s="4" t="str">
        <f>'1º aditivo de valor'!E256</f>
        <v>m</v>
      </c>
      <c r="D216" s="4"/>
      <c r="E216" s="4"/>
    </row>
    <row r="219" spans="1:5" ht="45">
      <c r="A219" s="17" t="s">
        <v>607</v>
      </c>
      <c r="B219" s="16">
        <f>B223+B224</f>
        <v>1.2036532184674478</v>
      </c>
    </row>
    <row r="220" spans="1:5">
      <c r="A220" s="16" t="s">
        <v>608</v>
      </c>
      <c r="B220" s="16">
        <v>0.35</v>
      </c>
    </row>
    <row r="221" spans="1:5">
      <c r="A221" s="16" t="s">
        <v>609</v>
      </c>
      <c r="B221" s="16">
        <f>1.95*1.85</f>
        <v>3.6074999999999999</v>
      </c>
    </row>
    <row r="222" spans="1:5">
      <c r="A222" s="16" t="s">
        <v>610</v>
      </c>
      <c r="B222" s="16">
        <f>0.2*0.3</f>
        <v>0.06</v>
      </c>
    </row>
    <row r="223" spans="1:5" ht="30">
      <c r="A223" s="17" t="s">
        <v>611</v>
      </c>
      <c r="B223" s="16">
        <f>((B220/3)*((B221+B222)+(SQRT(B221*B222))))</f>
        <v>0.48215321846744785</v>
      </c>
    </row>
    <row r="224" spans="1:5" ht="30">
      <c r="A224" s="17" t="s">
        <v>612</v>
      </c>
      <c r="B224" s="16">
        <f>1.95*1.85*0.2</f>
        <v>0.72150000000000003</v>
      </c>
    </row>
  </sheetData>
  <mergeCells count="24">
    <mergeCell ref="C1:E3"/>
    <mergeCell ref="C4:E5"/>
    <mergeCell ref="A1:B5"/>
    <mergeCell ref="N1:P2"/>
    <mergeCell ref="N4:P4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</mergeCells>
  <pageMargins left="0.511811024" right="0.511811024" top="0.78740157499999996" bottom="0.78740157499999996" header="0.31496062000000002" footer="0.31496062000000002"/>
  <pageSetup paperSize="9" scale="58" fitToHeight="0" orientation="landscape" horizontalDpi="360" verticalDpi="360" r:id="rId1"/>
  <rowBreaks count="14" manualBreakCount="14">
    <brk id="27" max="4" man="1"/>
    <brk id="34" max="4" man="1"/>
    <brk id="37" max="4" man="1"/>
    <brk id="40" max="4" man="1"/>
    <brk id="47" max="4" man="1"/>
    <brk id="63" max="4" man="1"/>
    <brk id="75" max="4" man="1"/>
    <brk id="90" max="4" man="1"/>
    <brk id="107" max="4" man="1"/>
    <brk id="123" max="4" man="1"/>
    <brk id="142" max="4" man="1"/>
    <brk id="162" max="4" man="1"/>
    <brk id="179" max="4" man="1"/>
    <brk id="196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42"/>
  <sheetViews>
    <sheetView view="pageBreakPreview" zoomScale="60" zoomScaleNormal="50" workbookViewId="0">
      <selection activeCell="J1" sqref="A1:AH40"/>
    </sheetView>
  </sheetViews>
  <sheetFormatPr defaultRowHeight="1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>
      <c r="A1" s="374" t="s">
        <v>601</v>
      </c>
      <c r="B1" s="536"/>
      <c r="C1" s="536"/>
      <c r="D1" s="536"/>
      <c r="E1" s="536"/>
      <c r="F1" s="536"/>
      <c r="G1" s="536"/>
      <c r="H1" s="536"/>
      <c r="I1" s="376"/>
      <c r="J1" s="537" t="s">
        <v>655</v>
      </c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9"/>
    </row>
    <row r="2" spans="1:34" ht="15" customHeight="1">
      <c r="A2" s="374"/>
      <c r="B2" s="536"/>
      <c r="C2" s="536"/>
      <c r="D2" s="536"/>
      <c r="E2" s="536"/>
      <c r="F2" s="536"/>
      <c r="G2" s="536"/>
      <c r="H2" s="536"/>
      <c r="I2" s="376"/>
      <c r="J2" s="537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9"/>
    </row>
    <row r="3" spans="1:34" ht="15.75" customHeight="1">
      <c r="A3" s="374"/>
      <c r="B3" s="536"/>
      <c r="C3" s="536"/>
      <c r="D3" s="536"/>
      <c r="E3" s="536"/>
      <c r="F3" s="536"/>
      <c r="G3" s="536"/>
      <c r="H3" s="536"/>
      <c r="I3" s="376"/>
      <c r="J3" s="537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9"/>
    </row>
    <row r="4" spans="1:34" ht="15" customHeight="1">
      <c r="A4" s="374"/>
      <c r="B4" s="536"/>
      <c r="C4" s="536"/>
      <c r="D4" s="536"/>
      <c r="E4" s="536"/>
      <c r="F4" s="536"/>
      <c r="G4" s="536"/>
      <c r="H4" s="536"/>
      <c r="I4" s="376"/>
      <c r="J4" s="537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9"/>
    </row>
    <row r="5" spans="1:34" ht="15" customHeight="1">
      <c r="A5" s="374"/>
      <c r="B5" s="536"/>
      <c r="C5" s="536"/>
      <c r="D5" s="536"/>
      <c r="E5" s="536"/>
      <c r="F5" s="536"/>
      <c r="G5" s="536"/>
      <c r="H5" s="536"/>
      <c r="I5" s="376"/>
      <c r="J5" s="540" t="s">
        <v>602</v>
      </c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2"/>
    </row>
    <row r="6" spans="1:34">
      <c r="A6" s="374"/>
      <c r="B6" s="536"/>
      <c r="C6" s="536"/>
      <c r="D6" s="536"/>
      <c r="E6" s="536"/>
      <c r="F6" s="536"/>
      <c r="G6" s="536"/>
      <c r="H6" s="536"/>
      <c r="I6" s="376"/>
      <c r="J6" s="540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2"/>
    </row>
    <row r="7" spans="1:34" ht="15" customHeight="1">
      <c r="A7" s="377"/>
      <c r="B7" s="378"/>
      <c r="C7" s="378"/>
      <c r="D7" s="378"/>
      <c r="E7" s="378"/>
      <c r="F7" s="378"/>
      <c r="G7" s="378"/>
      <c r="H7" s="378"/>
      <c r="I7" s="379"/>
      <c r="J7" s="540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2"/>
    </row>
    <row r="8" spans="1:34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</row>
    <row r="9" spans="1:34">
      <c r="A9" s="502" t="s">
        <v>0</v>
      </c>
      <c r="B9" s="503"/>
      <c r="C9" s="503"/>
      <c r="D9" s="504" t="s">
        <v>2</v>
      </c>
      <c r="E9" s="504"/>
      <c r="F9" s="504"/>
      <c r="G9" s="504"/>
      <c r="H9" s="504"/>
      <c r="I9" s="504"/>
      <c r="J9" s="503" t="s">
        <v>614</v>
      </c>
      <c r="K9" s="505" t="s">
        <v>615</v>
      </c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 t="s">
        <v>616</v>
      </c>
      <c r="X9" s="505"/>
      <c r="Y9" s="505"/>
      <c r="Z9" s="505"/>
      <c r="AA9" s="505"/>
      <c r="AB9" s="505"/>
      <c r="AC9" s="505"/>
      <c r="AD9" s="505"/>
      <c r="AE9" s="505"/>
      <c r="AF9" s="503" t="s">
        <v>617</v>
      </c>
      <c r="AG9" s="503"/>
      <c r="AH9" s="506"/>
    </row>
    <row r="10" spans="1:34">
      <c r="A10" s="502"/>
      <c r="B10" s="503"/>
      <c r="C10" s="503"/>
      <c r="D10" s="504"/>
      <c r="E10" s="504"/>
      <c r="F10" s="504"/>
      <c r="G10" s="504"/>
      <c r="H10" s="504"/>
      <c r="I10" s="504"/>
      <c r="J10" s="503"/>
      <c r="K10" s="505" t="s">
        <v>618</v>
      </c>
      <c r="L10" s="505"/>
      <c r="M10" s="505" t="s">
        <v>619</v>
      </c>
      <c r="N10" s="505"/>
      <c r="O10" s="505" t="s">
        <v>620</v>
      </c>
      <c r="P10" s="505"/>
      <c r="Q10" s="505" t="s">
        <v>621</v>
      </c>
      <c r="R10" s="505"/>
      <c r="S10" s="505" t="s">
        <v>622</v>
      </c>
      <c r="T10" s="505"/>
      <c r="U10" s="505" t="s">
        <v>623</v>
      </c>
      <c r="V10" s="505"/>
      <c r="W10" s="505" t="s">
        <v>624</v>
      </c>
      <c r="X10" s="505"/>
      <c r="Y10" s="505"/>
      <c r="Z10" s="505" t="s">
        <v>606</v>
      </c>
      <c r="AA10" s="505"/>
      <c r="AB10" s="505"/>
      <c r="AC10" s="505" t="s">
        <v>625</v>
      </c>
      <c r="AD10" s="505"/>
      <c r="AE10" s="505"/>
      <c r="AF10" s="503"/>
      <c r="AG10" s="503"/>
      <c r="AH10" s="506"/>
    </row>
    <row r="11" spans="1:34">
      <c r="A11" s="502"/>
      <c r="B11" s="503"/>
      <c r="C11" s="503"/>
      <c r="D11" s="504"/>
      <c r="E11" s="504"/>
      <c r="F11" s="504"/>
      <c r="G11" s="504"/>
      <c r="H11" s="504"/>
      <c r="I11" s="504"/>
      <c r="J11" s="503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3"/>
      <c r="AG11" s="503"/>
      <c r="AH11" s="506"/>
    </row>
    <row r="12" spans="1:34">
      <c r="A12" s="26"/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/>
    </row>
    <row r="13" spans="1:34" ht="15.75">
      <c r="A13" s="513" t="s">
        <v>626</v>
      </c>
      <c r="B13" s="514"/>
      <c r="C13" s="515"/>
      <c r="D13" s="516" t="s">
        <v>25</v>
      </c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  <c r="AD13" s="517"/>
      <c r="AE13" s="517"/>
      <c r="AF13" s="517"/>
      <c r="AG13" s="517"/>
      <c r="AH13" s="518"/>
    </row>
    <row r="14" spans="1:34">
      <c r="A14" s="30"/>
      <c r="B14" s="31"/>
      <c r="C14" s="31"/>
      <c r="D14" s="31"/>
      <c r="E14" s="31"/>
      <c r="F14" s="32"/>
      <c r="G14" s="32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1:34" ht="15.75">
      <c r="A15" s="519" t="s">
        <v>627</v>
      </c>
      <c r="B15" s="520"/>
      <c r="C15" s="521"/>
      <c r="D15" s="522" t="s">
        <v>628</v>
      </c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4"/>
      <c r="AC15" s="525">
        <f>SUM(Z16:AB40)</f>
        <v>1090.4227250000001</v>
      </c>
      <c r="AD15" s="520"/>
      <c r="AE15" s="521"/>
      <c r="AF15" s="525" t="s">
        <v>42</v>
      </c>
      <c r="AG15" s="520"/>
      <c r="AH15" s="526"/>
    </row>
    <row r="16" spans="1:34" ht="15.75">
      <c r="A16" s="507"/>
      <c r="B16" s="508"/>
      <c r="C16" s="509"/>
      <c r="D16" s="510" t="s">
        <v>629</v>
      </c>
      <c r="E16" s="511"/>
      <c r="F16" s="511"/>
      <c r="G16" s="511"/>
      <c r="H16" s="511"/>
      <c r="I16" s="511"/>
      <c r="J16" s="47"/>
      <c r="K16" s="512">
        <v>16.52</v>
      </c>
      <c r="L16" s="509"/>
      <c r="M16" s="512"/>
      <c r="N16" s="509"/>
      <c r="O16" s="512">
        <v>12.16</v>
      </c>
      <c r="P16" s="509"/>
      <c r="Q16" s="512"/>
      <c r="R16" s="509"/>
      <c r="S16" s="512">
        <v>1.2</v>
      </c>
      <c r="T16" s="509"/>
      <c r="U16" s="512">
        <v>1.2</v>
      </c>
      <c r="V16" s="509"/>
      <c r="W16" s="527">
        <f t="shared" ref="W16:W25" si="0">ROUND(K16*O16,2)</f>
        <v>200.88</v>
      </c>
      <c r="X16" s="528"/>
      <c r="Y16" s="529"/>
      <c r="Z16" s="527">
        <f t="shared" ref="Z16:Z40" si="1">W16*((S16+U16)/2)</f>
        <v>241.05599999999998</v>
      </c>
      <c r="AA16" s="528"/>
      <c r="AB16" s="529"/>
      <c r="AC16" s="35"/>
      <c r="AD16" s="36"/>
      <c r="AE16" s="37"/>
      <c r="AF16" s="35"/>
      <c r="AG16" s="36"/>
      <c r="AH16" s="38"/>
    </row>
    <row r="17" spans="1:34" ht="15.75">
      <c r="A17" s="39"/>
      <c r="B17" s="40"/>
      <c r="C17" s="41"/>
      <c r="D17" s="510" t="s">
        <v>630</v>
      </c>
      <c r="E17" s="511"/>
      <c r="F17" s="511"/>
      <c r="G17" s="511"/>
      <c r="H17" s="511"/>
      <c r="I17" s="511"/>
      <c r="J17" s="47"/>
      <c r="K17" s="512">
        <v>8</v>
      </c>
      <c r="L17" s="509"/>
      <c r="M17" s="512"/>
      <c r="N17" s="509"/>
      <c r="O17" s="512">
        <v>5.6</v>
      </c>
      <c r="P17" s="509"/>
      <c r="Q17" s="512"/>
      <c r="R17" s="509"/>
      <c r="S17" s="512">
        <v>1.2</v>
      </c>
      <c r="T17" s="509"/>
      <c r="U17" s="512">
        <v>1.2</v>
      </c>
      <c r="V17" s="509"/>
      <c r="W17" s="527">
        <f t="shared" si="0"/>
        <v>44.8</v>
      </c>
      <c r="X17" s="528"/>
      <c r="Y17" s="529"/>
      <c r="Z17" s="527">
        <f t="shared" si="1"/>
        <v>53.76</v>
      </c>
      <c r="AA17" s="528"/>
      <c r="AB17" s="529"/>
      <c r="AC17" s="35"/>
      <c r="AD17" s="36"/>
      <c r="AE17" s="37"/>
      <c r="AF17" s="35"/>
      <c r="AG17" s="36"/>
      <c r="AH17" s="38"/>
    </row>
    <row r="18" spans="1:34" ht="15.75">
      <c r="A18" s="39"/>
      <c r="B18" s="40"/>
      <c r="C18" s="41"/>
      <c r="D18" s="510" t="s">
        <v>631</v>
      </c>
      <c r="E18" s="511"/>
      <c r="F18" s="511"/>
      <c r="G18" s="511"/>
      <c r="H18" s="511"/>
      <c r="I18" s="511"/>
      <c r="J18" s="48"/>
      <c r="K18" s="512">
        <v>8</v>
      </c>
      <c r="L18" s="509"/>
      <c r="M18" s="512"/>
      <c r="N18" s="509"/>
      <c r="O18" s="512">
        <v>5.6</v>
      </c>
      <c r="P18" s="509"/>
      <c r="Q18" s="512"/>
      <c r="R18" s="509"/>
      <c r="S18" s="512">
        <v>1.2</v>
      </c>
      <c r="T18" s="509"/>
      <c r="U18" s="512">
        <v>1.2</v>
      </c>
      <c r="V18" s="509"/>
      <c r="W18" s="527">
        <f t="shared" si="0"/>
        <v>44.8</v>
      </c>
      <c r="X18" s="528"/>
      <c r="Y18" s="529"/>
      <c r="Z18" s="527">
        <f t="shared" si="1"/>
        <v>53.76</v>
      </c>
      <c r="AA18" s="528"/>
      <c r="AB18" s="529"/>
      <c r="AC18" s="35"/>
      <c r="AD18" s="36"/>
      <c r="AE18" s="37"/>
      <c r="AF18" s="35"/>
      <c r="AG18" s="36"/>
      <c r="AH18" s="38"/>
    </row>
    <row r="19" spans="1:34" ht="15.75">
      <c r="A19" s="39"/>
      <c r="B19" s="40"/>
      <c r="C19" s="41"/>
      <c r="D19" s="510" t="s">
        <v>632</v>
      </c>
      <c r="E19" s="511"/>
      <c r="F19" s="511"/>
      <c r="G19" s="511"/>
      <c r="H19" s="511"/>
      <c r="I19" s="511"/>
      <c r="J19" s="48"/>
      <c r="K19" s="512">
        <v>8</v>
      </c>
      <c r="L19" s="509"/>
      <c r="M19" s="512"/>
      <c r="N19" s="509"/>
      <c r="O19" s="512">
        <v>5.6</v>
      </c>
      <c r="P19" s="509"/>
      <c r="Q19" s="512"/>
      <c r="R19" s="509"/>
      <c r="S19" s="512">
        <v>1.2</v>
      </c>
      <c r="T19" s="509"/>
      <c r="U19" s="512">
        <v>1.2</v>
      </c>
      <c r="V19" s="509"/>
      <c r="W19" s="527">
        <f t="shared" si="0"/>
        <v>44.8</v>
      </c>
      <c r="X19" s="528"/>
      <c r="Y19" s="529"/>
      <c r="Z19" s="527">
        <f t="shared" si="1"/>
        <v>53.76</v>
      </c>
      <c r="AA19" s="528"/>
      <c r="AB19" s="529"/>
      <c r="AC19" s="35"/>
      <c r="AD19" s="36"/>
      <c r="AE19" s="37"/>
      <c r="AF19" s="35"/>
      <c r="AG19" s="36"/>
      <c r="AH19" s="38"/>
    </row>
    <row r="20" spans="1:34" ht="15.75">
      <c r="A20" s="39"/>
      <c r="B20" s="40"/>
      <c r="C20" s="41"/>
      <c r="D20" s="510" t="s">
        <v>633</v>
      </c>
      <c r="E20" s="511"/>
      <c r="F20" s="511"/>
      <c r="G20" s="511"/>
      <c r="H20" s="511"/>
      <c r="I20" s="511"/>
      <c r="J20" s="47"/>
      <c r="K20" s="512">
        <v>8</v>
      </c>
      <c r="L20" s="509"/>
      <c r="M20" s="512"/>
      <c r="N20" s="509"/>
      <c r="O20" s="512">
        <v>5.6</v>
      </c>
      <c r="P20" s="509"/>
      <c r="Q20" s="512"/>
      <c r="R20" s="509"/>
      <c r="S20" s="512">
        <v>1.2</v>
      </c>
      <c r="T20" s="509"/>
      <c r="U20" s="512">
        <v>1.2</v>
      </c>
      <c r="V20" s="509"/>
      <c r="W20" s="527">
        <f t="shared" si="0"/>
        <v>44.8</v>
      </c>
      <c r="X20" s="528"/>
      <c r="Y20" s="529"/>
      <c r="Z20" s="527">
        <f t="shared" si="1"/>
        <v>53.76</v>
      </c>
      <c r="AA20" s="528"/>
      <c r="AB20" s="529"/>
      <c r="AC20" s="35"/>
      <c r="AD20" s="36"/>
      <c r="AE20" s="37"/>
      <c r="AF20" s="35"/>
      <c r="AG20" s="36"/>
      <c r="AH20" s="38"/>
    </row>
    <row r="21" spans="1:34" ht="15.75">
      <c r="A21" s="39"/>
      <c r="B21" s="40"/>
      <c r="C21" s="41"/>
      <c r="D21" s="510" t="s">
        <v>634</v>
      </c>
      <c r="E21" s="511"/>
      <c r="F21" s="511"/>
      <c r="G21" s="511"/>
      <c r="H21" s="511"/>
      <c r="I21" s="511"/>
      <c r="J21" s="47"/>
      <c r="K21" s="512">
        <v>8</v>
      </c>
      <c r="L21" s="509"/>
      <c r="M21" s="512"/>
      <c r="N21" s="509"/>
      <c r="O21" s="512">
        <v>5.6</v>
      </c>
      <c r="P21" s="509"/>
      <c r="Q21" s="512"/>
      <c r="R21" s="509"/>
      <c r="S21" s="512">
        <v>1.2</v>
      </c>
      <c r="T21" s="509"/>
      <c r="U21" s="512">
        <v>1.2</v>
      </c>
      <c r="V21" s="509"/>
      <c r="W21" s="527">
        <f t="shared" si="0"/>
        <v>44.8</v>
      </c>
      <c r="X21" s="528"/>
      <c r="Y21" s="529"/>
      <c r="Z21" s="527">
        <f t="shared" si="1"/>
        <v>53.76</v>
      </c>
      <c r="AA21" s="528"/>
      <c r="AB21" s="529"/>
      <c r="AC21" s="35"/>
      <c r="AD21" s="36"/>
      <c r="AE21" s="37"/>
      <c r="AF21" s="35"/>
      <c r="AG21" s="36"/>
      <c r="AH21" s="38"/>
    </row>
    <row r="22" spans="1:34" ht="15.75">
      <c r="A22" s="39"/>
      <c r="B22" s="40"/>
      <c r="C22" s="41"/>
      <c r="D22" s="510" t="s">
        <v>635</v>
      </c>
      <c r="E22" s="511"/>
      <c r="F22" s="511"/>
      <c r="G22" s="511"/>
      <c r="H22" s="511"/>
      <c r="I22" s="511"/>
      <c r="J22" s="47"/>
      <c r="K22" s="512">
        <v>8</v>
      </c>
      <c r="L22" s="509"/>
      <c r="M22" s="512"/>
      <c r="N22" s="509"/>
      <c r="O22" s="512">
        <v>5.6</v>
      </c>
      <c r="P22" s="509"/>
      <c r="Q22" s="512"/>
      <c r="R22" s="509"/>
      <c r="S22" s="512">
        <v>1.2</v>
      </c>
      <c r="T22" s="509"/>
      <c r="U22" s="512">
        <v>1.2</v>
      </c>
      <c r="V22" s="509"/>
      <c r="W22" s="527">
        <f t="shared" si="0"/>
        <v>44.8</v>
      </c>
      <c r="X22" s="528"/>
      <c r="Y22" s="529"/>
      <c r="Z22" s="527">
        <f t="shared" si="1"/>
        <v>53.76</v>
      </c>
      <c r="AA22" s="528"/>
      <c r="AB22" s="529"/>
      <c r="AC22" s="35"/>
      <c r="AD22" s="36"/>
      <c r="AE22" s="37"/>
      <c r="AF22" s="35"/>
      <c r="AG22" s="36"/>
      <c r="AH22" s="38"/>
    </row>
    <row r="23" spans="1:34" ht="15.75">
      <c r="A23" s="39"/>
      <c r="B23" s="40"/>
      <c r="C23" s="41"/>
      <c r="D23" s="510" t="s">
        <v>636</v>
      </c>
      <c r="E23" s="511"/>
      <c r="F23" s="511"/>
      <c r="G23" s="511"/>
      <c r="H23" s="511"/>
      <c r="I23" s="511"/>
      <c r="J23" s="47"/>
      <c r="K23" s="512">
        <v>3</v>
      </c>
      <c r="L23" s="509"/>
      <c r="M23" s="512"/>
      <c r="N23" s="509"/>
      <c r="O23" s="512">
        <v>4</v>
      </c>
      <c r="P23" s="509"/>
      <c r="Q23" s="512"/>
      <c r="R23" s="509"/>
      <c r="S23" s="512">
        <v>1</v>
      </c>
      <c r="T23" s="509"/>
      <c r="U23" s="512">
        <v>1</v>
      </c>
      <c r="V23" s="509"/>
      <c r="W23" s="527">
        <f t="shared" si="0"/>
        <v>12</v>
      </c>
      <c r="X23" s="528"/>
      <c r="Y23" s="529"/>
      <c r="Z23" s="527">
        <f t="shared" si="1"/>
        <v>12</v>
      </c>
      <c r="AA23" s="528"/>
      <c r="AB23" s="529"/>
      <c r="AC23" s="35"/>
      <c r="AD23" s="36"/>
      <c r="AE23" s="37"/>
      <c r="AF23" s="35"/>
      <c r="AG23" s="36"/>
      <c r="AH23" s="38"/>
    </row>
    <row r="24" spans="1:34" ht="15.75">
      <c r="A24" s="507"/>
      <c r="B24" s="508"/>
      <c r="C24" s="509"/>
      <c r="D24" s="510" t="s">
        <v>637</v>
      </c>
      <c r="E24" s="511"/>
      <c r="F24" s="511"/>
      <c r="G24" s="511"/>
      <c r="H24" s="511"/>
      <c r="I24" s="511"/>
      <c r="J24" s="47"/>
      <c r="K24" s="512">
        <v>4.8499999999999996</v>
      </c>
      <c r="L24" s="509"/>
      <c r="M24" s="512"/>
      <c r="N24" s="509"/>
      <c r="O24" s="512">
        <v>4</v>
      </c>
      <c r="P24" s="509"/>
      <c r="Q24" s="512"/>
      <c r="R24" s="509"/>
      <c r="S24" s="512">
        <v>1</v>
      </c>
      <c r="T24" s="509"/>
      <c r="U24" s="512">
        <v>1</v>
      </c>
      <c r="V24" s="509"/>
      <c r="W24" s="527">
        <f t="shared" si="0"/>
        <v>19.399999999999999</v>
      </c>
      <c r="X24" s="528"/>
      <c r="Y24" s="529"/>
      <c r="Z24" s="527">
        <f t="shared" si="1"/>
        <v>19.399999999999999</v>
      </c>
      <c r="AA24" s="528"/>
      <c r="AB24" s="529"/>
      <c r="AC24" s="35"/>
      <c r="AD24" s="36"/>
      <c r="AE24" s="37"/>
      <c r="AF24" s="35"/>
      <c r="AG24" s="36"/>
      <c r="AH24" s="38"/>
    </row>
    <row r="25" spans="1:34" ht="15.75">
      <c r="A25" s="507"/>
      <c r="B25" s="508"/>
      <c r="C25" s="509"/>
      <c r="D25" s="510" t="s">
        <v>638</v>
      </c>
      <c r="E25" s="511"/>
      <c r="F25" s="511"/>
      <c r="G25" s="511"/>
      <c r="H25" s="511"/>
      <c r="I25" s="511"/>
      <c r="J25" s="47"/>
      <c r="K25" s="512">
        <v>1.41</v>
      </c>
      <c r="L25" s="509"/>
      <c r="M25" s="512"/>
      <c r="N25" s="509"/>
      <c r="O25" s="512">
        <v>1.7</v>
      </c>
      <c r="P25" s="509"/>
      <c r="Q25" s="512"/>
      <c r="R25" s="509"/>
      <c r="S25" s="512">
        <v>1</v>
      </c>
      <c r="T25" s="509"/>
      <c r="U25" s="512">
        <v>1</v>
      </c>
      <c r="V25" s="509"/>
      <c r="W25" s="527">
        <f t="shared" si="0"/>
        <v>2.4</v>
      </c>
      <c r="X25" s="528"/>
      <c r="Y25" s="529"/>
      <c r="Z25" s="527">
        <f t="shared" si="1"/>
        <v>2.4</v>
      </c>
      <c r="AA25" s="528"/>
      <c r="AB25" s="529"/>
      <c r="AC25" s="35"/>
      <c r="AD25" s="36"/>
      <c r="AE25" s="37"/>
      <c r="AF25" s="35"/>
      <c r="AG25" s="36"/>
      <c r="AH25" s="38"/>
    </row>
    <row r="26" spans="1:34" ht="15.75">
      <c r="A26" s="507"/>
      <c r="B26" s="508"/>
      <c r="C26" s="509"/>
      <c r="D26" s="510" t="s">
        <v>639</v>
      </c>
      <c r="E26" s="511"/>
      <c r="F26" s="511"/>
      <c r="G26" s="511"/>
      <c r="H26" s="511"/>
      <c r="I26" s="511"/>
      <c r="J26" s="47"/>
      <c r="K26" s="512">
        <v>6.45</v>
      </c>
      <c r="L26" s="509"/>
      <c r="M26" s="512">
        <v>1.41</v>
      </c>
      <c r="N26" s="509"/>
      <c r="O26" s="512">
        <v>5.3</v>
      </c>
      <c r="P26" s="509"/>
      <c r="Q26" s="512">
        <v>1.67</v>
      </c>
      <c r="R26" s="509"/>
      <c r="S26" s="512">
        <v>1</v>
      </c>
      <c r="T26" s="509"/>
      <c r="U26" s="512">
        <v>1</v>
      </c>
      <c r="V26" s="509"/>
      <c r="W26" s="527">
        <f>ROUND(K26*O26,2)+(M26*Q26)</f>
        <v>36.544699999999999</v>
      </c>
      <c r="X26" s="528"/>
      <c r="Y26" s="529"/>
      <c r="Z26" s="527">
        <f t="shared" si="1"/>
        <v>36.544699999999999</v>
      </c>
      <c r="AA26" s="528"/>
      <c r="AB26" s="529"/>
      <c r="AC26" s="35"/>
      <c r="AD26" s="36"/>
      <c r="AE26" s="37"/>
      <c r="AF26" s="35"/>
      <c r="AG26" s="36"/>
      <c r="AH26" s="38"/>
    </row>
    <row r="27" spans="1:34" ht="15.75">
      <c r="A27" s="507"/>
      <c r="B27" s="508"/>
      <c r="C27" s="509"/>
      <c r="D27" s="510" t="s">
        <v>640</v>
      </c>
      <c r="E27" s="511"/>
      <c r="F27" s="511"/>
      <c r="G27" s="511"/>
      <c r="H27" s="511"/>
      <c r="I27" s="511"/>
      <c r="J27" s="47"/>
      <c r="K27" s="512">
        <v>1.45</v>
      </c>
      <c r="L27" s="509"/>
      <c r="M27" s="512"/>
      <c r="N27" s="509"/>
      <c r="O27" s="512">
        <v>1.65</v>
      </c>
      <c r="P27" s="509"/>
      <c r="Q27" s="512"/>
      <c r="R27" s="509"/>
      <c r="S27" s="512">
        <v>1</v>
      </c>
      <c r="T27" s="509"/>
      <c r="U27" s="512">
        <v>1</v>
      </c>
      <c r="V27" s="509"/>
      <c r="W27" s="527">
        <f>ROUND(K27*O27,2)</f>
        <v>2.39</v>
      </c>
      <c r="X27" s="528"/>
      <c r="Y27" s="529"/>
      <c r="Z27" s="527">
        <f t="shared" si="1"/>
        <v>2.39</v>
      </c>
      <c r="AA27" s="528"/>
      <c r="AB27" s="529"/>
      <c r="AC27" s="35"/>
      <c r="AD27" s="36"/>
      <c r="AE27" s="37"/>
      <c r="AF27" s="35"/>
      <c r="AG27" s="36"/>
      <c r="AH27" s="38"/>
    </row>
    <row r="28" spans="1:34" ht="15.75">
      <c r="A28" s="507"/>
      <c r="B28" s="508"/>
      <c r="C28" s="509"/>
      <c r="D28" s="510" t="s">
        <v>641</v>
      </c>
      <c r="E28" s="511"/>
      <c r="F28" s="511"/>
      <c r="G28" s="511"/>
      <c r="H28" s="511"/>
      <c r="I28" s="511"/>
      <c r="J28" s="47"/>
      <c r="K28" s="512">
        <v>8</v>
      </c>
      <c r="L28" s="509"/>
      <c r="M28" s="512"/>
      <c r="N28" s="509"/>
      <c r="O28" s="512">
        <v>5.7</v>
      </c>
      <c r="P28" s="509"/>
      <c r="Q28" s="512"/>
      <c r="R28" s="509"/>
      <c r="S28" s="512">
        <v>1</v>
      </c>
      <c r="T28" s="509"/>
      <c r="U28" s="512">
        <v>0.9</v>
      </c>
      <c r="V28" s="509"/>
      <c r="W28" s="527">
        <f>ROUND(K28*O28,2)</f>
        <v>45.6</v>
      </c>
      <c r="X28" s="528"/>
      <c r="Y28" s="529"/>
      <c r="Z28" s="527">
        <f t="shared" si="1"/>
        <v>43.32</v>
      </c>
      <c r="AA28" s="528"/>
      <c r="AB28" s="529"/>
      <c r="AC28" s="35"/>
      <c r="AD28" s="36"/>
      <c r="AE28" s="37"/>
      <c r="AF28" s="35"/>
      <c r="AG28" s="36"/>
      <c r="AH28" s="38"/>
    </row>
    <row r="29" spans="1:34" ht="15.75">
      <c r="A29" s="39"/>
      <c r="B29" s="40"/>
      <c r="C29" s="41"/>
      <c r="D29" s="42" t="s">
        <v>642</v>
      </c>
      <c r="E29" s="43"/>
      <c r="F29" s="43"/>
      <c r="G29" s="43"/>
      <c r="H29" s="43"/>
      <c r="I29" s="43"/>
      <c r="J29" s="47"/>
      <c r="K29" s="512">
        <v>8.01</v>
      </c>
      <c r="L29" s="509"/>
      <c r="M29" s="512"/>
      <c r="N29" s="509"/>
      <c r="O29" s="512">
        <v>9</v>
      </c>
      <c r="P29" s="509"/>
      <c r="Q29" s="512"/>
      <c r="R29" s="509"/>
      <c r="S29" s="512">
        <v>1</v>
      </c>
      <c r="T29" s="509"/>
      <c r="U29" s="512">
        <v>0.9</v>
      </c>
      <c r="V29" s="509"/>
      <c r="W29" s="527">
        <f>ROUND(K29*O29,2)</f>
        <v>72.09</v>
      </c>
      <c r="X29" s="528"/>
      <c r="Y29" s="529"/>
      <c r="Z29" s="527">
        <f t="shared" si="1"/>
        <v>68.485500000000002</v>
      </c>
      <c r="AA29" s="528"/>
      <c r="AB29" s="529"/>
      <c r="AC29" s="35"/>
      <c r="AD29" s="36"/>
      <c r="AE29" s="37"/>
      <c r="AF29" s="35"/>
      <c r="AG29" s="36"/>
      <c r="AH29" s="38"/>
    </row>
    <row r="30" spans="1:34" ht="15.75">
      <c r="A30" s="39"/>
      <c r="B30" s="40"/>
      <c r="C30" s="41"/>
      <c r="D30" s="42" t="s">
        <v>643</v>
      </c>
      <c r="E30" s="43"/>
      <c r="F30" s="43"/>
      <c r="G30" s="43"/>
      <c r="H30" s="43"/>
      <c r="I30" s="43"/>
      <c r="J30" s="47"/>
      <c r="K30" s="512">
        <v>4.5</v>
      </c>
      <c r="L30" s="509"/>
      <c r="M30" s="512">
        <v>1.54</v>
      </c>
      <c r="N30" s="509"/>
      <c r="O30" s="512">
        <v>3</v>
      </c>
      <c r="P30" s="509"/>
      <c r="Q30" s="512">
        <v>3</v>
      </c>
      <c r="R30" s="509"/>
      <c r="S30" s="512">
        <v>1</v>
      </c>
      <c r="T30" s="509"/>
      <c r="U30" s="512">
        <v>1</v>
      </c>
      <c r="V30" s="509"/>
      <c r="W30" s="527">
        <f>ROUND(K30*O30,2)+(M30*Q30)</f>
        <v>18.12</v>
      </c>
      <c r="X30" s="528"/>
      <c r="Y30" s="529"/>
      <c r="Z30" s="527">
        <f t="shared" si="1"/>
        <v>18.12</v>
      </c>
      <c r="AA30" s="528"/>
      <c r="AB30" s="529"/>
      <c r="AC30" s="35"/>
      <c r="AD30" s="36"/>
      <c r="AE30" s="37"/>
      <c r="AF30" s="35"/>
      <c r="AG30" s="36"/>
      <c r="AH30" s="38"/>
    </row>
    <row r="31" spans="1:34" ht="15.75">
      <c r="A31" s="39"/>
      <c r="B31" s="40"/>
      <c r="C31" s="41"/>
      <c r="D31" s="42" t="s">
        <v>644</v>
      </c>
      <c r="E31" s="43"/>
      <c r="F31" s="43"/>
      <c r="G31" s="43"/>
      <c r="H31" s="43"/>
      <c r="I31" s="43"/>
      <c r="J31" s="47"/>
      <c r="K31" s="512">
        <v>4.5</v>
      </c>
      <c r="L31" s="509"/>
      <c r="M31" s="512">
        <v>1.54</v>
      </c>
      <c r="N31" s="509"/>
      <c r="O31" s="512">
        <v>3</v>
      </c>
      <c r="P31" s="509"/>
      <c r="Q31" s="512">
        <v>3</v>
      </c>
      <c r="R31" s="509"/>
      <c r="S31" s="512">
        <v>1</v>
      </c>
      <c r="T31" s="509"/>
      <c r="U31" s="512">
        <v>1</v>
      </c>
      <c r="V31" s="509"/>
      <c r="W31" s="527">
        <f>ROUND(K31*O31,2)+(M31*Q31)</f>
        <v>18.12</v>
      </c>
      <c r="X31" s="528"/>
      <c r="Y31" s="529"/>
      <c r="Z31" s="527">
        <f t="shared" si="1"/>
        <v>18.12</v>
      </c>
      <c r="AA31" s="528"/>
      <c r="AB31" s="529"/>
      <c r="AC31" s="35"/>
      <c r="AD31" s="36"/>
      <c r="AE31" s="37"/>
      <c r="AF31" s="35"/>
      <c r="AG31" s="36"/>
      <c r="AH31" s="38"/>
    </row>
    <row r="32" spans="1:34" ht="15.75">
      <c r="A32" s="39"/>
      <c r="B32" s="40"/>
      <c r="C32" s="41"/>
      <c r="D32" s="42" t="s">
        <v>645</v>
      </c>
      <c r="E32" s="43"/>
      <c r="F32" s="43"/>
      <c r="G32" s="43"/>
      <c r="H32" s="43"/>
      <c r="I32" s="43"/>
      <c r="J32" s="47"/>
      <c r="K32" s="512">
        <v>1.5</v>
      </c>
      <c r="L32" s="509"/>
      <c r="M32" s="512"/>
      <c r="N32" s="509"/>
      <c r="O32" s="512">
        <v>3</v>
      </c>
      <c r="P32" s="509"/>
      <c r="Q32" s="512"/>
      <c r="R32" s="509"/>
      <c r="S32" s="512">
        <v>1.1000000000000001</v>
      </c>
      <c r="T32" s="509"/>
      <c r="U32" s="512">
        <v>1.1000000000000001</v>
      </c>
      <c r="V32" s="509"/>
      <c r="W32" s="527">
        <f>ROUND(K32*O32,2)</f>
        <v>4.5</v>
      </c>
      <c r="X32" s="528"/>
      <c r="Y32" s="529"/>
      <c r="Z32" s="527">
        <f t="shared" si="1"/>
        <v>4.95</v>
      </c>
      <c r="AA32" s="528"/>
      <c r="AB32" s="529"/>
      <c r="AC32" s="35"/>
      <c r="AD32" s="36"/>
      <c r="AE32" s="37"/>
      <c r="AF32" s="35"/>
      <c r="AG32" s="36"/>
      <c r="AH32" s="38"/>
    </row>
    <row r="33" spans="1:34" ht="15.75">
      <c r="A33" s="39"/>
      <c r="B33" s="40"/>
      <c r="C33" s="41"/>
      <c r="D33" s="42" t="s">
        <v>646</v>
      </c>
      <c r="E33" s="43"/>
      <c r="F33" s="43"/>
      <c r="G33" s="43"/>
      <c r="H33" s="43"/>
      <c r="I33" s="43"/>
      <c r="J33" s="47"/>
      <c r="K33" s="512">
        <v>2.5</v>
      </c>
      <c r="L33" s="509"/>
      <c r="M33" s="512"/>
      <c r="N33" s="509"/>
      <c r="O33" s="512">
        <v>3.15</v>
      </c>
      <c r="P33" s="509"/>
      <c r="Q33" s="512"/>
      <c r="R33" s="509"/>
      <c r="S33" s="512">
        <v>1.1000000000000001</v>
      </c>
      <c r="T33" s="509"/>
      <c r="U33" s="512">
        <v>1.1000000000000001</v>
      </c>
      <c r="V33" s="509"/>
      <c r="W33" s="527">
        <f>ROUND(K33*O33,2)</f>
        <v>7.88</v>
      </c>
      <c r="X33" s="528"/>
      <c r="Y33" s="529"/>
      <c r="Z33" s="527">
        <f t="shared" si="1"/>
        <v>8.668000000000001</v>
      </c>
      <c r="AA33" s="528"/>
      <c r="AB33" s="529"/>
      <c r="AC33" s="35"/>
      <c r="AD33" s="36"/>
      <c r="AE33" s="37"/>
      <c r="AF33" s="35"/>
      <c r="AG33" s="36"/>
      <c r="AH33" s="38"/>
    </row>
    <row r="34" spans="1:34" ht="15.75">
      <c r="A34" s="39"/>
      <c r="B34" s="40"/>
      <c r="C34" s="41"/>
      <c r="D34" s="42" t="s">
        <v>647</v>
      </c>
      <c r="E34" s="43"/>
      <c r="F34" s="43"/>
      <c r="G34" s="43"/>
      <c r="H34" s="43"/>
      <c r="I34" s="43"/>
      <c r="J34" s="47"/>
      <c r="K34" s="512">
        <v>7.85</v>
      </c>
      <c r="L34" s="509"/>
      <c r="M34" s="512"/>
      <c r="N34" s="509"/>
      <c r="O34" s="512">
        <v>3</v>
      </c>
      <c r="P34" s="509"/>
      <c r="Q34" s="512"/>
      <c r="R34" s="509"/>
      <c r="S34" s="512">
        <v>1.1000000000000001</v>
      </c>
      <c r="T34" s="509"/>
      <c r="U34" s="512">
        <v>1.1000000000000001</v>
      </c>
      <c r="V34" s="509"/>
      <c r="W34" s="527">
        <f>ROUND(K34*O34,2)</f>
        <v>23.55</v>
      </c>
      <c r="X34" s="528"/>
      <c r="Y34" s="529"/>
      <c r="Z34" s="527">
        <f t="shared" si="1"/>
        <v>25.905000000000001</v>
      </c>
      <c r="AA34" s="528"/>
      <c r="AB34" s="529"/>
      <c r="AC34" s="35"/>
      <c r="AD34" s="36"/>
      <c r="AE34" s="37"/>
      <c r="AF34" s="35"/>
      <c r="AG34" s="36"/>
      <c r="AH34" s="38"/>
    </row>
    <row r="35" spans="1:34" ht="15.75">
      <c r="A35" s="39"/>
      <c r="B35" s="40"/>
      <c r="C35" s="41"/>
      <c r="D35" s="42" t="s">
        <v>648</v>
      </c>
      <c r="E35" s="43"/>
      <c r="F35" s="43"/>
      <c r="G35" s="43"/>
      <c r="H35" s="43"/>
      <c r="I35" s="43"/>
      <c r="J35" s="47"/>
      <c r="K35" s="512">
        <v>4.9000000000000004</v>
      </c>
      <c r="L35" s="509"/>
      <c r="M35" s="512"/>
      <c r="N35" s="509"/>
      <c r="O35" s="512">
        <v>3.15</v>
      </c>
      <c r="P35" s="509"/>
      <c r="Q35" s="512"/>
      <c r="R35" s="509"/>
      <c r="S35" s="512">
        <v>1.1000000000000001</v>
      </c>
      <c r="T35" s="509"/>
      <c r="U35" s="512">
        <v>1.1000000000000001</v>
      </c>
      <c r="V35" s="509"/>
      <c r="W35" s="527">
        <f>ROUND(K35*O35,2)</f>
        <v>15.44</v>
      </c>
      <c r="X35" s="528"/>
      <c r="Y35" s="529"/>
      <c r="Z35" s="527">
        <f t="shared" si="1"/>
        <v>16.984000000000002</v>
      </c>
      <c r="AA35" s="528"/>
      <c r="AB35" s="529"/>
      <c r="AC35" s="35"/>
      <c r="AD35" s="36"/>
      <c r="AE35" s="37"/>
      <c r="AF35" s="35"/>
      <c r="AG35" s="36"/>
      <c r="AH35" s="38"/>
    </row>
    <row r="36" spans="1:34" ht="15.75">
      <c r="A36" s="39"/>
      <c r="B36" s="40"/>
      <c r="C36" s="41"/>
      <c r="D36" s="42" t="s">
        <v>649</v>
      </c>
      <c r="E36" s="43"/>
      <c r="F36" s="43"/>
      <c r="G36" s="43"/>
      <c r="H36" s="43"/>
      <c r="I36" s="43"/>
      <c r="J36" s="47"/>
      <c r="K36" s="512">
        <v>1.8</v>
      </c>
      <c r="L36" s="509"/>
      <c r="M36" s="512"/>
      <c r="N36" s="509"/>
      <c r="O36" s="512">
        <v>3</v>
      </c>
      <c r="P36" s="509"/>
      <c r="Q36" s="512"/>
      <c r="R36" s="509"/>
      <c r="S36" s="512">
        <v>1.1000000000000001</v>
      </c>
      <c r="T36" s="509"/>
      <c r="U36" s="512">
        <v>1.1000000000000001</v>
      </c>
      <c r="V36" s="509"/>
      <c r="W36" s="527">
        <f>ROUND(K36*O36,2)</f>
        <v>5.4</v>
      </c>
      <c r="X36" s="528"/>
      <c r="Y36" s="529"/>
      <c r="Z36" s="527">
        <f t="shared" si="1"/>
        <v>5.9400000000000013</v>
      </c>
      <c r="AA36" s="528"/>
      <c r="AB36" s="529"/>
      <c r="AC36" s="35"/>
      <c r="AD36" s="36"/>
      <c r="AE36" s="37"/>
      <c r="AF36" s="35"/>
      <c r="AG36" s="36"/>
      <c r="AH36" s="38"/>
    </row>
    <row r="37" spans="1:34" ht="15.75">
      <c r="A37" s="44"/>
      <c r="B37" s="45"/>
      <c r="C37" s="46"/>
      <c r="D37" s="42" t="s">
        <v>650</v>
      </c>
      <c r="E37" s="43"/>
      <c r="F37" s="43"/>
      <c r="G37" s="43"/>
      <c r="H37" s="43"/>
      <c r="I37" s="43"/>
      <c r="J37" s="47"/>
      <c r="K37" s="512">
        <v>12.15</v>
      </c>
      <c r="L37" s="509"/>
      <c r="M37" s="512">
        <v>8</v>
      </c>
      <c r="N37" s="509"/>
      <c r="O37" s="512">
        <v>5</v>
      </c>
      <c r="P37" s="509"/>
      <c r="Q37" s="512">
        <v>5</v>
      </c>
      <c r="R37" s="509"/>
      <c r="S37" s="512">
        <v>1.1000000000000001</v>
      </c>
      <c r="T37" s="509"/>
      <c r="U37" s="512">
        <v>1</v>
      </c>
      <c r="V37" s="509"/>
      <c r="W37" s="527">
        <f>ROUND(K37*O37,2)+(M37*Q37)</f>
        <v>100.75</v>
      </c>
      <c r="X37" s="528"/>
      <c r="Y37" s="529"/>
      <c r="Z37" s="527">
        <f t="shared" si="1"/>
        <v>105.78750000000001</v>
      </c>
      <c r="AA37" s="528"/>
      <c r="AB37" s="529"/>
      <c r="AC37" s="35"/>
      <c r="AD37" s="36"/>
      <c r="AE37" s="37"/>
      <c r="AF37" s="35"/>
      <c r="AG37" s="36"/>
      <c r="AH37" s="38"/>
    </row>
    <row r="38" spans="1:34" ht="15.75">
      <c r="A38" s="44"/>
      <c r="B38" s="45"/>
      <c r="C38" s="46"/>
      <c r="D38" s="42" t="s">
        <v>651</v>
      </c>
      <c r="E38" s="43"/>
      <c r="F38" s="43"/>
      <c r="G38" s="43"/>
      <c r="H38" s="43"/>
      <c r="I38" s="43"/>
      <c r="J38" s="47"/>
      <c r="K38" s="512">
        <v>8</v>
      </c>
      <c r="L38" s="509"/>
      <c r="M38" s="512"/>
      <c r="N38" s="509"/>
      <c r="O38" s="512">
        <v>5</v>
      </c>
      <c r="P38" s="509"/>
      <c r="Q38" s="512"/>
      <c r="R38" s="509"/>
      <c r="S38" s="512">
        <v>1.1000000000000001</v>
      </c>
      <c r="T38" s="509"/>
      <c r="U38" s="512">
        <v>1</v>
      </c>
      <c r="V38" s="509"/>
      <c r="W38" s="527">
        <f>ROUND(K38*O38,2)</f>
        <v>40</v>
      </c>
      <c r="X38" s="528"/>
      <c r="Y38" s="529"/>
      <c r="Z38" s="527">
        <f t="shared" si="1"/>
        <v>42</v>
      </c>
      <c r="AA38" s="528"/>
      <c r="AB38" s="529"/>
      <c r="AC38" s="35"/>
      <c r="AD38" s="36"/>
      <c r="AE38" s="37"/>
      <c r="AF38" s="35"/>
      <c r="AG38" s="36"/>
      <c r="AH38" s="38"/>
    </row>
    <row r="39" spans="1:34" ht="15.75">
      <c r="A39" s="44"/>
      <c r="B39" s="45"/>
      <c r="C39" s="46"/>
      <c r="D39" s="42" t="s">
        <v>652</v>
      </c>
      <c r="E39" s="43"/>
      <c r="F39" s="43"/>
      <c r="G39" s="43"/>
      <c r="H39" s="43"/>
      <c r="I39" s="43"/>
      <c r="J39" s="47"/>
      <c r="K39" s="512">
        <v>2.2000000000000002</v>
      </c>
      <c r="L39" s="509"/>
      <c r="M39" s="512">
        <v>1.67</v>
      </c>
      <c r="N39" s="509"/>
      <c r="O39" s="512">
        <v>15</v>
      </c>
      <c r="P39" s="509"/>
      <c r="Q39" s="512">
        <v>6.15</v>
      </c>
      <c r="R39" s="509"/>
      <c r="S39" s="512">
        <v>1.1000000000000001</v>
      </c>
      <c r="T39" s="509"/>
      <c r="U39" s="512">
        <v>1</v>
      </c>
      <c r="V39" s="509"/>
      <c r="W39" s="527">
        <f>ROUND(K39*O39,2)+(M39*Q39)</f>
        <v>43.270499999999998</v>
      </c>
      <c r="X39" s="528"/>
      <c r="Y39" s="529"/>
      <c r="Z39" s="527">
        <f t="shared" si="1"/>
        <v>45.434024999999998</v>
      </c>
      <c r="AA39" s="528"/>
      <c r="AB39" s="529"/>
      <c r="AC39" s="35"/>
      <c r="AD39" s="36"/>
      <c r="AE39" s="37"/>
      <c r="AF39" s="35"/>
      <c r="AG39" s="36"/>
      <c r="AH39" s="38"/>
    </row>
    <row r="40" spans="1:34" ht="15.75">
      <c r="A40" s="44"/>
      <c r="B40" s="45"/>
      <c r="C40" s="46"/>
      <c r="D40" s="42" t="s">
        <v>653</v>
      </c>
      <c r="E40" s="43"/>
      <c r="F40" s="43"/>
      <c r="G40" s="43"/>
      <c r="H40" s="43"/>
      <c r="I40" s="43"/>
      <c r="J40" s="47"/>
      <c r="K40" s="512">
        <v>2.2000000000000002</v>
      </c>
      <c r="L40" s="509"/>
      <c r="M40" s="512">
        <v>0</v>
      </c>
      <c r="N40" s="509"/>
      <c r="O40" s="512">
        <v>21.8</v>
      </c>
      <c r="P40" s="509"/>
      <c r="Q40" s="512">
        <v>0</v>
      </c>
      <c r="R40" s="509"/>
      <c r="S40" s="512">
        <v>1.1000000000000001</v>
      </c>
      <c r="T40" s="509"/>
      <c r="U40" s="512">
        <v>1</v>
      </c>
      <c r="V40" s="509"/>
      <c r="W40" s="527">
        <f>ROUND(K40*O40,2)</f>
        <v>47.96</v>
      </c>
      <c r="X40" s="528"/>
      <c r="Y40" s="529"/>
      <c r="Z40" s="527">
        <f t="shared" si="1"/>
        <v>50.358000000000004</v>
      </c>
      <c r="AA40" s="528"/>
      <c r="AB40" s="529"/>
      <c r="AC40" s="35"/>
      <c r="AD40" s="36"/>
      <c r="AE40" s="37"/>
      <c r="AF40" s="35"/>
      <c r="AG40" s="36"/>
      <c r="AH40" s="38"/>
    </row>
    <row r="42" spans="1:34">
      <c r="AD42" s="54">
        <f>AC15</f>
        <v>1090.4227250000001</v>
      </c>
    </row>
  </sheetData>
  <protectedRanges>
    <protectedRange sqref="AC16:AC40 AB9:AC15" name="Intervalo1_1"/>
  </protectedRanges>
  <mergeCells count="243"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view="pageBreakPreview" topLeftCell="B34" zoomScale="60"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9" scale="45" orientation="landscape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491"/>
  <sheetViews>
    <sheetView view="pageBreakPreview" topLeftCell="A473" zoomScale="50" zoomScaleNormal="50" zoomScaleSheetLayoutView="50" workbookViewId="0">
      <selection activeCell="AI399" sqref="AI399"/>
    </sheetView>
  </sheetViews>
  <sheetFormatPr defaultRowHeight="1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>
      <c r="A1" s="374" t="s">
        <v>601</v>
      </c>
      <c r="B1" s="536"/>
      <c r="C1" s="536"/>
      <c r="D1" s="536"/>
      <c r="E1" s="536"/>
      <c r="F1" s="536"/>
      <c r="G1" s="536"/>
      <c r="H1" s="536"/>
      <c r="I1" s="376"/>
      <c r="J1" s="537" t="s">
        <v>755</v>
      </c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9"/>
    </row>
    <row r="2" spans="1:35">
      <c r="A2" s="374"/>
      <c r="B2" s="536"/>
      <c r="C2" s="536"/>
      <c r="D2" s="536"/>
      <c r="E2" s="536"/>
      <c r="F2" s="536"/>
      <c r="G2" s="536"/>
      <c r="H2" s="536"/>
      <c r="I2" s="376"/>
      <c r="J2" s="537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9"/>
    </row>
    <row r="3" spans="1:35">
      <c r="A3" s="374"/>
      <c r="B3" s="536"/>
      <c r="C3" s="536"/>
      <c r="D3" s="536"/>
      <c r="E3" s="536"/>
      <c r="F3" s="536"/>
      <c r="G3" s="536"/>
      <c r="H3" s="536"/>
      <c r="I3" s="376"/>
      <c r="J3" s="537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9"/>
    </row>
    <row r="4" spans="1:35">
      <c r="A4" s="374"/>
      <c r="B4" s="536"/>
      <c r="C4" s="536"/>
      <c r="D4" s="536"/>
      <c r="E4" s="536"/>
      <c r="F4" s="536"/>
      <c r="G4" s="536"/>
      <c r="H4" s="536"/>
      <c r="I4" s="376"/>
      <c r="J4" s="537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9"/>
    </row>
    <row r="5" spans="1:35">
      <c r="A5" s="374"/>
      <c r="B5" s="536"/>
      <c r="C5" s="536"/>
      <c r="D5" s="536"/>
      <c r="E5" s="536"/>
      <c r="F5" s="536"/>
      <c r="G5" s="536"/>
      <c r="H5" s="536"/>
      <c r="I5" s="376"/>
      <c r="J5" s="540" t="s">
        <v>602</v>
      </c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2"/>
    </row>
    <row r="6" spans="1:35">
      <c r="A6" s="374"/>
      <c r="B6" s="536"/>
      <c r="C6" s="536"/>
      <c r="D6" s="536"/>
      <c r="E6" s="536"/>
      <c r="F6" s="536"/>
      <c r="G6" s="536"/>
      <c r="H6" s="536"/>
      <c r="I6" s="376"/>
      <c r="J6" s="540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2"/>
    </row>
    <row r="7" spans="1:35">
      <c r="A7" s="377"/>
      <c r="B7" s="378"/>
      <c r="C7" s="378"/>
      <c r="D7" s="378"/>
      <c r="E7" s="378"/>
      <c r="F7" s="378"/>
      <c r="G7" s="378"/>
      <c r="H7" s="378"/>
      <c r="I7" s="379"/>
      <c r="J7" s="540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2"/>
    </row>
    <row r="8" spans="1:3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</row>
    <row r="9" spans="1:35">
      <c r="A9" s="502" t="s">
        <v>0</v>
      </c>
      <c r="B9" s="503"/>
      <c r="C9" s="503"/>
      <c r="D9" s="504" t="s">
        <v>2</v>
      </c>
      <c r="E9" s="504"/>
      <c r="F9" s="504"/>
      <c r="G9" s="504"/>
      <c r="H9" s="504"/>
      <c r="I9" s="504"/>
      <c r="J9" s="503" t="s">
        <v>614</v>
      </c>
      <c r="K9" s="505" t="s">
        <v>615</v>
      </c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 t="s">
        <v>616</v>
      </c>
      <c r="X9" s="505"/>
      <c r="Y9" s="505"/>
      <c r="Z9" s="505"/>
      <c r="AA9" s="505"/>
      <c r="AB9" s="505"/>
      <c r="AC9" s="505"/>
      <c r="AD9" s="505"/>
      <c r="AE9" s="505"/>
      <c r="AF9" s="503" t="s">
        <v>617</v>
      </c>
      <c r="AG9" s="503"/>
      <c r="AH9" s="506"/>
    </row>
    <row r="10" spans="1:35">
      <c r="A10" s="502"/>
      <c r="B10" s="503"/>
      <c r="C10" s="503"/>
      <c r="D10" s="504"/>
      <c r="E10" s="504"/>
      <c r="F10" s="504"/>
      <c r="G10" s="504"/>
      <c r="H10" s="504"/>
      <c r="I10" s="504"/>
      <c r="J10" s="503"/>
      <c r="K10" s="505" t="s">
        <v>618</v>
      </c>
      <c r="L10" s="505"/>
      <c r="M10" s="505" t="s">
        <v>619</v>
      </c>
      <c r="N10" s="505"/>
      <c r="O10" s="505" t="s">
        <v>620</v>
      </c>
      <c r="P10" s="505"/>
      <c r="Q10" s="505" t="s">
        <v>621</v>
      </c>
      <c r="R10" s="505"/>
      <c r="S10" s="505" t="s">
        <v>622</v>
      </c>
      <c r="T10" s="505"/>
      <c r="U10" s="505" t="s">
        <v>623</v>
      </c>
      <c r="V10" s="505"/>
      <c r="W10" s="505" t="s">
        <v>624</v>
      </c>
      <c r="X10" s="505"/>
      <c r="Y10" s="505"/>
      <c r="Z10" s="505" t="s">
        <v>606</v>
      </c>
      <c r="AA10" s="505"/>
      <c r="AB10" s="505"/>
      <c r="AC10" s="505" t="s">
        <v>625</v>
      </c>
      <c r="AD10" s="505"/>
      <c r="AE10" s="505"/>
      <c r="AF10" s="503"/>
      <c r="AG10" s="503"/>
      <c r="AH10" s="506"/>
    </row>
    <row r="11" spans="1:35">
      <c r="A11" s="502"/>
      <c r="B11" s="503"/>
      <c r="C11" s="503"/>
      <c r="D11" s="504"/>
      <c r="E11" s="504"/>
      <c r="F11" s="504"/>
      <c r="G11" s="504"/>
      <c r="H11" s="504"/>
      <c r="I11" s="504"/>
      <c r="J11" s="503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3"/>
      <c r="AG11" s="503"/>
      <c r="AH11" s="506"/>
    </row>
    <row r="12" spans="1:35">
      <c r="A12" s="26"/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/>
    </row>
    <row r="13" spans="1:35" ht="15.75">
      <c r="A13" s="513" t="str">
        <f>'MEMORIA BM 03'!A32</f>
        <v>5</v>
      </c>
      <c r="B13" s="514"/>
      <c r="C13" s="515"/>
      <c r="D13" s="516">
        <f>'MEMORIA BM 03'!B32:E32</f>
        <v>0</v>
      </c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  <c r="AD13" s="517"/>
      <c r="AE13" s="517"/>
      <c r="AF13" s="517"/>
      <c r="AG13" s="517"/>
      <c r="AH13" s="518"/>
    </row>
    <row r="14" spans="1:35">
      <c r="A14" s="30"/>
      <c r="B14" s="31"/>
      <c r="C14" s="31"/>
      <c r="D14" s="31"/>
      <c r="E14" s="31"/>
      <c r="F14" s="32"/>
      <c r="G14" s="32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1:35" ht="15.75">
      <c r="A15" s="519" t="str">
        <f>'MEMORIA BM 03'!A33</f>
        <v>5.1</v>
      </c>
      <c r="B15" s="520"/>
      <c r="C15" s="521"/>
      <c r="D15" s="522" t="str">
        <f>'MEMORIA BM 03'!B33</f>
        <v>Forma plana para estruturas, em compensado plastificado de 12mm, 07 usos, inclusive escoramento - Revisada 07.2015</v>
      </c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4"/>
      <c r="AC15" s="525">
        <f>SUM(Z16:AB108)</f>
        <v>18.942500000000024</v>
      </c>
      <c r="AD15" s="520"/>
      <c r="AE15" s="521"/>
      <c r="AF15" s="525" t="str">
        <f>'MEMORIA BM 03'!C33</f>
        <v>m2</v>
      </c>
      <c r="AG15" s="520"/>
      <c r="AH15" s="526"/>
      <c r="AI15">
        <v>18.940000000000001</v>
      </c>
    </row>
    <row r="16" spans="1:35" ht="15.75">
      <c r="A16" s="507"/>
      <c r="B16" s="508"/>
      <c r="C16" s="509"/>
      <c r="D16" s="543" t="s">
        <v>662</v>
      </c>
      <c r="E16" s="544"/>
      <c r="F16" s="544"/>
      <c r="G16" s="544"/>
      <c r="H16" s="544"/>
      <c r="I16" s="544"/>
      <c r="J16" s="47"/>
      <c r="K16" s="512">
        <v>0.15</v>
      </c>
      <c r="L16" s="509"/>
      <c r="M16" s="512"/>
      <c r="N16" s="509"/>
      <c r="O16" s="512">
        <v>0.3</v>
      </c>
      <c r="P16" s="509"/>
      <c r="Q16" s="512"/>
      <c r="R16" s="509"/>
      <c r="S16" s="512">
        <f t="shared" ref="S16:S23" si="0">3.4+1.5</f>
        <v>4.9000000000000004</v>
      </c>
      <c r="T16" s="509"/>
      <c r="U16" s="512"/>
      <c r="V16" s="509"/>
      <c r="W16" s="527">
        <f>K16*O16</f>
        <v>4.4999999999999998E-2</v>
      </c>
      <c r="X16" s="528"/>
      <c r="Y16" s="529"/>
      <c r="Z16" s="527">
        <f>W16*S16</f>
        <v>0.2205</v>
      </c>
      <c r="AA16" s="528"/>
      <c r="AB16" s="529"/>
      <c r="AC16" s="35"/>
      <c r="AD16" s="36"/>
      <c r="AE16" s="37"/>
      <c r="AF16" s="35"/>
      <c r="AG16" s="36"/>
      <c r="AH16" s="38"/>
    </row>
    <row r="17" spans="1:34" ht="15.75">
      <c r="A17" s="39"/>
      <c r="B17" s="40"/>
      <c r="C17" s="41"/>
      <c r="D17" s="543" t="s">
        <v>663</v>
      </c>
      <c r="E17" s="544"/>
      <c r="F17" s="544"/>
      <c r="G17" s="544"/>
      <c r="H17" s="544"/>
      <c r="I17" s="544"/>
      <c r="J17" s="47"/>
      <c r="K17" s="512">
        <v>0.2</v>
      </c>
      <c r="L17" s="509"/>
      <c r="M17" s="512"/>
      <c r="N17" s="509"/>
      <c r="O17" s="512">
        <v>0.3</v>
      </c>
      <c r="P17" s="509"/>
      <c r="Q17" s="512"/>
      <c r="R17" s="509"/>
      <c r="S17" s="512">
        <f t="shared" si="0"/>
        <v>4.9000000000000004</v>
      </c>
      <c r="T17" s="509"/>
      <c r="U17" s="512"/>
      <c r="V17" s="509"/>
      <c r="W17" s="527">
        <f>K17*O17</f>
        <v>0.06</v>
      </c>
      <c r="X17" s="528"/>
      <c r="Y17" s="529"/>
      <c r="Z17" s="527">
        <f>W17*S17</f>
        <v>0.29399999999999998</v>
      </c>
      <c r="AA17" s="528"/>
      <c r="AB17" s="529"/>
      <c r="AC17" s="35"/>
      <c r="AD17" s="36"/>
      <c r="AE17" s="37"/>
      <c r="AF17" s="35"/>
      <c r="AG17" s="36"/>
      <c r="AH17" s="38"/>
    </row>
    <row r="18" spans="1:34" ht="15.75">
      <c r="A18" s="39"/>
      <c r="B18" s="40"/>
      <c r="C18" s="41"/>
      <c r="D18" s="543" t="s">
        <v>664</v>
      </c>
      <c r="E18" s="544"/>
      <c r="F18" s="544"/>
      <c r="G18" s="544"/>
      <c r="H18" s="544"/>
      <c r="I18" s="544"/>
      <c r="J18" s="47"/>
      <c r="K18" s="512">
        <v>0.2</v>
      </c>
      <c r="L18" s="509"/>
      <c r="M18" s="512"/>
      <c r="N18" s="509"/>
      <c r="O18" s="512">
        <v>0.3</v>
      </c>
      <c r="P18" s="509"/>
      <c r="Q18" s="512"/>
      <c r="R18" s="509"/>
      <c r="S18" s="512">
        <f t="shared" si="0"/>
        <v>4.9000000000000004</v>
      </c>
      <c r="T18" s="509"/>
      <c r="U18" s="512"/>
      <c r="V18" s="509"/>
      <c r="W18" s="527">
        <f>K18*O18</f>
        <v>0.06</v>
      </c>
      <c r="X18" s="528"/>
      <c r="Y18" s="529"/>
      <c r="Z18" s="527">
        <f>W18*S18</f>
        <v>0.29399999999999998</v>
      </c>
      <c r="AA18" s="528"/>
      <c r="AB18" s="529"/>
      <c r="AC18" s="35"/>
      <c r="AD18" s="36"/>
      <c r="AE18" s="37"/>
      <c r="AF18" s="35"/>
      <c r="AG18" s="36"/>
      <c r="AH18" s="38"/>
    </row>
    <row r="19" spans="1:34" ht="15.75">
      <c r="A19" s="39"/>
      <c r="B19" s="40"/>
      <c r="C19" s="41"/>
      <c r="D19" s="543" t="s">
        <v>665</v>
      </c>
      <c r="E19" s="544"/>
      <c r="F19" s="544"/>
      <c r="G19" s="544"/>
      <c r="H19" s="544"/>
      <c r="I19" s="544"/>
      <c r="J19" s="48"/>
      <c r="K19" s="512">
        <v>0.2</v>
      </c>
      <c r="L19" s="509"/>
      <c r="M19" s="512"/>
      <c r="N19" s="509"/>
      <c r="O19" s="512">
        <v>0.3</v>
      </c>
      <c r="P19" s="509"/>
      <c r="Q19" s="512"/>
      <c r="R19" s="509"/>
      <c r="S19" s="512">
        <f t="shared" si="0"/>
        <v>4.9000000000000004</v>
      </c>
      <c r="T19" s="509"/>
      <c r="U19" s="512"/>
      <c r="V19" s="509"/>
      <c r="W19" s="527">
        <f>K19*O19</f>
        <v>0.06</v>
      </c>
      <c r="X19" s="528"/>
      <c r="Y19" s="529"/>
      <c r="Z19" s="527">
        <f>W19*S19</f>
        <v>0.29399999999999998</v>
      </c>
      <c r="AA19" s="528"/>
      <c r="AB19" s="529"/>
      <c r="AC19" s="35"/>
      <c r="AD19" s="36"/>
      <c r="AE19" s="37"/>
      <c r="AF19" s="35"/>
      <c r="AG19" s="36"/>
      <c r="AH19" s="38"/>
    </row>
    <row r="20" spans="1:34" ht="15.75">
      <c r="A20" s="39"/>
      <c r="B20" s="40"/>
      <c r="C20" s="41"/>
      <c r="D20" s="543" t="s">
        <v>666</v>
      </c>
      <c r="E20" s="544"/>
      <c r="F20" s="544"/>
      <c r="G20" s="544"/>
      <c r="H20" s="544"/>
      <c r="I20" s="544"/>
      <c r="J20" s="47"/>
      <c r="K20" s="512">
        <v>0.15</v>
      </c>
      <c r="L20" s="509"/>
      <c r="M20" s="512"/>
      <c r="N20" s="509"/>
      <c r="O20" s="512">
        <v>0.3</v>
      </c>
      <c r="P20" s="509"/>
      <c r="Q20" s="512"/>
      <c r="R20" s="509"/>
      <c r="S20" s="512">
        <f t="shared" si="0"/>
        <v>4.9000000000000004</v>
      </c>
      <c r="T20" s="509"/>
      <c r="U20" s="512"/>
      <c r="V20" s="509"/>
      <c r="W20" s="527">
        <f>K20*O20</f>
        <v>4.4999999999999998E-2</v>
      </c>
      <c r="X20" s="528"/>
      <c r="Y20" s="529"/>
      <c r="Z20" s="527">
        <f>W20*S20</f>
        <v>0.2205</v>
      </c>
      <c r="AA20" s="528"/>
      <c r="AB20" s="529"/>
      <c r="AC20" s="35"/>
      <c r="AD20" s="36"/>
      <c r="AE20" s="37"/>
      <c r="AF20" s="35"/>
      <c r="AG20" s="36"/>
      <c r="AH20" s="38"/>
    </row>
    <row r="21" spans="1:34" ht="15.75">
      <c r="A21" s="39"/>
      <c r="B21" s="40"/>
      <c r="C21" s="41"/>
      <c r="D21" s="543" t="s">
        <v>667</v>
      </c>
      <c r="E21" s="544"/>
      <c r="F21" s="544"/>
      <c r="G21" s="544"/>
      <c r="H21" s="544"/>
      <c r="I21" s="544"/>
      <c r="J21" s="47"/>
      <c r="K21" s="512">
        <v>0.15</v>
      </c>
      <c r="L21" s="509"/>
      <c r="M21" s="512"/>
      <c r="N21" s="509"/>
      <c r="O21" s="512">
        <v>0.3</v>
      </c>
      <c r="P21" s="509"/>
      <c r="Q21" s="512"/>
      <c r="R21" s="509"/>
      <c r="S21" s="512">
        <f t="shared" si="0"/>
        <v>4.9000000000000004</v>
      </c>
      <c r="T21" s="509"/>
      <c r="U21" s="512"/>
      <c r="V21" s="509"/>
      <c r="W21" s="527">
        <f t="shared" ref="W21:W40" si="1">K21*O21</f>
        <v>4.4999999999999998E-2</v>
      </c>
      <c r="X21" s="528"/>
      <c r="Y21" s="529"/>
      <c r="Z21" s="527">
        <f t="shared" ref="Z21:Z40" si="2">W21*S21</f>
        <v>0.2205</v>
      </c>
      <c r="AA21" s="528"/>
      <c r="AB21" s="529"/>
      <c r="AC21" s="35"/>
      <c r="AD21" s="36"/>
      <c r="AE21" s="37"/>
      <c r="AF21" s="35"/>
      <c r="AG21" s="36"/>
      <c r="AH21" s="38"/>
    </row>
    <row r="22" spans="1:34" ht="15.75">
      <c r="A22" s="39"/>
      <c r="B22" s="40"/>
      <c r="C22" s="41"/>
      <c r="D22" s="543" t="s">
        <v>668</v>
      </c>
      <c r="E22" s="544"/>
      <c r="F22" s="544"/>
      <c r="G22" s="544"/>
      <c r="H22" s="544"/>
      <c r="I22" s="544"/>
      <c r="J22" s="47"/>
      <c r="K22" s="512">
        <v>0.15</v>
      </c>
      <c r="L22" s="509"/>
      <c r="M22" s="512"/>
      <c r="N22" s="509"/>
      <c r="O22" s="512">
        <v>0.3</v>
      </c>
      <c r="P22" s="509"/>
      <c r="Q22" s="512"/>
      <c r="R22" s="509"/>
      <c r="S22" s="512">
        <f t="shared" si="0"/>
        <v>4.9000000000000004</v>
      </c>
      <c r="T22" s="509"/>
      <c r="U22" s="512"/>
      <c r="V22" s="509"/>
      <c r="W22" s="527">
        <f t="shared" si="1"/>
        <v>4.4999999999999998E-2</v>
      </c>
      <c r="X22" s="528"/>
      <c r="Y22" s="529"/>
      <c r="Z22" s="527">
        <f t="shared" si="2"/>
        <v>0.2205</v>
      </c>
      <c r="AA22" s="528"/>
      <c r="AB22" s="529"/>
      <c r="AC22" s="35"/>
      <c r="AD22" s="36"/>
      <c r="AE22" s="37"/>
      <c r="AF22" s="35"/>
      <c r="AG22" s="36"/>
      <c r="AH22" s="38"/>
    </row>
    <row r="23" spans="1:34" ht="15.75">
      <c r="A23" s="39"/>
      <c r="B23" s="40"/>
      <c r="C23" s="41"/>
      <c r="D23" s="543" t="s">
        <v>669</v>
      </c>
      <c r="E23" s="544"/>
      <c r="F23" s="544"/>
      <c r="G23" s="544"/>
      <c r="H23" s="544"/>
      <c r="I23" s="544"/>
      <c r="J23" s="47"/>
      <c r="K23" s="512">
        <v>0.15</v>
      </c>
      <c r="L23" s="509"/>
      <c r="M23" s="512"/>
      <c r="N23" s="509"/>
      <c r="O23" s="512">
        <v>0.3</v>
      </c>
      <c r="P23" s="509"/>
      <c r="Q23" s="512"/>
      <c r="R23" s="509"/>
      <c r="S23" s="512">
        <f t="shared" si="0"/>
        <v>4.9000000000000004</v>
      </c>
      <c r="T23" s="509"/>
      <c r="U23" s="512"/>
      <c r="V23" s="509"/>
      <c r="W23" s="527">
        <f t="shared" si="1"/>
        <v>4.4999999999999998E-2</v>
      </c>
      <c r="X23" s="528"/>
      <c r="Y23" s="529"/>
      <c r="Z23" s="527">
        <f t="shared" si="2"/>
        <v>0.2205</v>
      </c>
      <c r="AA23" s="528"/>
      <c r="AB23" s="529"/>
      <c r="AC23" s="35"/>
      <c r="AD23" s="36"/>
      <c r="AE23" s="37"/>
      <c r="AF23" s="35"/>
      <c r="AG23" s="36"/>
      <c r="AH23" s="38"/>
    </row>
    <row r="24" spans="1:34" ht="15.75">
      <c r="A24" s="507"/>
      <c r="B24" s="508"/>
      <c r="C24" s="509"/>
      <c r="D24" s="543" t="s">
        <v>670</v>
      </c>
      <c r="E24" s="544"/>
      <c r="F24" s="544"/>
      <c r="G24" s="544"/>
      <c r="H24" s="544"/>
      <c r="I24" s="544"/>
      <c r="J24" s="47"/>
      <c r="K24" s="512">
        <v>0.15</v>
      </c>
      <c r="L24" s="509"/>
      <c r="M24" s="512"/>
      <c r="N24" s="509"/>
      <c r="O24" s="512">
        <v>0.3</v>
      </c>
      <c r="P24" s="509"/>
      <c r="Q24" s="512"/>
      <c r="R24" s="509"/>
      <c r="S24" s="512">
        <v>3.4</v>
      </c>
      <c r="T24" s="509"/>
      <c r="U24" s="512"/>
      <c r="V24" s="509"/>
      <c r="W24" s="527">
        <f t="shared" si="1"/>
        <v>4.4999999999999998E-2</v>
      </c>
      <c r="X24" s="528"/>
      <c r="Y24" s="529"/>
      <c r="Z24" s="527">
        <f t="shared" si="2"/>
        <v>0.153</v>
      </c>
      <c r="AA24" s="528"/>
      <c r="AB24" s="529"/>
      <c r="AC24" s="35"/>
      <c r="AD24" s="36"/>
      <c r="AE24" s="37"/>
      <c r="AF24" s="35"/>
      <c r="AG24" s="36"/>
      <c r="AH24" s="38"/>
    </row>
    <row r="25" spans="1:34" ht="15.75">
      <c r="A25" s="507"/>
      <c r="B25" s="508"/>
      <c r="C25" s="509"/>
      <c r="D25" s="543" t="s">
        <v>671</v>
      </c>
      <c r="E25" s="544"/>
      <c r="F25" s="544"/>
      <c r="G25" s="544"/>
      <c r="H25" s="544"/>
      <c r="I25" s="544"/>
      <c r="J25" s="47"/>
      <c r="K25" s="512">
        <v>0.15</v>
      </c>
      <c r="L25" s="509"/>
      <c r="M25" s="512"/>
      <c r="N25" s="509"/>
      <c r="O25" s="512">
        <v>0.3</v>
      </c>
      <c r="P25" s="509"/>
      <c r="Q25" s="512"/>
      <c r="R25" s="509"/>
      <c r="S25" s="512">
        <f>3.4+1.5</f>
        <v>4.9000000000000004</v>
      </c>
      <c r="T25" s="509"/>
      <c r="U25" s="512"/>
      <c r="V25" s="509"/>
      <c r="W25" s="527">
        <f t="shared" si="1"/>
        <v>4.4999999999999998E-2</v>
      </c>
      <c r="X25" s="528"/>
      <c r="Y25" s="529"/>
      <c r="Z25" s="527">
        <f t="shared" si="2"/>
        <v>0.2205</v>
      </c>
      <c r="AA25" s="528"/>
      <c r="AB25" s="529"/>
      <c r="AC25" s="35"/>
      <c r="AD25" s="36"/>
      <c r="AE25" s="37"/>
      <c r="AF25" s="35"/>
      <c r="AG25" s="36"/>
      <c r="AH25" s="38"/>
    </row>
    <row r="26" spans="1:34" ht="15.75">
      <c r="A26" s="507"/>
      <c r="B26" s="508"/>
      <c r="C26" s="509"/>
      <c r="D26" s="543" t="s">
        <v>672</v>
      </c>
      <c r="E26" s="544"/>
      <c r="F26" s="544"/>
      <c r="G26" s="544"/>
      <c r="H26" s="544"/>
      <c r="I26" s="544"/>
      <c r="J26" s="47"/>
      <c r="K26" s="512">
        <v>0.15</v>
      </c>
      <c r="L26" s="509"/>
      <c r="M26" s="512"/>
      <c r="N26" s="509"/>
      <c r="O26" s="512">
        <v>0.3</v>
      </c>
      <c r="P26" s="509"/>
      <c r="Q26" s="512"/>
      <c r="R26" s="509"/>
      <c r="S26" s="512">
        <f>3.4+1.5</f>
        <v>4.9000000000000004</v>
      </c>
      <c r="T26" s="509"/>
      <c r="U26" s="512"/>
      <c r="V26" s="509"/>
      <c r="W26" s="527">
        <f t="shared" si="1"/>
        <v>4.4999999999999998E-2</v>
      </c>
      <c r="X26" s="528"/>
      <c r="Y26" s="529"/>
      <c r="Z26" s="527">
        <f t="shared" si="2"/>
        <v>0.2205</v>
      </c>
      <c r="AA26" s="528"/>
      <c r="AB26" s="529"/>
      <c r="AC26" s="35"/>
      <c r="AD26" s="36"/>
      <c r="AE26" s="37"/>
      <c r="AF26" s="35"/>
      <c r="AG26" s="36"/>
      <c r="AH26" s="38"/>
    </row>
    <row r="27" spans="1:34" ht="15.75">
      <c r="A27" s="507"/>
      <c r="B27" s="508"/>
      <c r="C27" s="509"/>
      <c r="D27" s="543" t="s">
        <v>673</v>
      </c>
      <c r="E27" s="544"/>
      <c r="F27" s="544"/>
      <c r="G27" s="544"/>
      <c r="H27" s="544"/>
      <c r="I27" s="544"/>
      <c r="J27" s="47"/>
      <c r="K27" s="512">
        <v>0.15</v>
      </c>
      <c r="L27" s="509"/>
      <c r="M27" s="512"/>
      <c r="N27" s="509"/>
      <c r="O27" s="512">
        <v>0.3</v>
      </c>
      <c r="P27" s="509"/>
      <c r="Q27" s="512"/>
      <c r="R27" s="509"/>
      <c r="S27" s="512">
        <v>3.4</v>
      </c>
      <c r="T27" s="509"/>
      <c r="U27" s="512"/>
      <c r="V27" s="509"/>
      <c r="W27" s="527">
        <f t="shared" si="1"/>
        <v>4.4999999999999998E-2</v>
      </c>
      <c r="X27" s="528"/>
      <c r="Y27" s="529"/>
      <c r="Z27" s="527">
        <f t="shared" si="2"/>
        <v>0.153</v>
      </c>
      <c r="AA27" s="528"/>
      <c r="AB27" s="529"/>
      <c r="AC27" s="35"/>
      <c r="AD27" s="36"/>
      <c r="AE27" s="37"/>
      <c r="AF27" s="35"/>
      <c r="AG27" s="36"/>
      <c r="AH27" s="38"/>
    </row>
    <row r="28" spans="1:34" ht="15.75">
      <c r="A28" s="507"/>
      <c r="B28" s="508"/>
      <c r="C28" s="509"/>
      <c r="D28" s="543" t="s">
        <v>674</v>
      </c>
      <c r="E28" s="544"/>
      <c r="F28" s="544"/>
      <c r="G28" s="544"/>
      <c r="H28" s="544"/>
      <c r="I28" s="544"/>
      <c r="J28" s="47"/>
      <c r="K28" s="512">
        <v>0.15</v>
      </c>
      <c r="L28" s="509"/>
      <c r="M28" s="512"/>
      <c r="N28" s="509"/>
      <c r="O28" s="512">
        <v>0.3</v>
      </c>
      <c r="P28" s="509"/>
      <c r="Q28" s="512"/>
      <c r="R28" s="509"/>
      <c r="S28" s="512">
        <v>3.4</v>
      </c>
      <c r="T28" s="509"/>
      <c r="U28" s="512"/>
      <c r="V28" s="509"/>
      <c r="W28" s="527">
        <f t="shared" si="1"/>
        <v>4.4999999999999998E-2</v>
      </c>
      <c r="X28" s="528"/>
      <c r="Y28" s="529"/>
      <c r="Z28" s="527">
        <f t="shared" si="2"/>
        <v>0.153</v>
      </c>
      <c r="AA28" s="528"/>
      <c r="AB28" s="529"/>
      <c r="AC28" s="35"/>
      <c r="AD28" s="36"/>
      <c r="AE28" s="37"/>
      <c r="AF28" s="35"/>
      <c r="AG28" s="36"/>
      <c r="AH28" s="38"/>
    </row>
    <row r="29" spans="1:34" ht="15.75">
      <c r="A29" s="507"/>
      <c r="B29" s="508"/>
      <c r="C29" s="509"/>
      <c r="D29" s="545" t="s">
        <v>675</v>
      </c>
      <c r="E29" s="546"/>
      <c r="F29" s="546"/>
      <c r="G29" s="546"/>
      <c r="H29" s="546"/>
      <c r="I29" s="547"/>
      <c r="J29" s="47"/>
      <c r="K29" s="512">
        <v>0.15</v>
      </c>
      <c r="L29" s="509"/>
      <c r="M29" s="512"/>
      <c r="N29" s="509"/>
      <c r="O29" s="512">
        <v>0.3</v>
      </c>
      <c r="P29" s="509"/>
      <c r="Q29" s="512"/>
      <c r="R29" s="509"/>
      <c r="S29" s="512">
        <v>3.4</v>
      </c>
      <c r="T29" s="509"/>
      <c r="U29" s="512"/>
      <c r="V29" s="509"/>
      <c r="W29" s="527">
        <f t="shared" si="1"/>
        <v>4.4999999999999998E-2</v>
      </c>
      <c r="X29" s="528"/>
      <c r="Y29" s="529"/>
      <c r="Z29" s="527">
        <f t="shared" si="2"/>
        <v>0.153</v>
      </c>
      <c r="AA29" s="528"/>
      <c r="AB29" s="529"/>
      <c r="AC29" s="35"/>
      <c r="AD29" s="36"/>
      <c r="AE29" s="37"/>
      <c r="AF29" s="35"/>
      <c r="AG29" s="36"/>
      <c r="AH29" s="38"/>
    </row>
    <row r="30" spans="1:34" ht="15.75">
      <c r="A30" s="507"/>
      <c r="B30" s="508"/>
      <c r="C30" s="509"/>
      <c r="D30" s="545" t="s">
        <v>677</v>
      </c>
      <c r="E30" s="546"/>
      <c r="F30" s="546"/>
      <c r="G30" s="546"/>
      <c r="H30" s="546"/>
      <c r="I30" s="547"/>
      <c r="J30" s="47"/>
      <c r="K30" s="512">
        <v>0.15</v>
      </c>
      <c r="L30" s="509"/>
      <c r="M30" s="512"/>
      <c r="N30" s="509"/>
      <c r="O30" s="512">
        <v>0.3</v>
      </c>
      <c r="P30" s="509"/>
      <c r="Q30" s="512"/>
      <c r="R30" s="509"/>
      <c r="S30" s="512">
        <v>3.4</v>
      </c>
      <c r="T30" s="509"/>
      <c r="U30" s="512"/>
      <c r="V30" s="509"/>
      <c r="W30" s="527">
        <f t="shared" si="1"/>
        <v>4.4999999999999998E-2</v>
      </c>
      <c r="X30" s="528"/>
      <c r="Y30" s="529"/>
      <c r="Z30" s="527">
        <f t="shared" si="2"/>
        <v>0.153</v>
      </c>
      <c r="AA30" s="528"/>
      <c r="AB30" s="529"/>
      <c r="AC30" s="35"/>
      <c r="AD30" s="36"/>
      <c r="AE30" s="37"/>
      <c r="AF30" s="35"/>
      <c r="AG30" s="36"/>
      <c r="AH30" s="38"/>
    </row>
    <row r="31" spans="1:34" ht="15.75">
      <c r="A31" s="507"/>
      <c r="B31" s="508"/>
      <c r="C31" s="509"/>
      <c r="D31" s="545" t="s">
        <v>678</v>
      </c>
      <c r="E31" s="546"/>
      <c r="F31" s="546"/>
      <c r="G31" s="546"/>
      <c r="H31" s="546"/>
      <c r="I31" s="547"/>
      <c r="J31" s="47"/>
      <c r="K31" s="512">
        <v>0.15</v>
      </c>
      <c r="L31" s="509"/>
      <c r="M31" s="512"/>
      <c r="N31" s="509"/>
      <c r="O31" s="512">
        <v>0.3</v>
      </c>
      <c r="P31" s="509"/>
      <c r="Q31" s="512"/>
      <c r="R31" s="509"/>
      <c r="S31" s="512">
        <f>3.4+1.5</f>
        <v>4.9000000000000004</v>
      </c>
      <c r="T31" s="509"/>
      <c r="U31" s="512"/>
      <c r="V31" s="509"/>
      <c r="W31" s="527">
        <f t="shared" si="1"/>
        <v>4.4999999999999998E-2</v>
      </c>
      <c r="X31" s="528"/>
      <c r="Y31" s="529"/>
      <c r="Z31" s="527">
        <f t="shared" si="2"/>
        <v>0.2205</v>
      </c>
      <c r="AA31" s="528"/>
      <c r="AB31" s="529"/>
      <c r="AC31" s="35"/>
      <c r="AD31" s="36"/>
      <c r="AE31" s="37"/>
      <c r="AF31" s="35"/>
      <c r="AG31" s="36"/>
      <c r="AH31" s="38"/>
    </row>
    <row r="32" spans="1:34" ht="15.75">
      <c r="A32" s="507"/>
      <c r="B32" s="508"/>
      <c r="C32" s="509"/>
      <c r="D32" s="545" t="s">
        <v>679</v>
      </c>
      <c r="E32" s="546"/>
      <c r="F32" s="546"/>
      <c r="G32" s="546"/>
      <c r="H32" s="546"/>
      <c r="I32" s="547"/>
      <c r="J32" s="47"/>
      <c r="K32" s="512">
        <v>0.15</v>
      </c>
      <c r="L32" s="509"/>
      <c r="M32" s="512"/>
      <c r="N32" s="509"/>
      <c r="O32" s="512">
        <v>0.3</v>
      </c>
      <c r="P32" s="509"/>
      <c r="Q32" s="512"/>
      <c r="R32" s="509"/>
      <c r="S32" s="512">
        <v>3.4</v>
      </c>
      <c r="T32" s="509"/>
      <c r="U32" s="512"/>
      <c r="V32" s="509"/>
      <c r="W32" s="527">
        <f t="shared" si="1"/>
        <v>4.4999999999999998E-2</v>
      </c>
      <c r="X32" s="528"/>
      <c r="Y32" s="529"/>
      <c r="Z32" s="527">
        <f t="shared" si="2"/>
        <v>0.153</v>
      </c>
      <c r="AA32" s="528"/>
      <c r="AB32" s="529"/>
      <c r="AC32" s="35"/>
      <c r="AD32" s="36"/>
      <c r="AE32" s="37"/>
      <c r="AF32" s="35"/>
      <c r="AG32" s="36"/>
      <c r="AH32" s="38"/>
    </row>
    <row r="33" spans="1:34" ht="15.75">
      <c r="A33" s="507"/>
      <c r="B33" s="508"/>
      <c r="C33" s="509"/>
      <c r="D33" s="545" t="s">
        <v>680</v>
      </c>
      <c r="E33" s="546"/>
      <c r="F33" s="546"/>
      <c r="G33" s="546"/>
      <c r="H33" s="546"/>
      <c r="I33" s="547"/>
      <c r="J33" s="47"/>
      <c r="K33" s="512">
        <v>0.15</v>
      </c>
      <c r="L33" s="509"/>
      <c r="M33" s="512"/>
      <c r="N33" s="509"/>
      <c r="O33" s="512">
        <v>0.3</v>
      </c>
      <c r="P33" s="509"/>
      <c r="Q33" s="512"/>
      <c r="R33" s="509"/>
      <c r="S33" s="512">
        <f>3.4+1.5</f>
        <v>4.9000000000000004</v>
      </c>
      <c r="T33" s="509"/>
      <c r="U33" s="512"/>
      <c r="V33" s="509"/>
      <c r="W33" s="527">
        <f t="shared" si="1"/>
        <v>4.4999999999999998E-2</v>
      </c>
      <c r="X33" s="528"/>
      <c r="Y33" s="529"/>
      <c r="Z33" s="527">
        <f t="shared" si="2"/>
        <v>0.2205</v>
      </c>
      <c r="AA33" s="528"/>
      <c r="AB33" s="529"/>
      <c r="AC33" s="35"/>
      <c r="AD33" s="36"/>
      <c r="AE33" s="37"/>
      <c r="AF33" s="35"/>
      <c r="AG33" s="36"/>
      <c r="AH33" s="38"/>
    </row>
    <row r="34" spans="1:34" ht="15.75">
      <c r="A34" s="507"/>
      <c r="B34" s="508"/>
      <c r="C34" s="509"/>
      <c r="D34" s="545" t="s">
        <v>676</v>
      </c>
      <c r="E34" s="546"/>
      <c r="F34" s="546"/>
      <c r="G34" s="546"/>
      <c r="H34" s="546"/>
      <c r="I34" s="547"/>
      <c r="J34" s="47"/>
      <c r="K34" s="512">
        <v>0.15</v>
      </c>
      <c r="L34" s="509"/>
      <c r="M34" s="512"/>
      <c r="N34" s="509"/>
      <c r="O34" s="512">
        <v>0.3</v>
      </c>
      <c r="P34" s="509"/>
      <c r="Q34" s="512"/>
      <c r="R34" s="509"/>
      <c r="S34" s="512">
        <v>3.4</v>
      </c>
      <c r="T34" s="509"/>
      <c r="U34" s="512"/>
      <c r="V34" s="509"/>
      <c r="W34" s="527">
        <f t="shared" si="1"/>
        <v>4.4999999999999998E-2</v>
      </c>
      <c r="X34" s="528"/>
      <c r="Y34" s="529"/>
      <c r="Z34" s="527">
        <f t="shared" si="2"/>
        <v>0.153</v>
      </c>
      <c r="AA34" s="528"/>
      <c r="AB34" s="529"/>
      <c r="AC34" s="35"/>
      <c r="AD34" s="36"/>
      <c r="AE34" s="37"/>
      <c r="AF34" s="35"/>
      <c r="AG34" s="36"/>
      <c r="AH34" s="38"/>
    </row>
    <row r="35" spans="1:34" ht="15.75">
      <c r="A35" s="507"/>
      <c r="B35" s="508"/>
      <c r="C35" s="509"/>
      <c r="D35" s="545" t="s">
        <v>681</v>
      </c>
      <c r="E35" s="546"/>
      <c r="F35" s="546"/>
      <c r="G35" s="546"/>
      <c r="H35" s="546"/>
      <c r="I35" s="547"/>
      <c r="J35" s="47"/>
      <c r="K35" s="512">
        <v>0.15</v>
      </c>
      <c r="L35" s="509"/>
      <c r="M35" s="512"/>
      <c r="N35" s="509"/>
      <c r="O35" s="512">
        <v>0.3</v>
      </c>
      <c r="P35" s="509"/>
      <c r="Q35" s="512"/>
      <c r="R35" s="509"/>
      <c r="S35" s="512">
        <f>3.4+1.5</f>
        <v>4.9000000000000004</v>
      </c>
      <c r="T35" s="509"/>
      <c r="U35" s="512"/>
      <c r="V35" s="509"/>
      <c r="W35" s="527">
        <f t="shared" si="1"/>
        <v>4.4999999999999998E-2</v>
      </c>
      <c r="X35" s="528"/>
      <c r="Y35" s="529"/>
      <c r="Z35" s="527">
        <f t="shared" si="2"/>
        <v>0.2205</v>
      </c>
      <c r="AA35" s="528"/>
      <c r="AB35" s="529"/>
      <c r="AC35" s="35"/>
      <c r="AD35" s="36"/>
      <c r="AE35" s="37"/>
      <c r="AF35" s="35"/>
      <c r="AG35" s="36"/>
      <c r="AH35" s="38"/>
    </row>
    <row r="36" spans="1:34" ht="15.75">
      <c r="A36" s="507"/>
      <c r="B36" s="508"/>
      <c r="C36" s="509"/>
      <c r="D36" s="545" t="s">
        <v>682</v>
      </c>
      <c r="E36" s="546"/>
      <c r="F36" s="546"/>
      <c r="G36" s="546"/>
      <c r="H36" s="546"/>
      <c r="I36" s="547"/>
      <c r="J36" s="47"/>
      <c r="K36" s="512">
        <v>0.15</v>
      </c>
      <c r="L36" s="509"/>
      <c r="M36" s="512"/>
      <c r="N36" s="509"/>
      <c r="O36" s="512">
        <v>0.4</v>
      </c>
      <c r="P36" s="509"/>
      <c r="Q36" s="512"/>
      <c r="R36" s="509"/>
      <c r="S36" s="512">
        <f>3.4+1.5</f>
        <v>4.9000000000000004</v>
      </c>
      <c r="T36" s="509"/>
      <c r="U36" s="512"/>
      <c r="V36" s="509"/>
      <c r="W36" s="527">
        <f t="shared" si="1"/>
        <v>0.06</v>
      </c>
      <c r="X36" s="528"/>
      <c r="Y36" s="529"/>
      <c r="Z36" s="527">
        <f t="shared" si="2"/>
        <v>0.29399999999999998</v>
      </c>
      <c r="AA36" s="528"/>
      <c r="AB36" s="529"/>
      <c r="AC36" s="35"/>
      <c r="AD36" s="36"/>
      <c r="AE36" s="37"/>
      <c r="AF36" s="35"/>
      <c r="AG36" s="36"/>
      <c r="AH36" s="38"/>
    </row>
    <row r="37" spans="1:34" ht="15.75">
      <c r="A37" s="507"/>
      <c r="B37" s="508"/>
      <c r="C37" s="509"/>
      <c r="D37" s="545" t="s">
        <v>683</v>
      </c>
      <c r="E37" s="546"/>
      <c r="F37" s="546"/>
      <c r="G37" s="546"/>
      <c r="H37" s="546"/>
      <c r="I37" s="547"/>
      <c r="J37" s="47"/>
      <c r="K37" s="512">
        <v>0.2</v>
      </c>
      <c r="L37" s="509"/>
      <c r="M37" s="512"/>
      <c r="N37" s="509"/>
      <c r="O37" s="512">
        <v>0.4</v>
      </c>
      <c r="P37" s="509"/>
      <c r="Q37" s="512"/>
      <c r="R37" s="509"/>
      <c r="S37" s="512">
        <v>3.4</v>
      </c>
      <c r="T37" s="509"/>
      <c r="U37" s="512"/>
      <c r="V37" s="509"/>
      <c r="W37" s="527">
        <f t="shared" si="1"/>
        <v>8.0000000000000016E-2</v>
      </c>
      <c r="X37" s="528"/>
      <c r="Y37" s="529"/>
      <c r="Z37" s="527">
        <f t="shared" si="2"/>
        <v>0.27200000000000002</v>
      </c>
      <c r="AA37" s="528"/>
      <c r="AB37" s="529"/>
      <c r="AC37" s="35"/>
      <c r="AD37" s="36"/>
      <c r="AE37" s="37"/>
      <c r="AF37" s="35"/>
      <c r="AG37" s="36"/>
      <c r="AH37" s="38"/>
    </row>
    <row r="38" spans="1:34" ht="15.75">
      <c r="A38" s="507"/>
      <c r="B38" s="508"/>
      <c r="C38" s="509"/>
      <c r="D38" s="545" t="s">
        <v>684</v>
      </c>
      <c r="E38" s="546"/>
      <c r="F38" s="546"/>
      <c r="G38" s="546"/>
      <c r="H38" s="546"/>
      <c r="I38" s="547"/>
      <c r="J38" s="47"/>
      <c r="K38" s="512">
        <v>0.15</v>
      </c>
      <c r="L38" s="509"/>
      <c r="M38" s="512"/>
      <c r="N38" s="509"/>
      <c r="O38" s="512">
        <v>0.3</v>
      </c>
      <c r="P38" s="509"/>
      <c r="Q38" s="512"/>
      <c r="R38" s="509"/>
      <c r="S38" s="512">
        <f t="shared" ref="S38:S54" si="3">3.4+1.5</f>
        <v>4.9000000000000004</v>
      </c>
      <c r="T38" s="509"/>
      <c r="U38" s="512"/>
      <c r="V38" s="509"/>
      <c r="W38" s="527">
        <f t="shared" si="1"/>
        <v>4.4999999999999998E-2</v>
      </c>
      <c r="X38" s="528"/>
      <c r="Y38" s="529"/>
      <c r="Z38" s="527">
        <f t="shared" si="2"/>
        <v>0.2205</v>
      </c>
      <c r="AA38" s="528"/>
      <c r="AB38" s="529"/>
      <c r="AC38" s="35"/>
      <c r="AD38" s="36"/>
      <c r="AE38" s="37"/>
      <c r="AF38" s="35"/>
      <c r="AG38" s="36"/>
      <c r="AH38" s="38"/>
    </row>
    <row r="39" spans="1:34" ht="15.75">
      <c r="A39" s="507"/>
      <c r="B39" s="508"/>
      <c r="C39" s="509"/>
      <c r="D39" s="545" t="s">
        <v>685</v>
      </c>
      <c r="E39" s="546"/>
      <c r="F39" s="546"/>
      <c r="G39" s="546"/>
      <c r="H39" s="546"/>
      <c r="I39" s="547"/>
      <c r="J39" s="47"/>
      <c r="K39" s="512">
        <v>0.15</v>
      </c>
      <c r="L39" s="509"/>
      <c r="M39" s="512"/>
      <c r="N39" s="509"/>
      <c r="O39" s="512">
        <v>0.3</v>
      </c>
      <c r="P39" s="509"/>
      <c r="Q39" s="512"/>
      <c r="R39" s="509"/>
      <c r="S39" s="512">
        <f t="shared" si="3"/>
        <v>4.9000000000000004</v>
      </c>
      <c r="T39" s="509"/>
      <c r="U39" s="512"/>
      <c r="V39" s="509"/>
      <c r="W39" s="527">
        <f t="shared" si="1"/>
        <v>4.4999999999999998E-2</v>
      </c>
      <c r="X39" s="528"/>
      <c r="Y39" s="529"/>
      <c r="Z39" s="527">
        <f t="shared" si="2"/>
        <v>0.2205</v>
      </c>
      <c r="AA39" s="528"/>
      <c r="AB39" s="529"/>
      <c r="AC39" s="35"/>
      <c r="AD39" s="36"/>
      <c r="AE39" s="37"/>
      <c r="AF39" s="35"/>
      <c r="AG39" s="36"/>
      <c r="AH39" s="38"/>
    </row>
    <row r="40" spans="1:34" ht="15.75">
      <c r="A40" s="507"/>
      <c r="B40" s="508"/>
      <c r="C40" s="509"/>
      <c r="D40" s="545" t="s">
        <v>686</v>
      </c>
      <c r="E40" s="546"/>
      <c r="F40" s="546"/>
      <c r="G40" s="546"/>
      <c r="H40" s="546"/>
      <c r="I40" s="547"/>
      <c r="J40" s="47"/>
      <c r="K40" s="512">
        <v>0.15</v>
      </c>
      <c r="L40" s="509"/>
      <c r="M40" s="512"/>
      <c r="N40" s="509"/>
      <c r="O40" s="512">
        <v>0.3</v>
      </c>
      <c r="P40" s="509"/>
      <c r="Q40" s="512"/>
      <c r="R40" s="509"/>
      <c r="S40" s="512">
        <f t="shared" si="3"/>
        <v>4.9000000000000004</v>
      </c>
      <c r="T40" s="509"/>
      <c r="U40" s="512"/>
      <c r="V40" s="509"/>
      <c r="W40" s="527">
        <f t="shared" si="1"/>
        <v>4.4999999999999998E-2</v>
      </c>
      <c r="X40" s="528"/>
      <c r="Y40" s="529"/>
      <c r="Z40" s="527">
        <f t="shared" si="2"/>
        <v>0.2205</v>
      </c>
      <c r="AA40" s="528"/>
      <c r="AB40" s="529"/>
      <c r="AC40" s="35"/>
      <c r="AD40" s="36"/>
      <c r="AE40" s="37"/>
      <c r="AF40" s="35"/>
      <c r="AG40" s="36"/>
      <c r="AH40" s="38"/>
    </row>
    <row r="41" spans="1:34" ht="15.75">
      <c r="A41" s="507"/>
      <c r="B41" s="508"/>
      <c r="C41" s="509"/>
      <c r="D41" s="545" t="s">
        <v>687</v>
      </c>
      <c r="E41" s="546"/>
      <c r="F41" s="546"/>
      <c r="G41" s="546"/>
      <c r="H41" s="546"/>
      <c r="I41" s="547"/>
      <c r="J41" s="47"/>
      <c r="K41" s="512">
        <v>0.15</v>
      </c>
      <c r="L41" s="509"/>
      <c r="M41" s="512"/>
      <c r="N41" s="509"/>
      <c r="O41" s="512">
        <v>0.3</v>
      </c>
      <c r="P41" s="509"/>
      <c r="Q41" s="512"/>
      <c r="R41" s="509"/>
      <c r="S41" s="512">
        <f t="shared" si="3"/>
        <v>4.9000000000000004</v>
      </c>
      <c r="T41" s="509"/>
      <c r="U41" s="512"/>
      <c r="V41" s="509"/>
      <c r="W41" s="527">
        <f t="shared" ref="W41:W55" si="4">K41*O41</f>
        <v>4.4999999999999998E-2</v>
      </c>
      <c r="X41" s="528"/>
      <c r="Y41" s="529"/>
      <c r="Z41" s="527">
        <f t="shared" ref="Z41:Z55" si="5">W41*S41</f>
        <v>0.2205</v>
      </c>
      <c r="AA41" s="528"/>
      <c r="AB41" s="529"/>
      <c r="AC41" s="35"/>
      <c r="AD41" s="36"/>
      <c r="AE41" s="37"/>
      <c r="AF41" s="35"/>
      <c r="AG41" s="36"/>
      <c r="AH41" s="38"/>
    </row>
    <row r="42" spans="1:34" ht="15.75">
      <c r="A42" s="507"/>
      <c r="B42" s="508"/>
      <c r="C42" s="509"/>
      <c r="D42" s="545" t="s">
        <v>688</v>
      </c>
      <c r="E42" s="546"/>
      <c r="F42" s="546"/>
      <c r="G42" s="546"/>
      <c r="H42" s="546"/>
      <c r="I42" s="547"/>
      <c r="J42" s="47"/>
      <c r="K42" s="512">
        <v>0.15</v>
      </c>
      <c r="L42" s="509"/>
      <c r="M42" s="512"/>
      <c r="N42" s="509"/>
      <c r="O42" s="512">
        <v>0.3</v>
      </c>
      <c r="P42" s="509"/>
      <c r="Q42" s="512"/>
      <c r="R42" s="509"/>
      <c r="S42" s="512">
        <f t="shared" si="3"/>
        <v>4.9000000000000004</v>
      </c>
      <c r="T42" s="509"/>
      <c r="U42" s="512"/>
      <c r="V42" s="509"/>
      <c r="W42" s="527">
        <f t="shared" si="4"/>
        <v>4.4999999999999998E-2</v>
      </c>
      <c r="X42" s="528"/>
      <c r="Y42" s="529"/>
      <c r="Z42" s="527">
        <f t="shared" si="5"/>
        <v>0.2205</v>
      </c>
      <c r="AA42" s="528"/>
      <c r="AB42" s="529"/>
      <c r="AC42" s="35"/>
      <c r="AD42" s="36"/>
      <c r="AE42" s="37"/>
      <c r="AF42" s="35"/>
      <c r="AG42" s="36"/>
      <c r="AH42" s="38"/>
    </row>
    <row r="43" spans="1:34" ht="15.75">
      <c r="A43" s="507"/>
      <c r="B43" s="508"/>
      <c r="C43" s="509"/>
      <c r="D43" s="545" t="s">
        <v>689</v>
      </c>
      <c r="E43" s="546"/>
      <c r="F43" s="546"/>
      <c r="G43" s="546"/>
      <c r="H43" s="546"/>
      <c r="I43" s="547"/>
      <c r="J43" s="47"/>
      <c r="K43" s="512">
        <v>0.15</v>
      </c>
      <c r="L43" s="509"/>
      <c r="M43" s="512"/>
      <c r="N43" s="509"/>
      <c r="O43" s="512">
        <v>0.3</v>
      </c>
      <c r="P43" s="509"/>
      <c r="Q43" s="512"/>
      <c r="R43" s="509"/>
      <c r="S43" s="512">
        <f t="shared" si="3"/>
        <v>4.9000000000000004</v>
      </c>
      <c r="T43" s="509"/>
      <c r="U43" s="512"/>
      <c r="V43" s="509"/>
      <c r="W43" s="527">
        <f t="shared" si="4"/>
        <v>4.4999999999999998E-2</v>
      </c>
      <c r="X43" s="528"/>
      <c r="Y43" s="529"/>
      <c r="Z43" s="527">
        <f t="shared" si="5"/>
        <v>0.2205</v>
      </c>
      <c r="AA43" s="528"/>
      <c r="AB43" s="529"/>
      <c r="AC43" s="35"/>
      <c r="AD43" s="36"/>
      <c r="AE43" s="37"/>
      <c r="AF43" s="35"/>
      <c r="AG43" s="36"/>
      <c r="AH43" s="38"/>
    </row>
    <row r="44" spans="1:34" ht="15.75">
      <c r="A44" s="507"/>
      <c r="B44" s="508"/>
      <c r="C44" s="509"/>
      <c r="D44" s="545" t="s">
        <v>690</v>
      </c>
      <c r="E44" s="546"/>
      <c r="F44" s="546"/>
      <c r="G44" s="546"/>
      <c r="H44" s="546"/>
      <c r="I44" s="547"/>
      <c r="J44" s="47"/>
      <c r="K44" s="512">
        <v>0.15</v>
      </c>
      <c r="L44" s="509"/>
      <c r="M44" s="512"/>
      <c r="N44" s="509"/>
      <c r="O44" s="512">
        <v>0.3</v>
      </c>
      <c r="P44" s="509"/>
      <c r="Q44" s="512"/>
      <c r="R44" s="509"/>
      <c r="S44" s="512">
        <f t="shared" si="3"/>
        <v>4.9000000000000004</v>
      </c>
      <c r="T44" s="509"/>
      <c r="U44" s="512"/>
      <c r="V44" s="509"/>
      <c r="W44" s="527">
        <f t="shared" si="4"/>
        <v>4.4999999999999998E-2</v>
      </c>
      <c r="X44" s="528"/>
      <c r="Y44" s="529"/>
      <c r="Z44" s="527">
        <f t="shared" si="5"/>
        <v>0.2205</v>
      </c>
      <c r="AA44" s="528"/>
      <c r="AB44" s="529"/>
      <c r="AC44" s="35"/>
      <c r="AD44" s="36"/>
      <c r="AE44" s="37"/>
      <c r="AF44" s="35"/>
      <c r="AG44" s="36"/>
      <c r="AH44" s="38"/>
    </row>
    <row r="45" spans="1:34" ht="15.75">
      <c r="A45" s="507"/>
      <c r="B45" s="508"/>
      <c r="C45" s="509"/>
      <c r="D45" s="545" t="s">
        <v>691</v>
      </c>
      <c r="E45" s="546"/>
      <c r="F45" s="546"/>
      <c r="G45" s="546"/>
      <c r="H45" s="546"/>
      <c r="I45" s="547"/>
      <c r="J45" s="47"/>
      <c r="K45" s="512">
        <v>0.15</v>
      </c>
      <c r="L45" s="509"/>
      <c r="M45" s="512"/>
      <c r="N45" s="509"/>
      <c r="O45" s="512">
        <v>0.3</v>
      </c>
      <c r="P45" s="509"/>
      <c r="Q45" s="512"/>
      <c r="R45" s="509"/>
      <c r="S45" s="512">
        <f t="shared" si="3"/>
        <v>4.9000000000000004</v>
      </c>
      <c r="T45" s="509"/>
      <c r="U45" s="512"/>
      <c r="V45" s="509"/>
      <c r="W45" s="527">
        <f t="shared" si="4"/>
        <v>4.4999999999999998E-2</v>
      </c>
      <c r="X45" s="528"/>
      <c r="Y45" s="529"/>
      <c r="Z45" s="527">
        <f t="shared" si="5"/>
        <v>0.2205</v>
      </c>
      <c r="AA45" s="528"/>
      <c r="AB45" s="529"/>
      <c r="AC45" s="35"/>
      <c r="AD45" s="36"/>
      <c r="AE45" s="37"/>
      <c r="AF45" s="35"/>
      <c r="AG45" s="36"/>
      <c r="AH45" s="38"/>
    </row>
    <row r="46" spans="1:34" ht="15.75">
      <c r="A46" s="507"/>
      <c r="B46" s="508"/>
      <c r="C46" s="509"/>
      <c r="D46" s="545" t="s">
        <v>692</v>
      </c>
      <c r="E46" s="546"/>
      <c r="F46" s="546"/>
      <c r="G46" s="546"/>
      <c r="H46" s="546"/>
      <c r="I46" s="547"/>
      <c r="J46" s="47"/>
      <c r="K46" s="512">
        <v>0.15</v>
      </c>
      <c r="L46" s="509"/>
      <c r="M46" s="512"/>
      <c r="N46" s="509"/>
      <c r="O46" s="512">
        <v>0.3</v>
      </c>
      <c r="P46" s="509"/>
      <c r="Q46" s="512"/>
      <c r="R46" s="509"/>
      <c r="S46" s="512">
        <f t="shared" si="3"/>
        <v>4.9000000000000004</v>
      </c>
      <c r="T46" s="509"/>
      <c r="U46" s="512"/>
      <c r="V46" s="509"/>
      <c r="W46" s="527">
        <f t="shared" si="4"/>
        <v>4.4999999999999998E-2</v>
      </c>
      <c r="X46" s="528"/>
      <c r="Y46" s="529"/>
      <c r="Z46" s="527">
        <f t="shared" si="5"/>
        <v>0.2205</v>
      </c>
      <c r="AA46" s="528"/>
      <c r="AB46" s="529"/>
      <c r="AC46" s="35"/>
      <c r="AD46" s="36"/>
      <c r="AE46" s="37"/>
      <c r="AF46" s="35"/>
      <c r="AG46" s="36"/>
      <c r="AH46" s="38"/>
    </row>
    <row r="47" spans="1:34" ht="15.75">
      <c r="A47" s="507"/>
      <c r="B47" s="508"/>
      <c r="C47" s="509"/>
      <c r="D47" s="545" t="s">
        <v>693</v>
      </c>
      <c r="E47" s="546"/>
      <c r="F47" s="546"/>
      <c r="G47" s="546"/>
      <c r="H47" s="546"/>
      <c r="I47" s="547"/>
      <c r="J47" s="47"/>
      <c r="K47" s="512">
        <v>0.15</v>
      </c>
      <c r="L47" s="509"/>
      <c r="M47" s="512"/>
      <c r="N47" s="509"/>
      <c r="O47" s="512">
        <v>0.3</v>
      </c>
      <c r="P47" s="509"/>
      <c r="Q47" s="512"/>
      <c r="R47" s="509"/>
      <c r="S47" s="512">
        <f t="shared" si="3"/>
        <v>4.9000000000000004</v>
      </c>
      <c r="T47" s="509"/>
      <c r="U47" s="512"/>
      <c r="V47" s="509"/>
      <c r="W47" s="527">
        <f t="shared" si="4"/>
        <v>4.4999999999999998E-2</v>
      </c>
      <c r="X47" s="528"/>
      <c r="Y47" s="529"/>
      <c r="Z47" s="527">
        <f t="shared" si="5"/>
        <v>0.2205</v>
      </c>
      <c r="AA47" s="528"/>
      <c r="AB47" s="529"/>
      <c r="AC47" s="35"/>
      <c r="AD47" s="36"/>
      <c r="AE47" s="37"/>
      <c r="AF47" s="35"/>
      <c r="AG47" s="36"/>
      <c r="AH47" s="38"/>
    </row>
    <row r="48" spans="1:34" ht="15.75">
      <c r="A48" s="507"/>
      <c r="B48" s="508"/>
      <c r="C48" s="509"/>
      <c r="D48" s="545" t="s">
        <v>694</v>
      </c>
      <c r="E48" s="546"/>
      <c r="F48" s="546"/>
      <c r="G48" s="546"/>
      <c r="H48" s="546"/>
      <c r="I48" s="547"/>
      <c r="J48" s="47"/>
      <c r="K48" s="512">
        <v>0.15</v>
      </c>
      <c r="L48" s="509"/>
      <c r="M48" s="512"/>
      <c r="N48" s="509"/>
      <c r="O48" s="512">
        <v>0.3</v>
      </c>
      <c r="P48" s="509"/>
      <c r="Q48" s="512"/>
      <c r="R48" s="509"/>
      <c r="S48" s="512">
        <f t="shared" si="3"/>
        <v>4.9000000000000004</v>
      </c>
      <c r="T48" s="509"/>
      <c r="U48" s="512"/>
      <c r="V48" s="509"/>
      <c r="W48" s="527">
        <f t="shared" si="4"/>
        <v>4.4999999999999998E-2</v>
      </c>
      <c r="X48" s="528"/>
      <c r="Y48" s="529"/>
      <c r="Z48" s="527">
        <f t="shared" si="5"/>
        <v>0.2205</v>
      </c>
      <c r="AA48" s="528"/>
      <c r="AB48" s="529"/>
      <c r="AC48" s="35"/>
      <c r="AD48" s="36"/>
      <c r="AE48" s="37"/>
      <c r="AF48" s="35"/>
      <c r="AG48" s="36"/>
      <c r="AH48" s="38"/>
    </row>
    <row r="49" spans="1:34" ht="15.75">
      <c r="A49" s="507"/>
      <c r="B49" s="508"/>
      <c r="C49" s="509"/>
      <c r="D49" s="545" t="s">
        <v>695</v>
      </c>
      <c r="E49" s="546"/>
      <c r="F49" s="546"/>
      <c r="G49" s="546"/>
      <c r="H49" s="546"/>
      <c r="I49" s="547"/>
      <c r="J49" s="47"/>
      <c r="K49" s="512">
        <v>0.15</v>
      </c>
      <c r="L49" s="509"/>
      <c r="M49" s="512"/>
      <c r="N49" s="509"/>
      <c r="O49" s="512">
        <v>0.3</v>
      </c>
      <c r="P49" s="509"/>
      <c r="Q49" s="512"/>
      <c r="R49" s="509"/>
      <c r="S49" s="512">
        <f t="shared" si="3"/>
        <v>4.9000000000000004</v>
      </c>
      <c r="T49" s="509"/>
      <c r="U49" s="512"/>
      <c r="V49" s="509"/>
      <c r="W49" s="527">
        <f t="shared" si="4"/>
        <v>4.4999999999999998E-2</v>
      </c>
      <c r="X49" s="528"/>
      <c r="Y49" s="529"/>
      <c r="Z49" s="527">
        <f t="shared" si="5"/>
        <v>0.2205</v>
      </c>
      <c r="AA49" s="528"/>
      <c r="AB49" s="529"/>
      <c r="AC49" s="35"/>
      <c r="AD49" s="36"/>
      <c r="AE49" s="37"/>
      <c r="AF49" s="35"/>
      <c r="AG49" s="36"/>
      <c r="AH49" s="38"/>
    </row>
    <row r="50" spans="1:34" ht="15.75">
      <c r="A50" s="507"/>
      <c r="B50" s="508"/>
      <c r="C50" s="509"/>
      <c r="D50" s="545" t="s">
        <v>696</v>
      </c>
      <c r="E50" s="546"/>
      <c r="F50" s="546"/>
      <c r="G50" s="546"/>
      <c r="H50" s="546"/>
      <c r="I50" s="547"/>
      <c r="J50" s="47"/>
      <c r="K50" s="512">
        <v>0.15</v>
      </c>
      <c r="L50" s="509"/>
      <c r="M50" s="512"/>
      <c r="N50" s="509"/>
      <c r="O50" s="512">
        <v>0.3</v>
      </c>
      <c r="P50" s="509"/>
      <c r="Q50" s="512"/>
      <c r="R50" s="509"/>
      <c r="S50" s="512">
        <f t="shared" si="3"/>
        <v>4.9000000000000004</v>
      </c>
      <c r="T50" s="509"/>
      <c r="U50" s="512"/>
      <c r="V50" s="509"/>
      <c r="W50" s="527">
        <f t="shared" si="4"/>
        <v>4.4999999999999998E-2</v>
      </c>
      <c r="X50" s="528"/>
      <c r="Y50" s="529"/>
      <c r="Z50" s="527">
        <f t="shared" si="5"/>
        <v>0.2205</v>
      </c>
      <c r="AA50" s="528"/>
      <c r="AB50" s="529"/>
      <c r="AC50" s="35"/>
      <c r="AD50" s="36"/>
      <c r="AE50" s="37"/>
      <c r="AF50" s="35"/>
      <c r="AG50" s="36"/>
      <c r="AH50" s="38"/>
    </row>
    <row r="51" spans="1:34" ht="15.75">
      <c r="A51" s="507"/>
      <c r="B51" s="508"/>
      <c r="C51" s="509"/>
      <c r="D51" s="545" t="s">
        <v>697</v>
      </c>
      <c r="E51" s="546"/>
      <c r="F51" s="546"/>
      <c r="G51" s="546"/>
      <c r="H51" s="546"/>
      <c r="I51" s="547"/>
      <c r="J51" s="47"/>
      <c r="K51" s="512">
        <v>0.15</v>
      </c>
      <c r="L51" s="509"/>
      <c r="M51" s="512"/>
      <c r="N51" s="509"/>
      <c r="O51" s="512">
        <v>0.3</v>
      </c>
      <c r="P51" s="509"/>
      <c r="Q51" s="512"/>
      <c r="R51" s="509"/>
      <c r="S51" s="512">
        <f t="shared" si="3"/>
        <v>4.9000000000000004</v>
      </c>
      <c r="T51" s="509"/>
      <c r="U51" s="512"/>
      <c r="V51" s="509"/>
      <c r="W51" s="527">
        <f t="shared" si="4"/>
        <v>4.4999999999999998E-2</v>
      </c>
      <c r="X51" s="528"/>
      <c r="Y51" s="529"/>
      <c r="Z51" s="527">
        <f t="shared" si="5"/>
        <v>0.2205</v>
      </c>
      <c r="AA51" s="528"/>
      <c r="AB51" s="529"/>
      <c r="AC51" s="35"/>
      <c r="AD51" s="36"/>
      <c r="AE51" s="37"/>
      <c r="AF51" s="35"/>
      <c r="AG51" s="36"/>
      <c r="AH51" s="38"/>
    </row>
    <row r="52" spans="1:34" ht="15.75">
      <c r="A52" s="507"/>
      <c r="B52" s="508"/>
      <c r="C52" s="509"/>
      <c r="D52" s="545" t="s">
        <v>698</v>
      </c>
      <c r="E52" s="546"/>
      <c r="F52" s="546"/>
      <c r="G52" s="546"/>
      <c r="H52" s="546"/>
      <c r="I52" s="547"/>
      <c r="J52" s="47"/>
      <c r="K52" s="512">
        <v>0.15</v>
      </c>
      <c r="L52" s="509"/>
      <c r="M52" s="512"/>
      <c r="N52" s="509"/>
      <c r="O52" s="512">
        <v>0.3</v>
      </c>
      <c r="P52" s="509"/>
      <c r="Q52" s="512"/>
      <c r="R52" s="509"/>
      <c r="S52" s="512">
        <f t="shared" si="3"/>
        <v>4.9000000000000004</v>
      </c>
      <c r="T52" s="509"/>
      <c r="U52" s="512"/>
      <c r="V52" s="509"/>
      <c r="W52" s="527">
        <f t="shared" si="4"/>
        <v>4.4999999999999998E-2</v>
      </c>
      <c r="X52" s="528"/>
      <c r="Y52" s="529"/>
      <c r="Z52" s="527">
        <f t="shared" si="5"/>
        <v>0.2205</v>
      </c>
      <c r="AA52" s="528"/>
      <c r="AB52" s="529"/>
      <c r="AC52" s="35"/>
      <c r="AD52" s="36"/>
      <c r="AE52" s="37"/>
      <c r="AF52" s="35"/>
      <c r="AG52" s="36"/>
      <c r="AH52" s="38"/>
    </row>
    <row r="53" spans="1:34" ht="15.75">
      <c r="A53" s="507"/>
      <c r="B53" s="508"/>
      <c r="C53" s="509"/>
      <c r="D53" s="545" t="s">
        <v>699</v>
      </c>
      <c r="E53" s="546"/>
      <c r="F53" s="546"/>
      <c r="G53" s="546"/>
      <c r="H53" s="546"/>
      <c r="I53" s="547"/>
      <c r="J53" s="47"/>
      <c r="K53" s="512">
        <v>0.15</v>
      </c>
      <c r="L53" s="509"/>
      <c r="M53" s="512"/>
      <c r="N53" s="509"/>
      <c r="O53" s="512">
        <v>0.3</v>
      </c>
      <c r="P53" s="509"/>
      <c r="Q53" s="512"/>
      <c r="R53" s="509"/>
      <c r="S53" s="512">
        <f t="shared" si="3"/>
        <v>4.9000000000000004</v>
      </c>
      <c r="T53" s="509"/>
      <c r="U53" s="512"/>
      <c r="V53" s="509"/>
      <c r="W53" s="527">
        <f t="shared" si="4"/>
        <v>4.4999999999999998E-2</v>
      </c>
      <c r="X53" s="528"/>
      <c r="Y53" s="529"/>
      <c r="Z53" s="527">
        <f t="shared" si="5"/>
        <v>0.2205</v>
      </c>
      <c r="AA53" s="528"/>
      <c r="AB53" s="529"/>
      <c r="AC53" s="35"/>
      <c r="AD53" s="36"/>
      <c r="AE53" s="37"/>
      <c r="AF53" s="35"/>
      <c r="AG53" s="36"/>
      <c r="AH53" s="38"/>
    </row>
    <row r="54" spans="1:34" ht="15.75">
      <c r="A54" s="507"/>
      <c r="B54" s="508"/>
      <c r="C54" s="509"/>
      <c r="D54" s="545" t="s">
        <v>700</v>
      </c>
      <c r="E54" s="546"/>
      <c r="F54" s="546"/>
      <c r="G54" s="546"/>
      <c r="H54" s="546"/>
      <c r="I54" s="547"/>
      <c r="J54" s="47"/>
      <c r="K54" s="512">
        <v>0.15</v>
      </c>
      <c r="L54" s="509"/>
      <c r="M54" s="512"/>
      <c r="N54" s="509"/>
      <c r="O54" s="512">
        <v>0.3</v>
      </c>
      <c r="P54" s="509"/>
      <c r="Q54" s="512"/>
      <c r="R54" s="509"/>
      <c r="S54" s="512">
        <f t="shared" si="3"/>
        <v>4.9000000000000004</v>
      </c>
      <c r="T54" s="509"/>
      <c r="U54" s="512"/>
      <c r="V54" s="509"/>
      <c r="W54" s="527">
        <f t="shared" si="4"/>
        <v>4.4999999999999998E-2</v>
      </c>
      <c r="X54" s="528"/>
      <c r="Y54" s="529"/>
      <c r="Z54" s="527">
        <f t="shared" si="5"/>
        <v>0.2205</v>
      </c>
      <c r="AA54" s="528"/>
      <c r="AB54" s="529"/>
      <c r="AC54" s="35"/>
      <c r="AD54" s="36"/>
      <c r="AE54" s="37"/>
      <c r="AF54" s="35"/>
      <c r="AG54" s="36"/>
      <c r="AH54" s="38"/>
    </row>
    <row r="55" spans="1:34" ht="15.75">
      <c r="A55" s="507"/>
      <c r="B55" s="508"/>
      <c r="C55" s="509"/>
      <c r="D55" s="545" t="s">
        <v>701</v>
      </c>
      <c r="E55" s="546"/>
      <c r="F55" s="546"/>
      <c r="G55" s="546"/>
      <c r="H55" s="546"/>
      <c r="I55" s="547"/>
      <c r="J55" s="47"/>
      <c r="K55" s="512">
        <v>0.15</v>
      </c>
      <c r="L55" s="509"/>
      <c r="M55" s="512"/>
      <c r="N55" s="509"/>
      <c r="O55" s="512">
        <v>0.3</v>
      </c>
      <c r="P55" s="509"/>
      <c r="Q55" s="512"/>
      <c r="R55" s="509"/>
      <c r="S55" s="512">
        <v>3.4</v>
      </c>
      <c r="T55" s="509"/>
      <c r="U55" s="512"/>
      <c r="V55" s="509"/>
      <c r="W55" s="527">
        <f t="shared" si="4"/>
        <v>4.4999999999999998E-2</v>
      </c>
      <c r="X55" s="528"/>
      <c r="Y55" s="529"/>
      <c r="Z55" s="527">
        <f t="shared" si="5"/>
        <v>0.153</v>
      </c>
      <c r="AA55" s="528"/>
      <c r="AB55" s="529"/>
      <c r="AC55" s="35"/>
      <c r="AD55" s="36"/>
      <c r="AE55" s="37"/>
      <c r="AF55" s="35"/>
      <c r="AG55" s="36"/>
      <c r="AH55" s="38"/>
    </row>
    <row r="56" spans="1:34" ht="15.75">
      <c r="A56" s="507"/>
      <c r="B56" s="508"/>
      <c r="C56" s="509"/>
      <c r="D56" s="545" t="s">
        <v>702</v>
      </c>
      <c r="E56" s="546"/>
      <c r="F56" s="546"/>
      <c r="G56" s="546"/>
      <c r="H56" s="546"/>
      <c r="I56" s="547"/>
      <c r="J56" s="47"/>
      <c r="K56" s="512">
        <v>0.15</v>
      </c>
      <c r="L56" s="509"/>
      <c r="M56" s="512"/>
      <c r="N56" s="509"/>
      <c r="O56" s="512">
        <v>0.3</v>
      </c>
      <c r="P56" s="509"/>
      <c r="Q56" s="512"/>
      <c r="R56" s="509"/>
      <c r="S56" s="512">
        <v>3.4</v>
      </c>
      <c r="T56" s="509"/>
      <c r="U56" s="512"/>
      <c r="V56" s="509"/>
      <c r="W56" s="527">
        <f t="shared" ref="W56:W69" si="6">K56*O56</f>
        <v>4.4999999999999998E-2</v>
      </c>
      <c r="X56" s="528"/>
      <c r="Y56" s="529"/>
      <c r="Z56" s="527">
        <f t="shared" ref="Z56:Z69" si="7">W56*S56</f>
        <v>0.153</v>
      </c>
      <c r="AA56" s="528"/>
      <c r="AB56" s="529"/>
      <c r="AC56" s="35"/>
      <c r="AD56" s="36"/>
      <c r="AE56" s="37"/>
      <c r="AF56" s="35"/>
      <c r="AG56" s="36"/>
      <c r="AH56" s="38"/>
    </row>
    <row r="57" spans="1:34" ht="15.75">
      <c r="A57" s="507"/>
      <c r="B57" s="508"/>
      <c r="C57" s="509"/>
      <c r="D57" s="545" t="s">
        <v>703</v>
      </c>
      <c r="E57" s="546"/>
      <c r="F57" s="546"/>
      <c r="G57" s="546"/>
      <c r="H57" s="546"/>
      <c r="I57" s="547"/>
      <c r="J57" s="47"/>
      <c r="K57" s="512">
        <v>0.15</v>
      </c>
      <c r="L57" s="509"/>
      <c r="M57" s="512"/>
      <c r="N57" s="509"/>
      <c r="O57" s="512">
        <v>0.3</v>
      </c>
      <c r="P57" s="509"/>
      <c r="Q57" s="512"/>
      <c r="R57" s="509"/>
      <c r="S57" s="512">
        <v>3.4</v>
      </c>
      <c r="T57" s="509"/>
      <c r="U57" s="512"/>
      <c r="V57" s="509"/>
      <c r="W57" s="527">
        <f t="shared" si="6"/>
        <v>4.4999999999999998E-2</v>
      </c>
      <c r="X57" s="528"/>
      <c r="Y57" s="529"/>
      <c r="Z57" s="527">
        <f t="shared" si="7"/>
        <v>0.153</v>
      </c>
      <c r="AA57" s="528"/>
      <c r="AB57" s="529"/>
      <c r="AC57" s="35"/>
      <c r="AD57" s="36"/>
      <c r="AE57" s="37"/>
      <c r="AF57" s="35"/>
      <c r="AG57" s="36"/>
      <c r="AH57" s="38"/>
    </row>
    <row r="58" spans="1:34" ht="15.75">
      <c r="A58" s="507"/>
      <c r="B58" s="508"/>
      <c r="C58" s="509"/>
      <c r="D58" s="545" t="s">
        <v>704</v>
      </c>
      <c r="E58" s="546"/>
      <c r="F58" s="546"/>
      <c r="G58" s="546"/>
      <c r="H58" s="546"/>
      <c r="I58" s="547"/>
      <c r="J58" s="47"/>
      <c r="K58" s="512">
        <v>0.15</v>
      </c>
      <c r="L58" s="509"/>
      <c r="M58" s="512"/>
      <c r="N58" s="509"/>
      <c r="O58" s="512">
        <v>0.3</v>
      </c>
      <c r="P58" s="509"/>
      <c r="Q58" s="512"/>
      <c r="R58" s="509"/>
      <c r="S58" s="512">
        <v>3.4</v>
      </c>
      <c r="T58" s="509"/>
      <c r="U58" s="512"/>
      <c r="V58" s="509"/>
      <c r="W58" s="527">
        <f t="shared" si="6"/>
        <v>4.4999999999999998E-2</v>
      </c>
      <c r="X58" s="528"/>
      <c r="Y58" s="529"/>
      <c r="Z58" s="527">
        <f t="shared" si="7"/>
        <v>0.153</v>
      </c>
      <c r="AA58" s="528"/>
      <c r="AB58" s="529"/>
      <c r="AC58" s="35"/>
      <c r="AD58" s="36"/>
      <c r="AE58" s="37"/>
      <c r="AF58" s="35"/>
      <c r="AG58" s="36"/>
      <c r="AH58" s="38"/>
    </row>
    <row r="59" spans="1:34" ht="15.75">
      <c r="A59" s="507"/>
      <c r="B59" s="508"/>
      <c r="C59" s="509"/>
      <c r="D59" s="545" t="s">
        <v>705</v>
      </c>
      <c r="E59" s="546"/>
      <c r="F59" s="546"/>
      <c r="G59" s="546"/>
      <c r="H59" s="546"/>
      <c r="I59" s="547"/>
      <c r="J59" s="47"/>
      <c r="K59" s="512">
        <v>0.15</v>
      </c>
      <c r="L59" s="509"/>
      <c r="M59" s="512"/>
      <c r="N59" s="509"/>
      <c r="O59" s="512">
        <v>0.3</v>
      </c>
      <c r="P59" s="509"/>
      <c r="Q59" s="512"/>
      <c r="R59" s="509"/>
      <c r="S59" s="512">
        <v>3.4</v>
      </c>
      <c r="T59" s="509"/>
      <c r="U59" s="512"/>
      <c r="V59" s="509"/>
      <c r="W59" s="527">
        <f t="shared" si="6"/>
        <v>4.4999999999999998E-2</v>
      </c>
      <c r="X59" s="528"/>
      <c r="Y59" s="529"/>
      <c r="Z59" s="527">
        <f t="shared" si="7"/>
        <v>0.153</v>
      </c>
      <c r="AA59" s="528"/>
      <c r="AB59" s="529"/>
      <c r="AC59" s="35"/>
      <c r="AD59" s="36"/>
      <c r="AE59" s="37"/>
      <c r="AF59" s="35"/>
      <c r="AG59" s="36"/>
      <c r="AH59" s="38"/>
    </row>
    <row r="60" spans="1:34" ht="15.75">
      <c r="A60" s="507"/>
      <c r="B60" s="508"/>
      <c r="C60" s="509"/>
      <c r="D60" s="545" t="s">
        <v>706</v>
      </c>
      <c r="E60" s="546"/>
      <c r="F60" s="546"/>
      <c r="G60" s="546"/>
      <c r="H60" s="546"/>
      <c r="I60" s="547"/>
      <c r="J60" s="47"/>
      <c r="K60" s="512">
        <v>0.25</v>
      </c>
      <c r="L60" s="509"/>
      <c r="M60" s="512"/>
      <c r="N60" s="509"/>
      <c r="O60" s="512">
        <v>0.3</v>
      </c>
      <c r="P60" s="509"/>
      <c r="Q60" s="512"/>
      <c r="R60" s="509"/>
      <c r="S60" s="512">
        <v>3.4</v>
      </c>
      <c r="T60" s="509"/>
      <c r="U60" s="512"/>
      <c r="V60" s="509"/>
      <c r="W60" s="527">
        <f t="shared" si="6"/>
        <v>7.4999999999999997E-2</v>
      </c>
      <c r="X60" s="528"/>
      <c r="Y60" s="529"/>
      <c r="Z60" s="527">
        <f t="shared" si="7"/>
        <v>0.255</v>
      </c>
      <c r="AA60" s="528"/>
      <c r="AB60" s="529"/>
      <c r="AC60" s="35"/>
      <c r="AD60" s="36"/>
      <c r="AE60" s="37"/>
      <c r="AF60" s="35"/>
      <c r="AG60" s="36"/>
      <c r="AH60" s="38"/>
    </row>
    <row r="61" spans="1:34" ht="15.75">
      <c r="A61" s="507"/>
      <c r="B61" s="508"/>
      <c r="C61" s="509"/>
      <c r="D61" s="545" t="s">
        <v>707</v>
      </c>
      <c r="E61" s="546"/>
      <c r="F61" s="546"/>
      <c r="G61" s="546"/>
      <c r="H61" s="546"/>
      <c r="I61" s="547"/>
      <c r="J61" s="47"/>
      <c r="K61" s="512">
        <v>0.25</v>
      </c>
      <c r="L61" s="509"/>
      <c r="M61" s="512"/>
      <c r="N61" s="509"/>
      <c r="O61" s="512">
        <v>0.3</v>
      </c>
      <c r="P61" s="509"/>
      <c r="Q61" s="512"/>
      <c r="R61" s="509"/>
      <c r="S61" s="512">
        <f>3.4+1.5</f>
        <v>4.9000000000000004</v>
      </c>
      <c r="T61" s="509"/>
      <c r="U61" s="512"/>
      <c r="V61" s="509"/>
      <c r="W61" s="527">
        <f t="shared" si="6"/>
        <v>7.4999999999999997E-2</v>
      </c>
      <c r="X61" s="528"/>
      <c r="Y61" s="529"/>
      <c r="Z61" s="527">
        <f t="shared" si="7"/>
        <v>0.36749999999999999</v>
      </c>
      <c r="AA61" s="528"/>
      <c r="AB61" s="529"/>
      <c r="AC61" s="35"/>
      <c r="AD61" s="36"/>
      <c r="AE61" s="37"/>
      <c r="AF61" s="35"/>
      <c r="AG61" s="36"/>
      <c r="AH61" s="38"/>
    </row>
    <row r="62" spans="1:34" ht="15.75">
      <c r="A62" s="507"/>
      <c r="B62" s="508"/>
      <c r="C62" s="509"/>
      <c r="D62" s="545" t="s">
        <v>708</v>
      </c>
      <c r="E62" s="546"/>
      <c r="F62" s="546"/>
      <c r="G62" s="546"/>
      <c r="H62" s="546"/>
      <c r="I62" s="547"/>
      <c r="J62" s="47"/>
      <c r="K62" s="512">
        <v>0.15</v>
      </c>
      <c r="L62" s="509"/>
      <c r="M62" s="512"/>
      <c r="N62" s="509"/>
      <c r="O62" s="512">
        <v>0.3</v>
      </c>
      <c r="P62" s="509"/>
      <c r="Q62" s="512"/>
      <c r="R62" s="509"/>
      <c r="S62" s="512">
        <f>3.4+1.5</f>
        <v>4.9000000000000004</v>
      </c>
      <c r="T62" s="509"/>
      <c r="U62" s="512"/>
      <c r="V62" s="509"/>
      <c r="W62" s="527">
        <f t="shared" si="6"/>
        <v>4.4999999999999998E-2</v>
      </c>
      <c r="X62" s="528"/>
      <c r="Y62" s="529"/>
      <c r="Z62" s="527">
        <f t="shared" si="7"/>
        <v>0.2205</v>
      </c>
      <c r="AA62" s="528"/>
      <c r="AB62" s="529"/>
      <c r="AC62" s="35"/>
      <c r="AD62" s="36"/>
      <c r="AE62" s="37"/>
      <c r="AF62" s="35"/>
      <c r="AG62" s="36"/>
      <c r="AH62" s="38"/>
    </row>
    <row r="63" spans="1:34" ht="15.75">
      <c r="A63" s="507"/>
      <c r="B63" s="508"/>
      <c r="C63" s="509"/>
      <c r="D63" s="545" t="s">
        <v>709</v>
      </c>
      <c r="E63" s="546"/>
      <c r="F63" s="546"/>
      <c r="G63" s="546"/>
      <c r="H63" s="546"/>
      <c r="I63" s="547"/>
      <c r="J63" s="47"/>
      <c r="K63" s="512">
        <v>0.15</v>
      </c>
      <c r="L63" s="509"/>
      <c r="M63" s="512"/>
      <c r="N63" s="509"/>
      <c r="O63" s="512">
        <v>0.3</v>
      </c>
      <c r="P63" s="509"/>
      <c r="Q63" s="512"/>
      <c r="R63" s="509"/>
      <c r="S63" s="512">
        <f>3.4+1.5</f>
        <v>4.9000000000000004</v>
      </c>
      <c r="T63" s="509"/>
      <c r="U63" s="512"/>
      <c r="V63" s="509"/>
      <c r="W63" s="527">
        <f t="shared" si="6"/>
        <v>4.4999999999999998E-2</v>
      </c>
      <c r="X63" s="528"/>
      <c r="Y63" s="529"/>
      <c r="Z63" s="527">
        <f t="shared" si="7"/>
        <v>0.2205</v>
      </c>
      <c r="AA63" s="528"/>
      <c r="AB63" s="529"/>
      <c r="AC63" s="35"/>
      <c r="AD63" s="36"/>
      <c r="AE63" s="37"/>
      <c r="AF63" s="35"/>
      <c r="AG63" s="36"/>
      <c r="AH63" s="38"/>
    </row>
    <row r="64" spans="1:34" ht="15.75">
      <c r="A64" s="507"/>
      <c r="B64" s="508"/>
      <c r="C64" s="509"/>
      <c r="D64" s="545" t="s">
        <v>710</v>
      </c>
      <c r="E64" s="546"/>
      <c r="F64" s="546"/>
      <c r="G64" s="546"/>
      <c r="H64" s="546"/>
      <c r="I64" s="547"/>
      <c r="J64" s="47"/>
      <c r="K64" s="512">
        <v>0.15</v>
      </c>
      <c r="L64" s="509"/>
      <c r="M64" s="512"/>
      <c r="N64" s="509"/>
      <c r="O64" s="512">
        <v>0.3</v>
      </c>
      <c r="P64" s="509"/>
      <c r="Q64" s="512"/>
      <c r="R64" s="509"/>
      <c r="S64" s="512">
        <f>3.4+1.5</f>
        <v>4.9000000000000004</v>
      </c>
      <c r="T64" s="509"/>
      <c r="U64" s="512"/>
      <c r="V64" s="509"/>
      <c r="W64" s="527">
        <f t="shared" si="6"/>
        <v>4.4999999999999998E-2</v>
      </c>
      <c r="X64" s="528"/>
      <c r="Y64" s="529"/>
      <c r="Z64" s="527">
        <f t="shared" si="7"/>
        <v>0.2205</v>
      </c>
      <c r="AA64" s="528"/>
      <c r="AB64" s="529"/>
      <c r="AC64" s="35"/>
      <c r="AD64" s="36"/>
      <c r="AE64" s="37"/>
      <c r="AF64" s="35"/>
      <c r="AG64" s="36"/>
      <c r="AH64" s="38"/>
    </row>
    <row r="65" spans="1:34" ht="15.75">
      <c r="A65" s="507"/>
      <c r="B65" s="508"/>
      <c r="C65" s="509"/>
      <c r="D65" s="545" t="s">
        <v>711</v>
      </c>
      <c r="E65" s="546"/>
      <c r="F65" s="546"/>
      <c r="G65" s="546"/>
      <c r="H65" s="546"/>
      <c r="I65" s="547"/>
      <c r="J65" s="47"/>
      <c r="K65" s="512">
        <v>0.15</v>
      </c>
      <c r="L65" s="509"/>
      <c r="M65" s="512"/>
      <c r="N65" s="509"/>
      <c r="O65" s="512">
        <v>0.3</v>
      </c>
      <c r="P65" s="509"/>
      <c r="Q65" s="512"/>
      <c r="R65" s="509"/>
      <c r="S65" s="512">
        <v>3.4</v>
      </c>
      <c r="T65" s="509"/>
      <c r="U65" s="512"/>
      <c r="V65" s="509"/>
      <c r="W65" s="527">
        <f t="shared" si="6"/>
        <v>4.4999999999999998E-2</v>
      </c>
      <c r="X65" s="528"/>
      <c r="Y65" s="529"/>
      <c r="Z65" s="527">
        <f t="shared" si="7"/>
        <v>0.153</v>
      </c>
      <c r="AA65" s="528"/>
      <c r="AB65" s="529"/>
      <c r="AC65" s="35"/>
      <c r="AD65" s="36"/>
      <c r="AE65" s="37"/>
      <c r="AF65" s="35"/>
      <c r="AG65" s="36"/>
      <c r="AH65" s="38"/>
    </row>
    <row r="66" spans="1:34" ht="15.75">
      <c r="A66" s="507"/>
      <c r="B66" s="508"/>
      <c r="C66" s="509"/>
      <c r="D66" s="545" t="s">
        <v>712</v>
      </c>
      <c r="E66" s="546"/>
      <c r="F66" s="546"/>
      <c r="G66" s="546"/>
      <c r="H66" s="546"/>
      <c r="I66" s="547"/>
      <c r="J66" s="47"/>
      <c r="K66" s="512">
        <v>0.15</v>
      </c>
      <c r="L66" s="509"/>
      <c r="M66" s="512"/>
      <c r="N66" s="509"/>
      <c r="O66" s="512">
        <v>0.3</v>
      </c>
      <c r="P66" s="509"/>
      <c r="Q66" s="512"/>
      <c r="R66" s="509"/>
      <c r="S66" s="512">
        <v>3.4</v>
      </c>
      <c r="T66" s="509"/>
      <c r="U66" s="512"/>
      <c r="V66" s="509"/>
      <c r="W66" s="527">
        <f t="shared" si="6"/>
        <v>4.4999999999999998E-2</v>
      </c>
      <c r="X66" s="528"/>
      <c r="Y66" s="529"/>
      <c r="Z66" s="527">
        <f t="shared" si="7"/>
        <v>0.153</v>
      </c>
      <c r="AA66" s="528"/>
      <c r="AB66" s="529"/>
      <c r="AC66" s="35"/>
      <c r="AD66" s="36"/>
      <c r="AE66" s="37"/>
      <c r="AF66" s="35"/>
      <c r="AG66" s="36"/>
      <c r="AH66" s="38"/>
    </row>
    <row r="67" spans="1:34" ht="15.75">
      <c r="A67" s="507"/>
      <c r="B67" s="508"/>
      <c r="C67" s="509"/>
      <c r="D67" s="545" t="s">
        <v>713</v>
      </c>
      <c r="E67" s="546"/>
      <c r="F67" s="546"/>
      <c r="G67" s="546"/>
      <c r="H67" s="546"/>
      <c r="I67" s="547"/>
      <c r="J67" s="47"/>
      <c r="K67" s="512">
        <v>0.15</v>
      </c>
      <c r="L67" s="509"/>
      <c r="M67" s="512"/>
      <c r="N67" s="509"/>
      <c r="O67" s="512">
        <v>0.3</v>
      </c>
      <c r="P67" s="509"/>
      <c r="Q67" s="512"/>
      <c r="R67" s="509"/>
      <c r="S67" s="512">
        <v>3.4</v>
      </c>
      <c r="T67" s="509"/>
      <c r="U67" s="551"/>
      <c r="V67" s="552"/>
      <c r="W67" s="548">
        <f t="shared" si="6"/>
        <v>4.4999999999999998E-2</v>
      </c>
      <c r="X67" s="549"/>
      <c r="Y67" s="550"/>
      <c r="Z67" s="548">
        <f t="shared" si="7"/>
        <v>0.153</v>
      </c>
      <c r="AA67" s="549"/>
      <c r="AB67" s="550"/>
      <c r="AC67" s="35"/>
      <c r="AD67" s="36"/>
      <c r="AE67" s="37"/>
      <c r="AF67" s="35"/>
      <c r="AG67" s="36"/>
      <c r="AH67" s="38"/>
    </row>
    <row r="68" spans="1:34" ht="15.75">
      <c r="A68" s="507"/>
      <c r="B68" s="508"/>
      <c r="C68" s="509"/>
      <c r="D68" s="545" t="s">
        <v>714</v>
      </c>
      <c r="E68" s="546"/>
      <c r="F68" s="546"/>
      <c r="G68" s="546"/>
      <c r="H68" s="546"/>
      <c r="I68" s="547"/>
      <c r="J68" s="47"/>
      <c r="K68" s="512">
        <v>0.15</v>
      </c>
      <c r="L68" s="509"/>
      <c r="M68" s="512"/>
      <c r="N68" s="509"/>
      <c r="O68" s="512">
        <v>0.3</v>
      </c>
      <c r="P68" s="509"/>
      <c r="Q68" s="512"/>
      <c r="R68" s="509"/>
      <c r="S68" s="512">
        <v>3.4</v>
      </c>
      <c r="T68" s="509"/>
      <c r="U68" s="551"/>
      <c r="V68" s="552"/>
      <c r="W68" s="548">
        <f t="shared" si="6"/>
        <v>4.4999999999999998E-2</v>
      </c>
      <c r="X68" s="549"/>
      <c r="Y68" s="550"/>
      <c r="Z68" s="548">
        <f t="shared" si="7"/>
        <v>0.153</v>
      </c>
      <c r="AA68" s="549"/>
      <c r="AB68" s="550"/>
      <c r="AC68" s="35"/>
      <c r="AD68" s="36"/>
      <c r="AE68" s="37"/>
      <c r="AF68" s="35"/>
      <c r="AG68" s="36"/>
      <c r="AH68" s="38"/>
    </row>
    <row r="69" spans="1:34" ht="15.75">
      <c r="A69" s="507"/>
      <c r="B69" s="508"/>
      <c r="C69" s="509"/>
      <c r="D69" s="545" t="s">
        <v>715</v>
      </c>
      <c r="E69" s="546"/>
      <c r="F69" s="546"/>
      <c r="G69" s="546"/>
      <c r="H69" s="546"/>
      <c r="I69" s="547"/>
      <c r="J69" s="47"/>
      <c r="K69" s="512">
        <v>0.15</v>
      </c>
      <c r="L69" s="509"/>
      <c r="M69" s="512"/>
      <c r="N69" s="509"/>
      <c r="O69" s="512">
        <v>0.3</v>
      </c>
      <c r="P69" s="509"/>
      <c r="Q69" s="512"/>
      <c r="R69" s="509"/>
      <c r="S69" s="512">
        <v>3.4</v>
      </c>
      <c r="T69" s="509"/>
      <c r="U69" s="551"/>
      <c r="V69" s="552"/>
      <c r="W69" s="548">
        <f t="shared" si="6"/>
        <v>4.4999999999999998E-2</v>
      </c>
      <c r="X69" s="549"/>
      <c r="Y69" s="550"/>
      <c r="Z69" s="548">
        <f t="shared" si="7"/>
        <v>0.153</v>
      </c>
      <c r="AA69" s="549"/>
      <c r="AB69" s="550"/>
      <c r="AC69" s="35"/>
      <c r="AD69" s="36"/>
      <c r="AE69" s="37"/>
      <c r="AF69" s="35"/>
      <c r="AG69" s="36"/>
      <c r="AH69" s="38"/>
    </row>
    <row r="70" spans="1:34" ht="15.75">
      <c r="A70" s="507"/>
      <c r="B70" s="508"/>
      <c r="C70" s="509"/>
      <c r="D70" s="545" t="s">
        <v>716</v>
      </c>
      <c r="E70" s="546"/>
      <c r="F70" s="546"/>
      <c r="G70" s="546"/>
      <c r="H70" s="546"/>
      <c r="I70" s="547"/>
      <c r="J70" s="47"/>
      <c r="K70" s="512">
        <v>0.15</v>
      </c>
      <c r="L70" s="509"/>
      <c r="M70" s="512"/>
      <c r="N70" s="509"/>
      <c r="O70" s="512">
        <v>0.3</v>
      </c>
      <c r="P70" s="509"/>
      <c r="Q70" s="512"/>
      <c r="R70" s="509"/>
      <c r="S70" s="512">
        <v>3.4</v>
      </c>
      <c r="T70" s="509"/>
      <c r="U70" s="512"/>
      <c r="V70" s="509"/>
      <c r="W70" s="527">
        <f t="shared" ref="W70:W92" si="8">K70*O70</f>
        <v>4.4999999999999998E-2</v>
      </c>
      <c r="X70" s="528"/>
      <c r="Y70" s="529"/>
      <c r="Z70" s="527">
        <f t="shared" ref="Z70:Z92" si="9">W70*S70</f>
        <v>0.153</v>
      </c>
      <c r="AA70" s="528"/>
      <c r="AB70" s="529"/>
      <c r="AC70" s="35"/>
      <c r="AD70" s="36"/>
      <c r="AE70" s="37"/>
      <c r="AF70" s="35"/>
      <c r="AG70" s="36"/>
      <c r="AH70" s="38"/>
    </row>
    <row r="71" spans="1:34" ht="15.75">
      <c r="A71" s="507"/>
      <c r="B71" s="508"/>
      <c r="C71" s="509"/>
      <c r="D71" s="545" t="s">
        <v>717</v>
      </c>
      <c r="E71" s="546"/>
      <c r="F71" s="546"/>
      <c r="G71" s="546"/>
      <c r="H71" s="546"/>
      <c r="I71" s="547"/>
      <c r="J71" s="47"/>
      <c r="K71" s="512">
        <v>0.15</v>
      </c>
      <c r="L71" s="509"/>
      <c r="M71" s="512"/>
      <c r="N71" s="509"/>
      <c r="O71" s="512">
        <v>0.3</v>
      </c>
      <c r="P71" s="509"/>
      <c r="Q71" s="512"/>
      <c r="R71" s="509"/>
      <c r="S71" s="512">
        <f>3.4+1.5</f>
        <v>4.9000000000000004</v>
      </c>
      <c r="T71" s="509"/>
      <c r="U71" s="551"/>
      <c r="V71" s="552"/>
      <c r="W71" s="548">
        <f t="shared" si="8"/>
        <v>4.4999999999999998E-2</v>
      </c>
      <c r="X71" s="549"/>
      <c r="Y71" s="550"/>
      <c r="Z71" s="548">
        <f t="shared" si="9"/>
        <v>0.2205</v>
      </c>
      <c r="AA71" s="549"/>
      <c r="AB71" s="550"/>
      <c r="AC71" s="35"/>
      <c r="AD71" s="36"/>
      <c r="AE71" s="37"/>
      <c r="AF71" s="35"/>
      <c r="AG71" s="36"/>
      <c r="AH71" s="38"/>
    </row>
    <row r="72" spans="1:34" ht="15.75">
      <c r="A72" s="507"/>
      <c r="B72" s="508"/>
      <c r="C72" s="509"/>
      <c r="D72" s="545" t="s">
        <v>718</v>
      </c>
      <c r="E72" s="546"/>
      <c r="F72" s="546"/>
      <c r="G72" s="546"/>
      <c r="H72" s="546"/>
      <c r="I72" s="547"/>
      <c r="J72" s="47"/>
      <c r="K72" s="512">
        <v>0.15</v>
      </c>
      <c r="L72" s="509"/>
      <c r="M72" s="512"/>
      <c r="N72" s="509"/>
      <c r="O72" s="512">
        <v>0.3</v>
      </c>
      <c r="P72" s="509"/>
      <c r="Q72" s="512"/>
      <c r="R72" s="509"/>
      <c r="S72" s="512">
        <v>3.4</v>
      </c>
      <c r="T72" s="509"/>
      <c r="U72" s="551"/>
      <c r="V72" s="552"/>
      <c r="W72" s="548">
        <f t="shared" si="8"/>
        <v>4.4999999999999998E-2</v>
      </c>
      <c r="X72" s="549"/>
      <c r="Y72" s="550"/>
      <c r="Z72" s="548">
        <f t="shared" si="9"/>
        <v>0.153</v>
      </c>
      <c r="AA72" s="549"/>
      <c r="AB72" s="550"/>
      <c r="AC72" s="35"/>
      <c r="AD72" s="36"/>
      <c r="AE72" s="37"/>
      <c r="AF72" s="35"/>
      <c r="AG72" s="36"/>
      <c r="AH72" s="38"/>
    </row>
    <row r="73" spans="1:34" ht="15.75">
      <c r="A73" s="507"/>
      <c r="B73" s="508"/>
      <c r="C73" s="509"/>
      <c r="D73" s="545" t="s">
        <v>719</v>
      </c>
      <c r="E73" s="546"/>
      <c r="F73" s="546"/>
      <c r="G73" s="546"/>
      <c r="H73" s="546"/>
      <c r="I73" s="547"/>
      <c r="J73" s="47"/>
      <c r="K73" s="512">
        <v>0.15</v>
      </c>
      <c r="L73" s="509"/>
      <c r="M73" s="512"/>
      <c r="N73" s="509"/>
      <c r="O73" s="512">
        <v>0.3</v>
      </c>
      <c r="P73" s="509"/>
      <c r="Q73" s="512"/>
      <c r="R73" s="509"/>
      <c r="S73" s="512">
        <f>3.4+1.5</f>
        <v>4.9000000000000004</v>
      </c>
      <c r="T73" s="509"/>
      <c r="U73" s="551"/>
      <c r="V73" s="552"/>
      <c r="W73" s="548">
        <f t="shared" si="8"/>
        <v>4.4999999999999998E-2</v>
      </c>
      <c r="X73" s="549"/>
      <c r="Y73" s="550"/>
      <c r="Z73" s="548">
        <f t="shared" si="9"/>
        <v>0.2205</v>
      </c>
      <c r="AA73" s="549"/>
      <c r="AB73" s="550"/>
      <c r="AC73" s="35"/>
      <c r="AD73" s="36"/>
      <c r="AE73" s="37"/>
      <c r="AF73" s="35"/>
      <c r="AG73" s="36"/>
      <c r="AH73" s="38"/>
    </row>
    <row r="74" spans="1:34" ht="15.75">
      <c r="A74" s="507"/>
      <c r="B74" s="508"/>
      <c r="C74" s="509"/>
      <c r="D74" s="545" t="s">
        <v>720</v>
      </c>
      <c r="E74" s="546"/>
      <c r="F74" s="546"/>
      <c r="G74" s="546"/>
      <c r="H74" s="546"/>
      <c r="I74" s="547"/>
      <c r="J74" s="47"/>
      <c r="K74" s="512">
        <v>0.15</v>
      </c>
      <c r="L74" s="509"/>
      <c r="M74" s="512"/>
      <c r="N74" s="509"/>
      <c r="O74" s="512">
        <v>0.3</v>
      </c>
      <c r="P74" s="509"/>
      <c r="Q74" s="512"/>
      <c r="R74" s="509"/>
      <c r="S74" s="512">
        <f>3.4+1.5</f>
        <v>4.9000000000000004</v>
      </c>
      <c r="T74" s="509"/>
      <c r="U74" s="512"/>
      <c r="V74" s="509"/>
      <c r="W74" s="527">
        <f t="shared" si="8"/>
        <v>4.4999999999999998E-2</v>
      </c>
      <c r="X74" s="528"/>
      <c r="Y74" s="529"/>
      <c r="Z74" s="527">
        <f t="shared" si="9"/>
        <v>0.2205</v>
      </c>
      <c r="AA74" s="528"/>
      <c r="AB74" s="529"/>
      <c r="AC74" s="35"/>
      <c r="AD74" s="36"/>
      <c r="AE74" s="37"/>
      <c r="AF74" s="35"/>
      <c r="AG74" s="36"/>
      <c r="AH74" s="38"/>
    </row>
    <row r="75" spans="1:34" ht="15.75">
      <c r="A75" s="507"/>
      <c r="B75" s="508"/>
      <c r="C75" s="509"/>
      <c r="D75" s="545" t="s">
        <v>721</v>
      </c>
      <c r="E75" s="546"/>
      <c r="F75" s="546"/>
      <c r="G75" s="546"/>
      <c r="H75" s="546"/>
      <c r="I75" s="547"/>
      <c r="J75" s="47"/>
      <c r="K75" s="512">
        <v>0.15</v>
      </c>
      <c r="L75" s="509"/>
      <c r="M75" s="512"/>
      <c r="N75" s="509"/>
      <c r="O75" s="512">
        <v>0.3</v>
      </c>
      <c r="P75" s="509"/>
      <c r="Q75" s="512"/>
      <c r="R75" s="509"/>
      <c r="S75" s="512">
        <v>3.4</v>
      </c>
      <c r="T75" s="509"/>
      <c r="U75" s="551"/>
      <c r="V75" s="552"/>
      <c r="W75" s="548">
        <f t="shared" si="8"/>
        <v>4.4999999999999998E-2</v>
      </c>
      <c r="X75" s="549"/>
      <c r="Y75" s="550"/>
      <c r="Z75" s="548">
        <f t="shared" si="9"/>
        <v>0.153</v>
      </c>
      <c r="AA75" s="549"/>
      <c r="AB75" s="550"/>
      <c r="AC75" s="35"/>
      <c r="AD75" s="36"/>
      <c r="AE75" s="37"/>
      <c r="AF75" s="35"/>
      <c r="AG75" s="36"/>
      <c r="AH75" s="38"/>
    </row>
    <row r="76" spans="1:34" ht="15.75">
      <c r="A76" s="507"/>
      <c r="B76" s="508"/>
      <c r="C76" s="509"/>
      <c r="D76" s="545" t="s">
        <v>722</v>
      </c>
      <c r="E76" s="546"/>
      <c r="F76" s="546"/>
      <c r="G76" s="546"/>
      <c r="H76" s="546"/>
      <c r="I76" s="547"/>
      <c r="J76" s="47"/>
      <c r="K76" s="512">
        <v>0.15</v>
      </c>
      <c r="L76" s="509"/>
      <c r="M76" s="512"/>
      <c r="N76" s="509"/>
      <c r="O76" s="512">
        <v>0.3</v>
      </c>
      <c r="P76" s="509"/>
      <c r="Q76" s="512"/>
      <c r="R76" s="509"/>
      <c r="S76" s="512">
        <v>3.4</v>
      </c>
      <c r="T76" s="509"/>
      <c r="U76" s="551"/>
      <c r="V76" s="552"/>
      <c r="W76" s="548">
        <f t="shared" si="8"/>
        <v>4.4999999999999998E-2</v>
      </c>
      <c r="X76" s="549"/>
      <c r="Y76" s="550"/>
      <c r="Z76" s="548">
        <f t="shared" si="9"/>
        <v>0.153</v>
      </c>
      <c r="AA76" s="549"/>
      <c r="AB76" s="550"/>
      <c r="AC76" s="35"/>
      <c r="AD76" s="36"/>
      <c r="AE76" s="37"/>
      <c r="AF76" s="35"/>
      <c r="AG76" s="36"/>
      <c r="AH76" s="38"/>
    </row>
    <row r="77" spans="1:34" ht="15.75">
      <c r="A77" s="507"/>
      <c r="B77" s="508"/>
      <c r="C77" s="509"/>
      <c r="D77" s="545" t="s">
        <v>723</v>
      </c>
      <c r="E77" s="546"/>
      <c r="F77" s="546"/>
      <c r="G77" s="546"/>
      <c r="H77" s="546"/>
      <c r="I77" s="547"/>
      <c r="J77" s="47"/>
      <c r="K77" s="512">
        <v>0.15</v>
      </c>
      <c r="L77" s="509"/>
      <c r="M77" s="512"/>
      <c r="N77" s="509"/>
      <c r="O77" s="512">
        <v>0.3</v>
      </c>
      <c r="P77" s="509"/>
      <c r="Q77" s="512"/>
      <c r="R77" s="509"/>
      <c r="S77" s="512">
        <v>3.4</v>
      </c>
      <c r="T77" s="509"/>
      <c r="U77" s="551"/>
      <c r="V77" s="552"/>
      <c r="W77" s="548">
        <f t="shared" si="8"/>
        <v>4.4999999999999998E-2</v>
      </c>
      <c r="X77" s="549"/>
      <c r="Y77" s="550"/>
      <c r="Z77" s="548">
        <f t="shared" si="9"/>
        <v>0.153</v>
      </c>
      <c r="AA77" s="549"/>
      <c r="AB77" s="550"/>
      <c r="AC77" s="35"/>
      <c r="AD77" s="36"/>
      <c r="AE77" s="37"/>
      <c r="AF77" s="35"/>
      <c r="AG77" s="36"/>
      <c r="AH77" s="38"/>
    </row>
    <row r="78" spans="1:34" ht="15.75">
      <c r="A78" s="507"/>
      <c r="B78" s="508"/>
      <c r="C78" s="509"/>
      <c r="D78" s="545" t="s">
        <v>724</v>
      </c>
      <c r="E78" s="546"/>
      <c r="F78" s="546"/>
      <c r="G78" s="546"/>
      <c r="H78" s="546"/>
      <c r="I78" s="547"/>
      <c r="J78" s="47"/>
      <c r="K78" s="512">
        <v>0.15</v>
      </c>
      <c r="L78" s="509"/>
      <c r="M78" s="512"/>
      <c r="N78" s="509"/>
      <c r="O78" s="512">
        <v>0.3</v>
      </c>
      <c r="P78" s="509"/>
      <c r="Q78" s="512"/>
      <c r="R78" s="509"/>
      <c r="S78" s="512">
        <v>3.4</v>
      </c>
      <c r="T78" s="509"/>
      <c r="U78" s="512"/>
      <c r="V78" s="509"/>
      <c r="W78" s="527">
        <f t="shared" si="8"/>
        <v>4.4999999999999998E-2</v>
      </c>
      <c r="X78" s="528"/>
      <c r="Y78" s="529"/>
      <c r="Z78" s="527">
        <f t="shared" si="9"/>
        <v>0.153</v>
      </c>
      <c r="AA78" s="528"/>
      <c r="AB78" s="529"/>
      <c r="AC78" s="35"/>
      <c r="AD78" s="36"/>
      <c r="AE78" s="37"/>
      <c r="AF78" s="35"/>
      <c r="AG78" s="36"/>
      <c r="AH78" s="38"/>
    </row>
    <row r="79" spans="1:34" ht="15.75">
      <c r="A79" s="507"/>
      <c r="B79" s="508"/>
      <c r="C79" s="509"/>
      <c r="D79" s="545" t="s">
        <v>725</v>
      </c>
      <c r="E79" s="546"/>
      <c r="F79" s="546"/>
      <c r="G79" s="546"/>
      <c r="H79" s="546"/>
      <c r="I79" s="547"/>
      <c r="J79" s="47"/>
      <c r="K79" s="512">
        <v>0.15</v>
      </c>
      <c r="L79" s="509"/>
      <c r="M79" s="512"/>
      <c r="N79" s="509"/>
      <c r="O79" s="512">
        <v>0.3</v>
      </c>
      <c r="P79" s="509"/>
      <c r="Q79" s="512"/>
      <c r="R79" s="509"/>
      <c r="S79" s="512">
        <v>3.4</v>
      </c>
      <c r="T79" s="509"/>
      <c r="U79" s="551"/>
      <c r="V79" s="552"/>
      <c r="W79" s="548">
        <f t="shared" si="8"/>
        <v>4.4999999999999998E-2</v>
      </c>
      <c r="X79" s="549"/>
      <c r="Y79" s="550"/>
      <c r="Z79" s="548">
        <f t="shared" si="9"/>
        <v>0.153</v>
      </c>
      <c r="AA79" s="549"/>
      <c r="AB79" s="550"/>
      <c r="AC79" s="35"/>
      <c r="AD79" s="36"/>
      <c r="AE79" s="37"/>
      <c r="AF79" s="35"/>
      <c r="AG79" s="36"/>
      <c r="AH79" s="38"/>
    </row>
    <row r="80" spans="1:34" ht="15.75">
      <c r="A80" s="507"/>
      <c r="B80" s="508"/>
      <c r="C80" s="509"/>
      <c r="D80" s="545" t="s">
        <v>726</v>
      </c>
      <c r="E80" s="546"/>
      <c r="F80" s="546"/>
      <c r="G80" s="546"/>
      <c r="H80" s="546"/>
      <c r="I80" s="547"/>
      <c r="J80" s="47"/>
      <c r="K80" s="551">
        <v>0.2</v>
      </c>
      <c r="L80" s="552"/>
      <c r="M80" s="551"/>
      <c r="N80" s="552"/>
      <c r="O80" s="551">
        <v>0.3</v>
      </c>
      <c r="P80" s="552"/>
      <c r="Q80" s="551"/>
      <c r="R80" s="552"/>
      <c r="S80" s="551">
        <v>3.4</v>
      </c>
      <c r="T80" s="552"/>
      <c r="U80" s="551"/>
      <c r="V80" s="552"/>
      <c r="W80" s="548">
        <f t="shared" si="8"/>
        <v>0.06</v>
      </c>
      <c r="X80" s="549"/>
      <c r="Y80" s="550"/>
      <c r="Z80" s="548">
        <f t="shared" si="9"/>
        <v>0.20399999999999999</v>
      </c>
      <c r="AA80" s="549"/>
      <c r="AB80" s="550"/>
      <c r="AC80" s="35"/>
      <c r="AD80" s="36"/>
      <c r="AE80" s="37"/>
      <c r="AF80" s="35"/>
      <c r="AG80" s="36"/>
      <c r="AH80" s="38"/>
    </row>
    <row r="81" spans="1:34" ht="15.75">
      <c r="A81" s="507"/>
      <c r="B81" s="508"/>
      <c r="C81" s="509"/>
      <c r="D81" s="545" t="s">
        <v>727</v>
      </c>
      <c r="E81" s="546"/>
      <c r="F81" s="546"/>
      <c r="G81" s="546"/>
      <c r="H81" s="546"/>
      <c r="I81" s="547"/>
      <c r="J81" s="47"/>
      <c r="K81" s="551">
        <v>0.2</v>
      </c>
      <c r="L81" s="552"/>
      <c r="M81" s="551"/>
      <c r="N81" s="552"/>
      <c r="O81" s="551">
        <v>0.3</v>
      </c>
      <c r="P81" s="552"/>
      <c r="Q81" s="551"/>
      <c r="R81" s="552"/>
      <c r="S81" s="512">
        <f>3.4+1.5</f>
        <v>4.9000000000000004</v>
      </c>
      <c r="T81" s="509"/>
      <c r="U81" s="551"/>
      <c r="V81" s="552"/>
      <c r="W81" s="548">
        <f t="shared" si="8"/>
        <v>0.06</v>
      </c>
      <c r="X81" s="549"/>
      <c r="Y81" s="550"/>
      <c r="Z81" s="548">
        <f t="shared" si="9"/>
        <v>0.29399999999999998</v>
      </c>
      <c r="AA81" s="549"/>
      <c r="AB81" s="550"/>
      <c r="AC81" s="35"/>
      <c r="AD81" s="36"/>
      <c r="AE81" s="37"/>
      <c r="AF81" s="35"/>
      <c r="AG81" s="36"/>
      <c r="AH81" s="38"/>
    </row>
    <row r="82" spans="1:34" ht="15.75">
      <c r="A82" s="507"/>
      <c r="B82" s="508"/>
      <c r="C82" s="509"/>
      <c r="D82" s="545" t="s">
        <v>728</v>
      </c>
      <c r="E82" s="546"/>
      <c r="F82" s="546"/>
      <c r="G82" s="546"/>
      <c r="H82" s="546"/>
      <c r="I82" s="547"/>
      <c r="J82" s="47"/>
      <c r="K82" s="551">
        <v>0.15</v>
      </c>
      <c r="L82" s="552"/>
      <c r="M82" s="551"/>
      <c r="N82" s="552"/>
      <c r="O82" s="551">
        <v>0.3</v>
      </c>
      <c r="P82" s="552"/>
      <c r="Q82" s="512"/>
      <c r="R82" s="509"/>
      <c r="S82" s="512">
        <f>3.4+1.5</f>
        <v>4.9000000000000004</v>
      </c>
      <c r="T82" s="509"/>
      <c r="U82" s="512"/>
      <c r="V82" s="509"/>
      <c r="W82" s="527">
        <f t="shared" si="8"/>
        <v>4.4999999999999998E-2</v>
      </c>
      <c r="X82" s="528"/>
      <c r="Y82" s="529"/>
      <c r="Z82" s="527">
        <f t="shared" si="9"/>
        <v>0.2205</v>
      </c>
      <c r="AA82" s="528"/>
      <c r="AB82" s="529"/>
      <c r="AC82" s="35"/>
      <c r="AD82" s="36"/>
      <c r="AE82" s="37"/>
      <c r="AF82" s="35"/>
      <c r="AG82" s="36"/>
      <c r="AH82" s="38"/>
    </row>
    <row r="83" spans="1:34" ht="15.75">
      <c r="A83" s="507"/>
      <c r="B83" s="508"/>
      <c r="C83" s="509"/>
      <c r="D83" s="545" t="s">
        <v>729</v>
      </c>
      <c r="E83" s="546"/>
      <c r="F83" s="546"/>
      <c r="G83" s="546"/>
      <c r="H83" s="546"/>
      <c r="I83" s="547"/>
      <c r="J83" s="47"/>
      <c r="K83" s="551">
        <v>0.15</v>
      </c>
      <c r="L83" s="552"/>
      <c r="M83" s="551"/>
      <c r="N83" s="552"/>
      <c r="O83" s="551">
        <v>0.3</v>
      </c>
      <c r="P83" s="552"/>
      <c r="Q83" s="512"/>
      <c r="R83" s="509"/>
      <c r="S83" s="512">
        <f>3.4+1.5</f>
        <v>4.9000000000000004</v>
      </c>
      <c r="T83" s="509"/>
      <c r="U83" s="551"/>
      <c r="V83" s="552"/>
      <c r="W83" s="548">
        <f t="shared" si="8"/>
        <v>4.4999999999999998E-2</v>
      </c>
      <c r="X83" s="549"/>
      <c r="Y83" s="550"/>
      <c r="Z83" s="548">
        <f t="shared" si="9"/>
        <v>0.2205</v>
      </c>
      <c r="AA83" s="549"/>
      <c r="AB83" s="550"/>
      <c r="AC83" s="35"/>
      <c r="AD83" s="36"/>
      <c r="AE83" s="37"/>
      <c r="AF83" s="35"/>
      <c r="AG83" s="36"/>
      <c r="AH83" s="38"/>
    </row>
    <row r="84" spans="1:34" ht="15.75">
      <c r="A84" s="507"/>
      <c r="B84" s="508"/>
      <c r="C84" s="509"/>
      <c r="D84" s="545" t="s">
        <v>730</v>
      </c>
      <c r="E84" s="546"/>
      <c r="F84" s="546"/>
      <c r="G84" s="546"/>
      <c r="H84" s="546"/>
      <c r="I84" s="547"/>
      <c r="J84" s="47"/>
      <c r="K84" s="512">
        <v>0.15</v>
      </c>
      <c r="L84" s="509"/>
      <c r="M84" s="512"/>
      <c r="N84" s="509"/>
      <c r="O84" s="512">
        <v>0.3</v>
      </c>
      <c r="P84" s="509"/>
      <c r="Q84" s="512"/>
      <c r="R84" s="509"/>
      <c r="S84" s="512">
        <v>3.4</v>
      </c>
      <c r="T84" s="509"/>
      <c r="U84" s="551"/>
      <c r="V84" s="552"/>
      <c r="W84" s="548">
        <f t="shared" si="8"/>
        <v>4.4999999999999998E-2</v>
      </c>
      <c r="X84" s="549"/>
      <c r="Y84" s="550"/>
      <c r="Z84" s="548">
        <f t="shared" si="9"/>
        <v>0.153</v>
      </c>
      <c r="AA84" s="549"/>
      <c r="AB84" s="550"/>
      <c r="AC84" s="35"/>
      <c r="AD84" s="36"/>
      <c r="AE84" s="37"/>
      <c r="AF84" s="35"/>
      <c r="AG84" s="36"/>
      <c r="AH84" s="38"/>
    </row>
    <row r="85" spans="1:34" ht="15.75">
      <c r="A85" s="507"/>
      <c r="B85" s="508"/>
      <c r="C85" s="509"/>
      <c r="D85" s="545" t="s">
        <v>731</v>
      </c>
      <c r="E85" s="546"/>
      <c r="F85" s="546"/>
      <c r="G85" s="546"/>
      <c r="H85" s="546"/>
      <c r="I85" s="547"/>
      <c r="J85" s="47"/>
      <c r="K85" s="512">
        <v>0.15</v>
      </c>
      <c r="L85" s="509"/>
      <c r="M85" s="512"/>
      <c r="N85" s="509"/>
      <c r="O85" s="512">
        <v>0.3</v>
      </c>
      <c r="P85" s="509"/>
      <c r="Q85" s="512"/>
      <c r="R85" s="509"/>
      <c r="S85" s="512">
        <v>3.4</v>
      </c>
      <c r="T85" s="509"/>
      <c r="U85" s="551"/>
      <c r="V85" s="552"/>
      <c r="W85" s="548">
        <f t="shared" si="8"/>
        <v>4.4999999999999998E-2</v>
      </c>
      <c r="X85" s="549"/>
      <c r="Y85" s="550"/>
      <c r="Z85" s="548">
        <f t="shared" si="9"/>
        <v>0.153</v>
      </c>
      <c r="AA85" s="549"/>
      <c r="AB85" s="550"/>
      <c r="AC85" s="35"/>
      <c r="AD85" s="36"/>
      <c r="AE85" s="37"/>
      <c r="AF85" s="35"/>
      <c r="AG85" s="36"/>
      <c r="AH85" s="38"/>
    </row>
    <row r="86" spans="1:34" ht="15.75">
      <c r="A86" s="507"/>
      <c r="B86" s="508"/>
      <c r="C86" s="509"/>
      <c r="D86" s="545" t="s">
        <v>732</v>
      </c>
      <c r="E86" s="546"/>
      <c r="F86" s="546"/>
      <c r="G86" s="546"/>
      <c r="H86" s="546"/>
      <c r="I86" s="547"/>
      <c r="J86" s="47"/>
      <c r="K86" s="551">
        <v>0.15</v>
      </c>
      <c r="L86" s="552"/>
      <c r="M86" s="551"/>
      <c r="N86" s="552"/>
      <c r="O86" s="551">
        <v>0.3</v>
      </c>
      <c r="P86" s="552"/>
      <c r="Q86" s="512"/>
      <c r="R86" s="509"/>
      <c r="S86" s="512">
        <f>3.4+1.5</f>
        <v>4.9000000000000004</v>
      </c>
      <c r="T86" s="509"/>
      <c r="U86" s="512"/>
      <c r="V86" s="509"/>
      <c r="W86" s="527">
        <f t="shared" si="8"/>
        <v>4.4999999999999998E-2</v>
      </c>
      <c r="X86" s="528"/>
      <c r="Y86" s="529"/>
      <c r="Z86" s="527">
        <f t="shared" si="9"/>
        <v>0.2205</v>
      </c>
      <c r="AA86" s="528"/>
      <c r="AB86" s="529"/>
      <c r="AC86" s="35"/>
      <c r="AD86" s="36"/>
      <c r="AE86" s="37"/>
      <c r="AF86" s="35"/>
      <c r="AG86" s="36"/>
      <c r="AH86" s="38"/>
    </row>
    <row r="87" spans="1:34" ht="15.75">
      <c r="A87" s="507"/>
      <c r="B87" s="508"/>
      <c r="C87" s="509"/>
      <c r="D87" s="545" t="s">
        <v>733</v>
      </c>
      <c r="E87" s="546"/>
      <c r="F87" s="546"/>
      <c r="G87" s="546"/>
      <c r="H87" s="546"/>
      <c r="I87" s="547"/>
      <c r="J87" s="47"/>
      <c r="K87" s="551">
        <v>0.15</v>
      </c>
      <c r="L87" s="552"/>
      <c r="M87" s="551"/>
      <c r="N87" s="552"/>
      <c r="O87" s="551">
        <v>0.3</v>
      </c>
      <c r="P87" s="552"/>
      <c r="Q87" s="512"/>
      <c r="R87" s="509"/>
      <c r="S87" s="512">
        <f>3.4+1.5</f>
        <v>4.9000000000000004</v>
      </c>
      <c r="T87" s="509"/>
      <c r="U87" s="551"/>
      <c r="V87" s="552"/>
      <c r="W87" s="548">
        <f t="shared" si="8"/>
        <v>4.4999999999999998E-2</v>
      </c>
      <c r="X87" s="549"/>
      <c r="Y87" s="550"/>
      <c r="Z87" s="548">
        <f t="shared" si="9"/>
        <v>0.2205</v>
      </c>
      <c r="AA87" s="549"/>
      <c r="AB87" s="550"/>
      <c r="AC87" s="35"/>
      <c r="AD87" s="36"/>
      <c r="AE87" s="37"/>
      <c r="AF87" s="35"/>
      <c r="AG87" s="36"/>
      <c r="AH87" s="38"/>
    </row>
    <row r="88" spans="1:34" ht="15.75">
      <c r="A88" s="507"/>
      <c r="B88" s="508"/>
      <c r="C88" s="509"/>
      <c r="D88" s="545" t="s">
        <v>734</v>
      </c>
      <c r="E88" s="546"/>
      <c r="F88" s="546"/>
      <c r="G88" s="546"/>
      <c r="H88" s="546"/>
      <c r="I88" s="547"/>
      <c r="J88" s="47"/>
      <c r="K88" s="512">
        <v>0.15</v>
      </c>
      <c r="L88" s="509"/>
      <c r="M88" s="512"/>
      <c r="N88" s="509"/>
      <c r="O88" s="512">
        <v>0.3</v>
      </c>
      <c r="P88" s="509"/>
      <c r="Q88" s="512"/>
      <c r="R88" s="509"/>
      <c r="S88" s="512">
        <v>3.4</v>
      </c>
      <c r="T88" s="509"/>
      <c r="U88" s="551"/>
      <c r="V88" s="552"/>
      <c r="W88" s="548">
        <f t="shared" si="8"/>
        <v>4.4999999999999998E-2</v>
      </c>
      <c r="X88" s="549"/>
      <c r="Y88" s="550"/>
      <c r="Z88" s="548">
        <f t="shared" si="9"/>
        <v>0.153</v>
      </c>
      <c r="AA88" s="549"/>
      <c r="AB88" s="550"/>
      <c r="AC88" s="35"/>
      <c r="AD88" s="36"/>
      <c r="AE88" s="37"/>
      <c r="AF88" s="35"/>
      <c r="AG88" s="36"/>
      <c r="AH88" s="38"/>
    </row>
    <row r="89" spans="1:34" ht="15.75">
      <c r="A89" s="507"/>
      <c r="B89" s="508"/>
      <c r="C89" s="509"/>
      <c r="D89" s="545" t="s">
        <v>735</v>
      </c>
      <c r="E89" s="546"/>
      <c r="F89" s="546"/>
      <c r="G89" s="546"/>
      <c r="H89" s="546"/>
      <c r="I89" s="547"/>
      <c r="J89" s="47"/>
      <c r="K89" s="512">
        <v>0.15</v>
      </c>
      <c r="L89" s="509"/>
      <c r="M89" s="512"/>
      <c r="N89" s="509"/>
      <c r="O89" s="512">
        <v>0.3</v>
      </c>
      <c r="P89" s="509"/>
      <c r="Q89" s="512"/>
      <c r="R89" s="509"/>
      <c r="S89" s="512">
        <v>3.4</v>
      </c>
      <c r="T89" s="509"/>
      <c r="U89" s="512"/>
      <c r="V89" s="509"/>
      <c r="W89" s="527">
        <f t="shared" si="8"/>
        <v>4.4999999999999998E-2</v>
      </c>
      <c r="X89" s="528"/>
      <c r="Y89" s="529"/>
      <c r="Z89" s="527">
        <f t="shared" si="9"/>
        <v>0.153</v>
      </c>
      <c r="AA89" s="528"/>
      <c r="AB89" s="529"/>
      <c r="AC89" s="35"/>
      <c r="AD89" s="36"/>
      <c r="AE89" s="37"/>
      <c r="AF89" s="35"/>
      <c r="AG89" s="36"/>
      <c r="AH89" s="38"/>
    </row>
    <row r="90" spans="1:34" ht="15.75">
      <c r="A90" s="507"/>
      <c r="B90" s="508"/>
      <c r="C90" s="509"/>
      <c r="D90" s="545" t="s">
        <v>736</v>
      </c>
      <c r="E90" s="546"/>
      <c r="F90" s="546"/>
      <c r="G90" s="546"/>
      <c r="H90" s="546"/>
      <c r="I90" s="547"/>
      <c r="J90" s="47"/>
      <c r="K90" s="512">
        <v>0.15</v>
      </c>
      <c r="L90" s="509"/>
      <c r="M90" s="512"/>
      <c r="N90" s="509"/>
      <c r="O90" s="512">
        <v>0.3</v>
      </c>
      <c r="P90" s="509"/>
      <c r="Q90" s="512"/>
      <c r="R90" s="509"/>
      <c r="S90" s="512">
        <v>3.4</v>
      </c>
      <c r="T90" s="509"/>
      <c r="U90" s="551"/>
      <c r="V90" s="552"/>
      <c r="W90" s="548">
        <f t="shared" si="8"/>
        <v>4.4999999999999998E-2</v>
      </c>
      <c r="X90" s="549"/>
      <c r="Y90" s="550"/>
      <c r="Z90" s="548">
        <f t="shared" si="9"/>
        <v>0.153</v>
      </c>
      <c r="AA90" s="549"/>
      <c r="AB90" s="550"/>
      <c r="AC90" s="35"/>
      <c r="AD90" s="36"/>
      <c r="AE90" s="37"/>
      <c r="AF90" s="35"/>
      <c r="AG90" s="36"/>
      <c r="AH90" s="38"/>
    </row>
    <row r="91" spans="1:34" ht="15.75">
      <c r="A91" s="507"/>
      <c r="B91" s="508"/>
      <c r="C91" s="509"/>
      <c r="D91" s="545" t="s">
        <v>737</v>
      </c>
      <c r="E91" s="546"/>
      <c r="F91" s="546"/>
      <c r="G91" s="546"/>
      <c r="H91" s="546"/>
      <c r="I91" s="547"/>
      <c r="J91" s="47"/>
      <c r="K91" s="512">
        <v>0.15</v>
      </c>
      <c r="L91" s="509"/>
      <c r="M91" s="512"/>
      <c r="N91" s="509"/>
      <c r="O91" s="512">
        <v>0.3</v>
      </c>
      <c r="P91" s="509"/>
      <c r="Q91" s="512"/>
      <c r="R91" s="509"/>
      <c r="S91" s="512">
        <v>3.4</v>
      </c>
      <c r="T91" s="509"/>
      <c r="U91" s="551"/>
      <c r="V91" s="552"/>
      <c r="W91" s="548">
        <f t="shared" si="8"/>
        <v>4.4999999999999998E-2</v>
      </c>
      <c r="X91" s="549"/>
      <c r="Y91" s="550"/>
      <c r="Z91" s="548">
        <f t="shared" si="9"/>
        <v>0.153</v>
      </c>
      <c r="AA91" s="549"/>
      <c r="AB91" s="550"/>
      <c r="AC91" s="35"/>
      <c r="AD91" s="36"/>
      <c r="AE91" s="37"/>
      <c r="AF91" s="35"/>
      <c r="AG91" s="36"/>
      <c r="AH91" s="38"/>
    </row>
    <row r="92" spans="1:34" ht="15.75">
      <c r="A92" s="507"/>
      <c r="B92" s="508"/>
      <c r="C92" s="509"/>
      <c r="D92" s="545" t="s">
        <v>738</v>
      </c>
      <c r="E92" s="546"/>
      <c r="F92" s="546"/>
      <c r="G92" s="546"/>
      <c r="H92" s="546"/>
      <c r="I92" s="547"/>
      <c r="J92" s="47"/>
      <c r="K92" s="512">
        <v>0.15</v>
      </c>
      <c r="L92" s="509"/>
      <c r="M92" s="512"/>
      <c r="N92" s="509"/>
      <c r="O92" s="512">
        <v>0.3</v>
      </c>
      <c r="P92" s="509"/>
      <c r="Q92" s="512"/>
      <c r="R92" s="509"/>
      <c r="S92" s="512">
        <v>3.4</v>
      </c>
      <c r="T92" s="509"/>
      <c r="U92" s="551"/>
      <c r="V92" s="552"/>
      <c r="W92" s="548">
        <f t="shared" si="8"/>
        <v>4.4999999999999998E-2</v>
      </c>
      <c r="X92" s="549"/>
      <c r="Y92" s="550"/>
      <c r="Z92" s="548">
        <f t="shared" si="9"/>
        <v>0.153</v>
      </c>
      <c r="AA92" s="549"/>
      <c r="AB92" s="550"/>
      <c r="AC92" s="35"/>
      <c r="AD92" s="36"/>
      <c r="AE92" s="37"/>
      <c r="AF92" s="35"/>
      <c r="AG92" s="36"/>
      <c r="AH92" s="38"/>
    </row>
    <row r="93" spans="1:34" ht="15.75">
      <c r="A93" s="507"/>
      <c r="B93" s="508"/>
      <c r="C93" s="509"/>
      <c r="D93" s="545" t="s">
        <v>739</v>
      </c>
      <c r="E93" s="546"/>
      <c r="F93" s="546"/>
      <c r="G93" s="546"/>
      <c r="H93" s="546"/>
      <c r="I93" s="547"/>
      <c r="J93" s="47"/>
      <c r="K93" s="512">
        <v>0.15</v>
      </c>
      <c r="L93" s="509"/>
      <c r="M93" s="512"/>
      <c r="N93" s="509"/>
      <c r="O93" s="512">
        <v>0.3</v>
      </c>
      <c r="P93" s="509"/>
      <c r="Q93" s="551"/>
      <c r="R93" s="552"/>
      <c r="S93" s="512">
        <f>3.4+1.5</f>
        <v>4.9000000000000004</v>
      </c>
      <c r="T93" s="509"/>
      <c r="U93" s="551"/>
      <c r="V93" s="552"/>
      <c r="W93" s="548">
        <f t="shared" ref="W93:W117" si="10">K93*O93</f>
        <v>4.4999999999999998E-2</v>
      </c>
      <c r="X93" s="549"/>
      <c r="Y93" s="550"/>
      <c r="Z93" s="548">
        <f t="shared" ref="Z93:Z108" si="11">W93*S93</f>
        <v>0.2205</v>
      </c>
      <c r="AA93" s="549"/>
      <c r="AB93" s="550"/>
      <c r="AC93" s="35"/>
      <c r="AD93" s="36"/>
      <c r="AE93" s="37"/>
      <c r="AF93" s="35"/>
      <c r="AG93" s="36"/>
      <c r="AH93" s="38"/>
    </row>
    <row r="94" spans="1:34" ht="15.75">
      <c r="A94" s="507"/>
      <c r="B94" s="508"/>
      <c r="C94" s="509"/>
      <c r="D94" s="545" t="s">
        <v>740</v>
      </c>
      <c r="E94" s="546"/>
      <c r="F94" s="546"/>
      <c r="G94" s="546"/>
      <c r="H94" s="546"/>
      <c r="I94" s="547"/>
      <c r="J94" s="47"/>
      <c r="K94" s="512">
        <v>0.15</v>
      </c>
      <c r="L94" s="509"/>
      <c r="M94" s="512"/>
      <c r="N94" s="509"/>
      <c r="O94" s="512">
        <v>0.3</v>
      </c>
      <c r="P94" s="509"/>
      <c r="Q94" s="512"/>
      <c r="R94" s="509"/>
      <c r="S94" s="512">
        <v>3.4</v>
      </c>
      <c r="T94" s="509"/>
      <c r="U94" s="512"/>
      <c r="V94" s="509"/>
      <c r="W94" s="527">
        <f t="shared" si="10"/>
        <v>4.4999999999999998E-2</v>
      </c>
      <c r="X94" s="528"/>
      <c r="Y94" s="529"/>
      <c r="Z94" s="527">
        <f t="shared" si="11"/>
        <v>0.153</v>
      </c>
      <c r="AA94" s="528"/>
      <c r="AB94" s="529"/>
      <c r="AC94" s="35"/>
      <c r="AD94" s="36"/>
      <c r="AE94" s="37"/>
      <c r="AF94" s="35"/>
      <c r="AG94" s="36"/>
      <c r="AH94" s="38"/>
    </row>
    <row r="95" spans="1:34" ht="15.75">
      <c r="A95" s="507"/>
      <c r="B95" s="508"/>
      <c r="C95" s="509"/>
      <c r="D95" s="545" t="s">
        <v>741</v>
      </c>
      <c r="E95" s="546"/>
      <c r="F95" s="546"/>
      <c r="G95" s="546"/>
      <c r="H95" s="546"/>
      <c r="I95" s="547"/>
      <c r="J95" s="47"/>
      <c r="K95" s="512">
        <v>0.15</v>
      </c>
      <c r="L95" s="509"/>
      <c r="M95" s="512"/>
      <c r="N95" s="509"/>
      <c r="O95" s="512">
        <v>0.3</v>
      </c>
      <c r="P95" s="509"/>
      <c r="Q95" s="512"/>
      <c r="R95" s="509"/>
      <c r="S95" s="512">
        <v>3.4</v>
      </c>
      <c r="T95" s="509"/>
      <c r="U95" s="551"/>
      <c r="V95" s="552"/>
      <c r="W95" s="548">
        <f t="shared" si="10"/>
        <v>4.4999999999999998E-2</v>
      </c>
      <c r="X95" s="549"/>
      <c r="Y95" s="550"/>
      <c r="Z95" s="548">
        <f t="shared" si="11"/>
        <v>0.153</v>
      </c>
      <c r="AA95" s="549"/>
      <c r="AB95" s="550"/>
      <c r="AC95" s="35"/>
      <c r="AD95" s="36"/>
      <c r="AE95" s="37"/>
      <c r="AF95" s="35"/>
      <c r="AG95" s="36"/>
      <c r="AH95" s="38"/>
    </row>
    <row r="96" spans="1:34" ht="15.75">
      <c r="A96" s="507"/>
      <c r="B96" s="508"/>
      <c r="C96" s="509"/>
      <c r="D96" s="545" t="s">
        <v>742</v>
      </c>
      <c r="E96" s="546"/>
      <c r="F96" s="546"/>
      <c r="G96" s="546"/>
      <c r="H96" s="546"/>
      <c r="I96" s="547"/>
      <c r="J96" s="47"/>
      <c r="K96" s="512">
        <v>0.15</v>
      </c>
      <c r="L96" s="509"/>
      <c r="M96" s="512"/>
      <c r="N96" s="509"/>
      <c r="O96" s="512">
        <v>0.3</v>
      </c>
      <c r="P96" s="509"/>
      <c r="Q96" s="512"/>
      <c r="R96" s="509"/>
      <c r="S96" s="512">
        <v>3.4</v>
      </c>
      <c r="T96" s="509"/>
      <c r="U96" s="551"/>
      <c r="V96" s="552"/>
      <c r="W96" s="548">
        <f t="shared" si="10"/>
        <v>4.4999999999999998E-2</v>
      </c>
      <c r="X96" s="549"/>
      <c r="Y96" s="550"/>
      <c r="Z96" s="548">
        <f t="shared" si="11"/>
        <v>0.153</v>
      </c>
      <c r="AA96" s="549"/>
      <c r="AB96" s="550"/>
      <c r="AC96" s="35"/>
      <c r="AD96" s="36"/>
      <c r="AE96" s="37"/>
      <c r="AF96" s="35"/>
      <c r="AG96" s="36"/>
      <c r="AH96" s="38"/>
    </row>
    <row r="97" spans="1:35" ht="15.75">
      <c r="A97" s="507"/>
      <c r="B97" s="508"/>
      <c r="C97" s="509"/>
      <c r="D97" s="545" t="s">
        <v>743</v>
      </c>
      <c r="E97" s="546"/>
      <c r="F97" s="546"/>
      <c r="G97" s="546"/>
      <c r="H97" s="546"/>
      <c r="I97" s="547"/>
      <c r="J97" s="47"/>
      <c r="K97" s="512">
        <v>0.15</v>
      </c>
      <c r="L97" s="509"/>
      <c r="M97" s="512"/>
      <c r="N97" s="509"/>
      <c r="O97" s="512">
        <v>0.3</v>
      </c>
      <c r="P97" s="509"/>
      <c r="Q97" s="551"/>
      <c r="R97" s="552"/>
      <c r="S97" s="512">
        <f t="shared" ref="S97:S108" si="12">3.4+1.5</f>
        <v>4.9000000000000004</v>
      </c>
      <c r="T97" s="509"/>
      <c r="U97" s="551"/>
      <c r="V97" s="552"/>
      <c r="W97" s="548">
        <f t="shared" si="10"/>
        <v>4.4999999999999998E-2</v>
      </c>
      <c r="X97" s="549"/>
      <c r="Y97" s="550"/>
      <c r="Z97" s="548">
        <f t="shared" si="11"/>
        <v>0.2205</v>
      </c>
      <c r="AA97" s="549"/>
      <c r="AB97" s="550"/>
      <c r="AC97" s="35"/>
      <c r="AD97" s="36"/>
      <c r="AE97" s="37"/>
      <c r="AF97" s="35"/>
      <c r="AG97" s="36"/>
      <c r="AH97" s="38"/>
    </row>
    <row r="98" spans="1:35" ht="15.75">
      <c r="A98" s="507"/>
      <c r="B98" s="508"/>
      <c r="C98" s="509"/>
      <c r="D98" s="545" t="s">
        <v>744</v>
      </c>
      <c r="E98" s="546"/>
      <c r="F98" s="546"/>
      <c r="G98" s="546"/>
      <c r="H98" s="546"/>
      <c r="I98" s="547"/>
      <c r="J98" s="47"/>
      <c r="K98" s="512">
        <v>0.15</v>
      </c>
      <c r="L98" s="509"/>
      <c r="M98" s="512"/>
      <c r="N98" s="509"/>
      <c r="O98" s="512">
        <v>0.3</v>
      </c>
      <c r="P98" s="509"/>
      <c r="Q98" s="551"/>
      <c r="R98" s="552"/>
      <c r="S98" s="512">
        <f t="shared" si="12"/>
        <v>4.9000000000000004</v>
      </c>
      <c r="T98" s="509"/>
      <c r="U98" s="551"/>
      <c r="V98" s="552"/>
      <c r="W98" s="548">
        <f t="shared" si="10"/>
        <v>4.4999999999999998E-2</v>
      </c>
      <c r="X98" s="549"/>
      <c r="Y98" s="550"/>
      <c r="Z98" s="548">
        <f t="shared" si="11"/>
        <v>0.2205</v>
      </c>
      <c r="AA98" s="549"/>
      <c r="AB98" s="550"/>
      <c r="AC98" s="35"/>
      <c r="AD98" s="36"/>
      <c r="AE98" s="37"/>
      <c r="AF98" s="35"/>
      <c r="AG98" s="36"/>
      <c r="AH98" s="38"/>
    </row>
    <row r="99" spans="1:35" ht="15.75">
      <c r="A99" s="507"/>
      <c r="B99" s="508"/>
      <c r="C99" s="509"/>
      <c r="D99" s="545" t="s">
        <v>745</v>
      </c>
      <c r="E99" s="546"/>
      <c r="F99" s="546"/>
      <c r="G99" s="546"/>
      <c r="H99" s="546"/>
      <c r="I99" s="547"/>
      <c r="J99" s="47"/>
      <c r="K99" s="512">
        <v>0.15</v>
      </c>
      <c r="L99" s="509"/>
      <c r="M99" s="512"/>
      <c r="N99" s="509"/>
      <c r="O99" s="512">
        <v>0.3</v>
      </c>
      <c r="P99" s="509"/>
      <c r="Q99" s="551"/>
      <c r="R99" s="552"/>
      <c r="S99" s="512">
        <f t="shared" si="12"/>
        <v>4.9000000000000004</v>
      </c>
      <c r="T99" s="509"/>
      <c r="U99" s="512"/>
      <c r="V99" s="509"/>
      <c r="W99" s="527">
        <f t="shared" si="10"/>
        <v>4.4999999999999998E-2</v>
      </c>
      <c r="X99" s="528"/>
      <c r="Y99" s="529"/>
      <c r="Z99" s="527">
        <f t="shared" si="11"/>
        <v>0.2205</v>
      </c>
      <c r="AA99" s="528"/>
      <c r="AB99" s="529"/>
      <c r="AC99" s="35"/>
      <c r="AD99" s="36"/>
      <c r="AE99" s="37"/>
      <c r="AF99" s="35"/>
      <c r="AG99" s="36"/>
      <c r="AH99" s="38"/>
    </row>
    <row r="100" spans="1:35" ht="15.75">
      <c r="A100" s="507"/>
      <c r="B100" s="508"/>
      <c r="C100" s="509"/>
      <c r="D100" s="545" t="s">
        <v>746</v>
      </c>
      <c r="E100" s="546"/>
      <c r="F100" s="546"/>
      <c r="G100" s="546"/>
      <c r="H100" s="546"/>
      <c r="I100" s="547"/>
      <c r="J100" s="47"/>
      <c r="K100" s="512">
        <v>0.15</v>
      </c>
      <c r="L100" s="509"/>
      <c r="M100" s="512"/>
      <c r="N100" s="509"/>
      <c r="O100" s="512">
        <v>0.3</v>
      </c>
      <c r="P100" s="509"/>
      <c r="Q100" s="551"/>
      <c r="R100" s="552"/>
      <c r="S100" s="512">
        <f t="shared" si="12"/>
        <v>4.9000000000000004</v>
      </c>
      <c r="T100" s="509"/>
      <c r="U100" s="551"/>
      <c r="V100" s="552"/>
      <c r="W100" s="548">
        <f t="shared" si="10"/>
        <v>4.4999999999999998E-2</v>
      </c>
      <c r="X100" s="549"/>
      <c r="Y100" s="550"/>
      <c r="Z100" s="548">
        <f t="shared" si="11"/>
        <v>0.2205</v>
      </c>
      <c r="AA100" s="549"/>
      <c r="AB100" s="550"/>
      <c r="AC100" s="35"/>
      <c r="AD100" s="36"/>
      <c r="AE100" s="37"/>
      <c r="AF100" s="35"/>
      <c r="AG100" s="36"/>
      <c r="AH100" s="38"/>
    </row>
    <row r="101" spans="1:35" ht="15.75">
      <c r="A101" s="507"/>
      <c r="B101" s="508"/>
      <c r="C101" s="509"/>
      <c r="D101" s="545" t="s">
        <v>747</v>
      </c>
      <c r="E101" s="546"/>
      <c r="F101" s="546"/>
      <c r="G101" s="546"/>
      <c r="H101" s="546"/>
      <c r="I101" s="547"/>
      <c r="J101" s="47"/>
      <c r="K101" s="512">
        <v>0.15</v>
      </c>
      <c r="L101" s="509"/>
      <c r="M101" s="512"/>
      <c r="N101" s="509"/>
      <c r="O101" s="512">
        <v>0.3</v>
      </c>
      <c r="P101" s="509"/>
      <c r="Q101" s="551"/>
      <c r="R101" s="552"/>
      <c r="S101" s="512">
        <f t="shared" si="12"/>
        <v>4.9000000000000004</v>
      </c>
      <c r="T101" s="509"/>
      <c r="U101" s="551"/>
      <c r="V101" s="552"/>
      <c r="W101" s="548">
        <f t="shared" si="10"/>
        <v>4.4999999999999998E-2</v>
      </c>
      <c r="X101" s="549"/>
      <c r="Y101" s="550"/>
      <c r="Z101" s="548">
        <f t="shared" si="11"/>
        <v>0.2205</v>
      </c>
      <c r="AA101" s="549"/>
      <c r="AB101" s="550"/>
      <c r="AC101" s="35"/>
      <c r="AD101" s="36"/>
      <c r="AE101" s="37"/>
      <c r="AF101" s="35"/>
      <c r="AG101" s="36"/>
      <c r="AH101" s="38"/>
    </row>
    <row r="102" spans="1:35" ht="15.75">
      <c r="A102" s="507"/>
      <c r="B102" s="508"/>
      <c r="C102" s="509"/>
      <c r="D102" s="545" t="s">
        <v>748</v>
      </c>
      <c r="E102" s="546"/>
      <c r="F102" s="546"/>
      <c r="G102" s="546"/>
      <c r="H102" s="546"/>
      <c r="I102" s="547"/>
      <c r="J102" s="47"/>
      <c r="K102" s="512">
        <v>0.15</v>
      </c>
      <c r="L102" s="509"/>
      <c r="M102" s="512"/>
      <c r="N102" s="509"/>
      <c r="O102" s="512">
        <v>0.3</v>
      </c>
      <c r="P102" s="509"/>
      <c r="Q102" s="551"/>
      <c r="R102" s="552"/>
      <c r="S102" s="512">
        <f t="shared" si="12"/>
        <v>4.9000000000000004</v>
      </c>
      <c r="T102" s="509"/>
      <c r="U102" s="551"/>
      <c r="V102" s="552"/>
      <c r="W102" s="548">
        <f t="shared" si="10"/>
        <v>4.4999999999999998E-2</v>
      </c>
      <c r="X102" s="549"/>
      <c r="Y102" s="550"/>
      <c r="Z102" s="548">
        <f t="shared" si="11"/>
        <v>0.2205</v>
      </c>
      <c r="AA102" s="549"/>
      <c r="AB102" s="550"/>
      <c r="AC102" s="35"/>
      <c r="AD102" s="36"/>
      <c r="AE102" s="37"/>
      <c r="AF102" s="35"/>
      <c r="AG102" s="36"/>
      <c r="AH102" s="38"/>
    </row>
    <row r="103" spans="1:35" ht="15.75">
      <c r="A103" s="507"/>
      <c r="B103" s="508"/>
      <c r="C103" s="509"/>
      <c r="D103" s="545" t="s">
        <v>749</v>
      </c>
      <c r="E103" s="546"/>
      <c r="F103" s="546"/>
      <c r="G103" s="546"/>
      <c r="H103" s="546"/>
      <c r="I103" s="547"/>
      <c r="J103" s="47"/>
      <c r="K103" s="551">
        <v>0.2</v>
      </c>
      <c r="L103" s="552"/>
      <c r="M103" s="551"/>
      <c r="N103" s="552"/>
      <c r="O103" s="551">
        <v>0.3</v>
      </c>
      <c r="P103" s="552"/>
      <c r="Q103" s="551"/>
      <c r="R103" s="552"/>
      <c r="S103" s="512">
        <f t="shared" si="12"/>
        <v>4.9000000000000004</v>
      </c>
      <c r="T103" s="509"/>
      <c r="U103" s="551"/>
      <c r="V103" s="552"/>
      <c r="W103" s="548">
        <f t="shared" si="10"/>
        <v>0.06</v>
      </c>
      <c r="X103" s="549"/>
      <c r="Y103" s="550"/>
      <c r="Z103" s="548">
        <f t="shared" si="11"/>
        <v>0.29399999999999998</v>
      </c>
      <c r="AA103" s="549"/>
      <c r="AB103" s="550"/>
      <c r="AC103" s="35"/>
      <c r="AD103" s="36"/>
      <c r="AE103" s="37"/>
      <c r="AF103" s="35"/>
      <c r="AG103" s="36"/>
      <c r="AH103" s="38"/>
    </row>
    <row r="104" spans="1:35" ht="15.75">
      <c r="A104" s="507"/>
      <c r="B104" s="508"/>
      <c r="C104" s="509"/>
      <c r="D104" s="545" t="s">
        <v>750</v>
      </c>
      <c r="E104" s="546"/>
      <c r="F104" s="546"/>
      <c r="G104" s="546"/>
      <c r="H104" s="546"/>
      <c r="I104" s="547"/>
      <c r="J104" s="47"/>
      <c r="K104" s="551">
        <v>0.2</v>
      </c>
      <c r="L104" s="552"/>
      <c r="M104" s="551"/>
      <c r="N104" s="552"/>
      <c r="O104" s="551">
        <v>0.3</v>
      </c>
      <c r="P104" s="552"/>
      <c r="Q104" s="551"/>
      <c r="R104" s="552"/>
      <c r="S104" s="512">
        <f t="shared" si="12"/>
        <v>4.9000000000000004</v>
      </c>
      <c r="T104" s="509"/>
      <c r="U104" s="512"/>
      <c r="V104" s="509"/>
      <c r="W104" s="527">
        <f t="shared" si="10"/>
        <v>0.06</v>
      </c>
      <c r="X104" s="528"/>
      <c r="Y104" s="529"/>
      <c r="Z104" s="527">
        <f t="shared" si="11"/>
        <v>0.29399999999999998</v>
      </c>
      <c r="AA104" s="528"/>
      <c r="AB104" s="529"/>
      <c r="AC104" s="35"/>
      <c r="AD104" s="36"/>
      <c r="AE104" s="37"/>
      <c r="AF104" s="35"/>
      <c r="AG104" s="36"/>
      <c r="AH104" s="38"/>
    </row>
    <row r="105" spans="1:35" ht="15.75">
      <c r="A105" s="507"/>
      <c r="B105" s="508"/>
      <c r="C105" s="509"/>
      <c r="D105" s="545" t="s">
        <v>751</v>
      </c>
      <c r="E105" s="546"/>
      <c r="F105" s="546"/>
      <c r="G105" s="546"/>
      <c r="H105" s="546"/>
      <c r="I105" s="547"/>
      <c r="J105" s="47"/>
      <c r="K105" s="512">
        <v>0.15</v>
      </c>
      <c r="L105" s="509"/>
      <c r="M105" s="512"/>
      <c r="N105" s="509"/>
      <c r="O105" s="512">
        <v>0.3</v>
      </c>
      <c r="P105" s="509"/>
      <c r="Q105" s="551"/>
      <c r="R105" s="552"/>
      <c r="S105" s="512">
        <f t="shared" si="12"/>
        <v>4.9000000000000004</v>
      </c>
      <c r="T105" s="509"/>
      <c r="U105" s="551"/>
      <c r="V105" s="552"/>
      <c r="W105" s="548">
        <f t="shared" si="10"/>
        <v>4.4999999999999998E-2</v>
      </c>
      <c r="X105" s="549"/>
      <c r="Y105" s="550"/>
      <c r="Z105" s="548">
        <f t="shared" si="11"/>
        <v>0.2205</v>
      </c>
      <c r="AA105" s="549"/>
      <c r="AB105" s="550"/>
      <c r="AC105" s="35"/>
      <c r="AD105" s="36"/>
      <c r="AE105" s="37"/>
      <c r="AF105" s="35"/>
      <c r="AG105" s="36"/>
      <c r="AH105" s="38"/>
    </row>
    <row r="106" spans="1:35" ht="15.75">
      <c r="A106" s="507"/>
      <c r="B106" s="508"/>
      <c r="C106" s="509"/>
      <c r="D106" s="545" t="s">
        <v>752</v>
      </c>
      <c r="E106" s="546"/>
      <c r="F106" s="546"/>
      <c r="G106" s="546"/>
      <c r="H106" s="546"/>
      <c r="I106" s="547"/>
      <c r="J106" s="47"/>
      <c r="K106" s="512">
        <v>0.15</v>
      </c>
      <c r="L106" s="509"/>
      <c r="M106" s="512"/>
      <c r="N106" s="509"/>
      <c r="O106" s="512">
        <v>0.3</v>
      </c>
      <c r="P106" s="509"/>
      <c r="Q106" s="551"/>
      <c r="R106" s="552"/>
      <c r="S106" s="512">
        <f t="shared" si="12"/>
        <v>4.9000000000000004</v>
      </c>
      <c r="T106" s="509"/>
      <c r="U106" s="551"/>
      <c r="V106" s="552"/>
      <c r="W106" s="548">
        <f t="shared" si="10"/>
        <v>4.4999999999999998E-2</v>
      </c>
      <c r="X106" s="549"/>
      <c r="Y106" s="550"/>
      <c r="Z106" s="548">
        <f t="shared" si="11"/>
        <v>0.2205</v>
      </c>
      <c r="AA106" s="549"/>
      <c r="AB106" s="550"/>
      <c r="AC106" s="35"/>
      <c r="AD106" s="36"/>
      <c r="AE106" s="37"/>
      <c r="AF106" s="35"/>
      <c r="AG106" s="36"/>
      <c r="AH106" s="38"/>
    </row>
    <row r="107" spans="1:35" ht="15.75">
      <c r="A107" s="507"/>
      <c r="B107" s="508"/>
      <c r="C107" s="509"/>
      <c r="D107" s="545" t="s">
        <v>753</v>
      </c>
      <c r="E107" s="546"/>
      <c r="F107" s="546"/>
      <c r="G107" s="546"/>
      <c r="H107" s="546"/>
      <c r="I107" s="547"/>
      <c r="J107" s="47"/>
      <c r="K107" s="512">
        <v>0.15</v>
      </c>
      <c r="L107" s="509"/>
      <c r="M107" s="512"/>
      <c r="N107" s="509"/>
      <c r="O107" s="512">
        <v>0.3</v>
      </c>
      <c r="P107" s="509"/>
      <c r="Q107" s="551"/>
      <c r="R107" s="552"/>
      <c r="S107" s="512">
        <f t="shared" si="12"/>
        <v>4.9000000000000004</v>
      </c>
      <c r="T107" s="509"/>
      <c r="U107" s="551"/>
      <c r="V107" s="552"/>
      <c r="W107" s="548">
        <f t="shared" si="10"/>
        <v>4.4999999999999998E-2</v>
      </c>
      <c r="X107" s="549"/>
      <c r="Y107" s="550"/>
      <c r="Z107" s="548">
        <f t="shared" si="11"/>
        <v>0.2205</v>
      </c>
      <c r="AA107" s="549"/>
      <c r="AB107" s="550"/>
      <c r="AC107" s="35"/>
      <c r="AD107" s="36"/>
      <c r="AE107" s="37"/>
      <c r="AF107" s="35"/>
      <c r="AG107" s="36"/>
      <c r="AH107" s="38"/>
    </row>
    <row r="108" spans="1:35" ht="15.75">
      <c r="A108" s="507"/>
      <c r="B108" s="508"/>
      <c r="C108" s="509"/>
      <c r="D108" s="545" t="s">
        <v>754</v>
      </c>
      <c r="E108" s="546"/>
      <c r="F108" s="546"/>
      <c r="G108" s="546"/>
      <c r="H108" s="546"/>
      <c r="I108" s="547"/>
      <c r="J108" s="47"/>
      <c r="K108" s="512">
        <v>0.15</v>
      </c>
      <c r="L108" s="509"/>
      <c r="M108" s="512"/>
      <c r="N108" s="509"/>
      <c r="O108" s="512">
        <v>0.3</v>
      </c>
      <c r="P108" s="509"/>
      <c r="Q108" s="551"/>
      <c r="R108" s="552"/>
      <c r="S108" s="512">
        <f t="shared" si="12"/>
        <v>4.9000000000000004</v>
      </c>
      <c r="T108" s="509"/>
      <c r="U108" s="551"/>
      <c r="V108" s="552"/>
      <c r="W108" s="548">
        <f t="shared" si="10"/>
        <v>4.4999999999999998E-2</v>
      </c>
      <c r="X108" s="549"/>
      <c r="Y108" s="550"/>
      <c r="Z108" s="548">
        <f t="shared" si="11"/>
        <v>0.2205</v>
      </c>
      <c r="AA108" s="549"/>
      <c r="AB108" s="550"/>
      <c r="AC108" s="35"/>
      <c r="AD108" s="36"/>
      <c r="AE108" s="37"/>
      <c r="AF108" s="35"/>
      <c r="AG108" s="36"/>
      <c r="AH108" s="38"/>
    </row>
    <row r="109" spans="1:35" ht="41.25" customHeight="1">
      <c r="A109" s="519" t="str">
        <f>'MEMORIA BM 03'!A35</f>
        <v>5.3</v>
      </c>
      <c r="B109" s="520"/>
      <c r="C109" s="521"/>
      <c r="D109" s="553" t="str">
        <f>'MEMORIA BM 03'!B35</f>
        <v>ARMAÇÃO DE PILAR OU VIGA DE UMA ESTRUTURA CONVENCIONAL DE CONCRETO ARMADO EM UMA EDIFICAÇÃO TÉRREA OU SOBRADO UTILIZANDO AÇO CA-50 DE 10,0 MM - MONTAGEM. AF_12/2015</v>
      </c>
      <c r="E109" s="554"/>
      <c r="F109" s="554"/>
      <c r="G109" s="554"/>
      <c r="H109" s="554"/>
      <c r="I109" s="554"/>
      <c r="J109" s="554"/>
      <c r="K109" s="554"/>
      <c r="L109" s="554"/>
      <c r="M109" s="554"/>
      <c r="N109" s="554"/>
      <c r="O109" s="554"/>
      <c r="P109" s="554"/>
      <c r="Q109" s="554"/>
      <c r="R109" s="554"/>
      <c r="S109" s="554"/>
      <c r="T109" s="554"/>
      <c r="U109" s="554"/>
      <c r="V109" s="554"/>
      <c r="W109" s="554"/>
      <c r="X109" s="554"/>
      <c r="Y109" s="554"/>
      <c r="Z109" s="554"/>
      <c r="AA109" s="554"/>
      <c r="AB109" s="555"/>
      <c r="AC109" s="525">
        <f>SUM(Z110:AB202)</f>
        <v>1074.159979999999</v>
      </c>
      <c r="AD109" s="520"/>
      <c r="AE109" s="521"/>
      <c r="AF109" s="525" t="s">
        <v>359</v>
      </c>
      <c r="AG109" s="520"/>
      <c r="AH109" s="526"/>
      <c r="AI109">
        <v>1074.1600000000001</v>
      </c>
    </row>
    <row r="110" spans="1:35" ht="15.75">
      <c r="A110" s="507"/>
      <c r="B110" s="508"/>
      <c r="C110" s="509"/>
      <c r="D110" s="543" t="s">
        <v>662</v>
      </c>
      <c r="E110" s="544"/>
      <c r="F110" s="544"/>
      <c r="G110" s="544"/>
      <c r="H110" s="544"/>
      <c r="I110" s="544"/>
      <c r="J110" s="47"/>
      <c r="K110" s="551">
        <f>((4*3.73)+(4*1.47))</f>
        <v>20.8</v>
      </c>
      <c r="L110" s="552"/>
      <c r="M110" s="551"/>
      <c r="N110" s="552"/>
      <c r="O110" s="551">
        <v>1</v>
      </c>
      <c r="P110" s="552"/>
      <c r="Q110" s="551"/>
      <c r="R110" s="552"/>
      <c r="S110" s="551"/>
      <c r="T110" s="552"/>
      <c r="U110" s="551"/>
      <c r="V110" s="552"/>
      <c r="W110" s="548">
        <f t="shared" si="10"/>
        <v>20.8</v>
      </c>
      <c r="X110" s="549"/>
      <c r="Y110" s="550"/>
      <c r="Z110" s="548">
        <f>W110*0.617</f>
        <v>12.833600000000001</v>
      </c>
      <c r="AA110" s="549"/>
      <c r="AB110" s="550"/>
      <c r="AC110" s="35"/>
      <c r="AD110" s="36"/>
      <c r="AE110" s="37"/>
      <c r="AF110" s="35"/>
      <c r="AG110" s="36"/>
      <c r="AH110" s="38"/>
    </row>
    <row r="111" spans="1:35" ht="15.75">
      <c r="A111" s="507"/>
      <c r="B111" s="508"/>
      <c r="C111" s="509"/>
      <c r="D111" s="543" t="s">
        <v>663</v>
      </c>
      <c r="E111" s="544"/>
      <c r="F111" s="544"/>
      <c r="G111" s="544"/>
      <c r="H111" s="544"/>
      <c r="I111" s="544"/>
      <c r="J111" s="47"/>
      <c r="K111" s="551">
        <f>((6*3.73)+(6*1.47))</f>
        <v>31.2</v>
      </c>
      <c r="L111" s="552"/>
      <c r="M111" s="551"/>
      <c r="N111" s="552"/>
      <c r="O111" s="551">
        <v>1</v>
      </c>
      <c r="P111" s="552"/>
      <c r="Q111" s="551"/>
      <c r="R111" s="552"/>
      <c r="S111" s="551"/>
      <c r="T111" s="552"/>
      <c r="U111" s="551"/>
      <c r="V111" s="552"/>
      <c r="W111" s="548">
        <f t="shared" si="10"/>
        <v>31.2</v>
      </c>
      <c r="X111" s="549"/>
      <c r="Y111" s="550"/>
      <c r="Z111" s="548">
        <f t="shared" ref="Z111:Z174" si="13">W111*0.617</f>
        <v>19.250399999999999</v>
      </c>
      <c r="AA111" s="549"/>
      <c r="AB111" s="550"/>
      <c r="AC111" s="35"/>
      <c r="AD111" s="36"/>
      <c r="AE111" s="37"/>
      <c r="AF111" s="35"/>
      <c r="AG111" s="36"/>
      <c r="AH111" s="38"/>
    </row>
    <row r="112" spans="1:35" ht="15.75">
      <c r="A112" s="507"/>
      <c r="B112" s="508"/>
      <c r="C112" s="509"/>
      <c r="D112" s="543" t="s">
        <v>664</v>
      </c>
      <c r="E112" s="544"/>
      <c r="F112" s="544"/>
      <c r="G112" s="544"/>
      <c r="H112" s="544"/>
      <c r="I112" s="544"/>
      <c r="J112" s="47"/>
      <c r="K112" s="551">
        <f>((6*3.73)+(6*1.47))</f>
        <v>31.2</v>
      </c>
      <c r="L112" s="552"/>
      <c r="M112" s="551"/>
      <c r="N112" s="552"/>
      <c r="O112" s="551">
        <v>1</v>
      </c>
      <c r="P112" s="552"/>
      <c r="Q112" s="551"/>
      <c r="R112" s="552"/>
      <c r="S112" s="551"/>
      <c r="T112" s="552"/>
      <c r="U112" s="551"/>
      <c r="V112" s="552"/>
      <c r="W112" s="548">
        <f t="shared" si="10"/>
        <v>31.2</v>
      </c>
      <c r="X112" s="549"/>
      <c r="Y112" s="550"/>
      <c r="Z112" s="548">
        <f t="shared" si="13"/>
        <v>19.250399999999999</v>
      </c>
      <c r="AA112" s="549"/>
      <c r="AB112" s="550"/>
      <c r="AC112" s="35"/>
      <c r="AD112" s="36"/>
      <c r="AE112" s="37"/>
      <c r="AF112" s="35"/>
      <c r="AG112" s="36"/>
      <c r="AH112" s="38"/>
    </row>
    <row r="113" spans="1:34" ht="15.75">
      <c r="A113" s="507"/>
      <c r="B113" s="508"/>
      <c r="C113" s="509"/>
      <c r="D113" s="543" t="s">
        <v>665</v>
      </c>
      <c r="E113" s="544"/>
      <c r="F113" s="544"/>
      <c r="G113" s="544"/>
      <c r="H113" s="544"/>
      <c r="I113" s="544"/>
      <c r="J113" s="47"/>
      <c r="K113" s="551">
        <f>((6*3.73)+(6*1.47))</f>
        <v>31.2</v>
      </c>
      <c r="L113" s="552"/>
      <c r="M113" s="551"/>
      <c r="N113" s="552"/>
      <c r="O113" s="551">
        <v>1</v>
      </c>
      <c r="P113" s="552"/>
      <c r="Q113" s="551"/>
      <c r="R113" s="552"/>
      <c r="S113" s="551"/>
      <c r="T113" s="552"/>
      <c r="U113" s="551"/>
      <c r="V113" s="552"/>
      <c r="W113" s="548">
        <f t="shared" si="10"/>
        <v>31.2</v>
      </c>
      <c r="X113" s="549"/>
      <c r="Y113" s="550"/>
      <c r="Z113" s="548">
        <f t="shared" si="13"/>
        <v>19.250399999999999</v>
      </c>
      <c r="AA113" s="549"/>
      <c r="AB113" s="550"/>
      <c r="AC113" s="35"/>
      <c r="AD113" s="36"/>
      <c r="AE113" s="37"/>
      <c r="AF113" s="35"/>
      <c r="AG113" s="36"/>
      <c r="AH113" s="38"/>
    </row>
    <row r="114" spans="1:34" ht="15.75">
      <c r="A114" s="507"/>
      <c r="B114" s="508"/>
      <c r="C114" s="509"/>
      <c r="D114" s="543" t="s">
        <v>666</v>
      </c>
      <c r="E114" s="544"/>
      <c r="F114" s="544"/>
      <c r="G114" s="544"/>
      <c r="H114" s="544"/>
      <c r="I114" s="544"/>
      <c r="J114" s="47"/>
      <c r="K114" s="551">
        <f>((6*3.73)+(6*1.47))</f>
        <v>31.2</v>
      </c>
      <c r="L114" s="552"/>
      <c r="M114" s="551"/>
      <c r="N114" s="552"/>
      <c r="O114" s="551">
        <v>1</v>
      </c>
      <c r="P114" s="552"/>
      <c r="Q114" s="512"/>
      <c r="R114" s="509"/>
      <c r="S114" s="512"/>
      <c r="T114" s="509"/>
      <c r="U114" s="512"/>
      <c r="V114" s="509"/>
      <c r="W114" s="548">
        <f t="shared" si="10"/>
        <v>31.2</v>
      </c>
      <c r="X114" s="549"/>
      <c r="Y114" s="550"/>
      <c r="Z114" s="548">
        <f t="shared" si="13"/>
        <v>19.250399999999999</v>
      </c>
      <c r="AA114" s="549"/>
      <c r="AB114" s="550"/>
      <c r="AC114" s="35"/>
      <c r="AD114" s="36"/>
      <c r="AE114" s="37"/>
      <c r="AF114" s="35"/>
      <c r="AG114" s="36"/>
      <c r="AH114" s="38"/>
    </row>
    <row r="115" spans="1:34" ht="15.75">
      <c r="A115" s="507"/>
      <c r="B115" s="508"/>
      <c r="C115" s="509"/>
      <c r="D115" s="543" t="s">
        <v>667</v>
      </c>
      <c r="E115" s="544"/>
      <c r="F115" s="544"/>
      <c r="G115" s="544"/>
      <c r="H115" s="544"/>
      <c r="I115" s="544"/>
      <c r="J115" s="47"/>
      <c r="K115" s="551">
        <f>((6*3.73)+(6*1.47))</f>
        <v>31.2</v>
      </c>
      <c r="L115" s="552"/>
      <c r="M115" s="551"/>
      <c r="N115" s="552"/>
      <c r="O115" s="551">
        <v>1</v>
      </c>
      <c r="P115" s="552"/>
      <c r="Q115" s="551"/>
      <c r="R115" s="552"/>
      <c r="S115" s="551"/>
      <c r="T115" s="552"/>
      <c r="U115" s="551"/>
      <c r="V115" s="552"/>
      <c r="W115" s="548">
        <f t="shared" si="10"/>
        <v>31.2</v>
      </c>
      <c r="X115" s="549"/>
      <c r="Y115" s="550"/>
      <c r="Z115" s="548">
        <f t="shared" si="13"/>
        <v>19.250399999999999</v>
      </c>
      <c r="AA115" s="549"/>
      <c r="AB115" s="550"/>
      <c r="AC115" s="35"/>
      <c r="AD115" s="36"/>
      <c r="AE115" s="37"/>
      <c r="AF115" s="35"/>
      <c r="AG115" s="36"/>
      <c r="AH115" s="38"/>
    </row>
    <row r="116" spans="1:34" ht="15.75">
      <c r="A116" s="507"/>
      <c r="B116" s="508"/>
      <c r="C116" s="509"/>
      <c r="D116" s="543" t="s">
        <v>668</v>
      </c>
      <c r="E116" s="544"/>
      <c r="F116" s="544"/>
      <c r="G116" s="544"/>
      <c r="H116" s="544"/>
      <c r="I116" s="544"/>
      <c r="J116" s="47"/>
      <c r="K116" s="551">
        <f>((4*3.73)+(4*1.47))</f>
        <v>20.8</v>
      </c>
      <c r="L116" s="552"/>
      <c r="M116" s="551"/>
      <c r="N116" s="552"/>
      <c r="O116" s="551">
        <v>1</v>
      </c>
      <c r="P116" s="552"/>
      <c r="Q116" s="551"/>
      <c r="R116" s="552"/>
      <c r="S116" s="551"/>
      <c r="T116" s="552"/>
      <c r="U116" s="551"/>
      <c r="V116" s="552"/>
      <c r="W116" s="548">
        <f t="shared" si="10"/>
        <v>20.8</v>
      </c>
      <c r="X116" s="549"/>
      <c r="Y116" s="550"/>
      <c r="Z116" s="548">
        <f t="shared" si="13"/>
        <v>12.833600000000001</v>
      </c>
      <c r="AA116" s="549"/>
      <c r="AB116" s="550"/>
      <c r="AC116" s="35"/>
      <c r="AD116" s="36"/>
      <c r="AE116" s="37"/>
      <c r="AF116" s="35"/>
      <c r="AG116" s="36"/>
      <c r="AH116" s="38"/>
    </row>
    <row r="117" spans="1:34" ht="15.75">
      <c r="A117" s="507"/>
      <c r="B117" s="508"/>
      <c r="C117" s="509"/>
      <c r="D117" s="543" t="s">
        <v>669</v>
      </c>
      <c r="E117" s="544"/>
      <c r="F117" s="544"/>
      <c r="G117" s="544"/>
      <c r="H117" s="544"/>
      <c r="I117" s="544"/>
      <c r="J117" s="47"/>
      <c r="K117" s="551">
        <f>((4*3.73)+(4*1.47))</f>
        <v>20.8</v>
      </c>
      <c r="L117" s="552"/>
      <c r="M117" s="551"/>
      <c r="N117" s="552"/>
      <c r="O117" s="551">
        <v>1</v>
      </c>
      <c r="P117" s="552"/>
      <c r="Q117" s="551"/>
      <c r="R117" s="552"/>
      <c r="S117" s="551"/>
      <c r="T117" s="552"/>
      <c r="U117" s="551"/>
      <c r="V117" s="552"/>
      <c r="W117" s="548">
        <f t="shared" si="10"/>
        <v>20.8</v>
      </c>
      <c r="X117" s="549"/>
      <c r="Y117" s="550"/>
      <c r="Z117" s="548">
        <f t="shared" si="13"/>
        <v>12.833600000000001</v>
      </c>
      <c r="AA117" s="549"/>
      <c r="AB117" s="550"/>
      <c r="AC117" s="35"/>
      <c r="AD117" s="36"/>
      <c r="AE117" s="37"/>
      <c r="AF117" s="35"/>
      <c r="AG117" s="36"/>
      <c r="AH117" s="38"/>
    </row>
    <row r="118" spans="1:34" ht="15.75">
      <c r="A118" s="507"/>
      <c r="B118" s="508"/>
      <c r="C118" s="509"/>
      <c r="D118" s="543" t="s">
        <v>670</v>
      </c>
      <c r="E118" s="544"/>
      <c r="F118" s="544"/>
      <c r="G118" s="544"/>
      <c r="H118" s="544"/>
      <c r="I118" s="544"/>
      <c r="J118" s="47"/>
      <c r="K118" s="551">
        <f>4*3.37</f>
        <v>13.48</v>
      </c>
      <c r="L118" s="552"/>
      <c r="M118" s="551"/>
      <c r="N118" s="552"/>
      <c r="O118" s="551">
        <v>1</v>
      </c>
      <c r="P118" s="552"/>
      <c r="Q118" s="551"/>
      <c r="R118" s="552"/>
      <c r="S118" s="551"/>
      <c r="T118" s="552"/>
      <c r="U118" s="551"/>
      <c r="V118" s="552"/>
      <c r="W118" s="548">
        <f t="shared" ref="W118:W181" si="14">K118*O118</f>
        <v>13.48</v>
      </c>
      <c r="X118" s="549"/>
      <c r="Y118" s="550"/>
      <c r="Z118" s="548">
        <f t="shared" si="13"/>
        <v>8.3171599999999994</v>
      </c>
      <c r="AA118" s="549"/>
      <c r="AB118" s="550"/>
      <c r="AC118" s="35"/>
      <c r="AD118" s="36"/>
      <c r="AE118" s="37"/>
      <c r="AF118" s="35"/>
      <c r="AG118" s="36"/>
      <c r="AH118" s="38"/>
    </row>
    <row r="119" spans="1:34" ht="15.75">
      <c r="A119" s="507"/>
      <c r="B119" s="508"/>
      <c r="C119" s="509"/>
      <c r="D119" s="543" t="s">
        <v>671</v>
      </c>
      <c r="E119" s="544"/>
      <c r="F119" s="544"/>
      <c r="G119" s="544"/>
      <c r="H119" s="544"/>
      <c r="I119" s="544"/>
      <c r="J119" s="47"/>
      <c r="K119" s="551">
        <f>((4*3.73)+(4*1.47))</f>
        <v>20.8</v>
      </c>
      <c r="L119" s="552"/>
      <c r="M119" s="551"/>
      <c r="N119" s="552"/>
      <c r="O119" s="551">
        <v>1</v>
      </c>
      <c r="P119" s="552"/>
      <c r="Q119" s="551"/>
      <c r="R119" s="552"/>
      <c r="S119" s="551"/>
      <c r="T119" s="552"/>
      <c r="U119" s="551"/>
      <c r="V119" s="552"/>
      <c r="W119" s="548">
        <f t="shared" si="14"/>
        <v>20.8</v>
      </c>
      <c r="X119" s="549"/>
      <c r="Y119" s="550"/>
      <c r="Z119" s="548">
        <f t="shared" si="13"/>
        <v>12.833600000000001</v>
      </c>
      <c r="AA119" s="549"/>
      <c r="AB119" s="550"/>
      <c r="AC119" s="35"/>
      <c r="AD119" s="36"/>
      <c r="AE119" s="37"/>
      <c r="AF119" s="35"/>
      <c r="AG119" s="36"/>
      <c r="AH119" s="38"/>
    </row>
    <row r="120" spans="1:34" ht="15.75">
      <c r="A120" s="507"/>
      <c r="B120" s="508"/>
      <c r="C120" s="509"/>
      <c r="D120" s="543" t="s">
        <v>672</v>
      </c>
      <c r="E120" s="544"/>
      <c r="F120" s="544"/>
      <c r="G120" s="544"/>
      <c r="H120" s="544"/>
      <c r="I120" s="544"/>
      <c r="J120" s="47"/>
      <c r="K120" s="551">
        <f>((4*3.73)+(4*1.47))</f>
        <v>20.8</v>
      </c>
      <c r="L120" s="552"/>
      <c r="M120" s="551"/>
      <c r="N120" s="552"/>
      <c r="O120" s="551">
        <v>1</v>
      </c>
      <c r="P120" s="552"/>
      <c r="Q120" s="551"/>
      <c r="R120" s="552"/>
      <c r="S120" s="551"/>
      <c r="T120" s="552"/>
      <c r="U120" s="551"/>
      <c r="V120" s="552"/>
      <c r="W120" s="548">
        <f t="shared" si="14"/>
        <v>20.8</v>
      </c>
      <c r="X120" s="549"/>
      <c r="Y120" s="550"/>
      <c r="Z120" s="548">
        <f t="shared" si="13"/>
        <v>12.833600000000001</v>
      </c>
      <c r="AA120" s="549"/>
      <c r="AB120" s="550"/>
      <c r="AC120" s="35"/>
      <c r="AD120" s="36"/>
      <c r="AE120" s="37"/>
      <c r="AF120" s="35"/>
      <c r="AG120" s="36"/>
      <c r="AH120" s="38"/>
    </row>
    <row r="121" spans="1:34" ht="15.75">
      <c r="A121" s="507"/>
      <c r="B121" s="508"/>
      <c r="C121" s="509"/>
      <c r="D121" s="543" t="s">
        <v>673</v>
      </c>
      <c r="E121" s="544"/>
      <c r="F121" s="544"/>
      <c r="G121" s="544"/>
      <c r="H121" s="544"/>
      <c r="I121" s="544"/>
      <c r="J121" s="47"/>
      <c r="K121" s="551">
        <f>4*3.37</f>
        <v>13.48</v>
      </c>
      <c r="L121" s="552"/>
      <c r="M121" s="551"/>
      <c r="N121" s="552"/>
      <c r="O121" s="551">
        <v>1</v>
      </c>
      <c r="P121" s="552"/>
      <c r="Q121" s="551"/>
      <c r="R121" s="552"/>
      <c r="S121" s="551"/>
      <c r="T121" s="552"/>
      <c r="U121" s="551"/>
      <c r="V121" s="552"/>
      <c r="W121" s="548">
        <f t="shared" si="14"/>
        <v>13.48</v>
      </c>
      <c r="X121" s="549"/>
      <c r="Y121" s="550"/>
      <c r="Z121" s="548">
        <f t="shared" si="13"/>
        <v>8.3171599999999994</v>
      </c>
      <c r="AA121" s="549"/>
      <c r="AB121" s="550"/>
      <c r="AC121" s="35"/>
      <c r="AD121" s="36"/>
      <c r="AE121" s="37"/>
      <c r="AF121" s="35"/>
      <c r="AG121" s="36"/>
      <c r="AH121" s="38"/>
    </row>
    <row r="122" spans="1:34" ht="15.75">
      <c r="A122" s="507"/>
      <c r="B122" s="508"/>
      <c r="C122" s="509"/>
      <c r="D122" s="543" t="s">
        <v>674</v>
      </c>
      <c r="E122" s="544"/>
      <c r="F122" s="544"/>
      <c r="G122" s="544"/>
      <c r="H122" s="544"/>
      <c r="I122" s="544"/>
      <c r="J122" s="47"/>
      <c r="K122" s="512">
        <f>6*3.37</f>
        <v>20.22</v>
      </c>
      <c r="L122" s="509"/>
      <c r="M122" s="512"/>
      <c r="N122" s="509"/>
      <c r="O122" s="512">
        <v>1</v>
      </c>
      <c r="P122" s="509"/>
      <c r="Q122" s="512"/>
      <c r="R122" s="509"/>
      <c r="S122" s="512"/>
      <c r="T122" s="509"/>
      <c r="U122" s="512"/>
      <c r="V122" s="509"/>
      <c r="W122" s="548">
        <f t="shared" si="14"/>
        <v>20.22</v>
      </c>
      <c r="X122" s="549"/>
      <c r="Y122" s="550"/>
      <c r="Z122" s="548">
        <f t="shared" si="13"/>
        <v>12.475739999999998</v>
      </c>
      <c r="AA122" s="549"/>
      <c r="AB122" s="550"/>
      <c r="AC122" s="35"/>
      <c r="AD122" s="36"/>
      <c r="AE122" s="37"/>
      <c r="AF122" s="35"/>
      <c r="AG122" s="36"/>
      <c r="AH122" s="38"/>
    </row>
    <row r="123" spans="1:34" ht="15.75">
      <c r="A123" s="507"/>
      <c r="B123" s="508"/>
      <c r="C123" s="509"/>
      <c r="D123" s="545" t="s">
        <v>675</v>
      </c>
      <c r="E123" s="546"/>
      <c r="F123" s="546"/>
      <c r="G123" s="546"/>
      <c r="H123" s="546"/>
      <c r="I123" s="547"/>
      <c r="J123" s="47"/>
      <c r="K123" s="551">
        <f>4*3.37</f>
        <v>13.48</v>
      </c>
      <c r="L123" s="552"/>
      <c r="M123" s="551"/>
      <c r="N123" s="552"/>
      <c r="O123" s="512">
        <v>1</v>
      </c>
      <c r="P123" s="509"/>
      <c r="Q123" s="551"/>
      <c r="R123" s="552"/>
      <c r="S123" s="551"/>
      <c r="T123" s="552"/>
      <c r="U123" s="551"/>
      <c r="V123" s="552"/>
      <c r="W123" s="548">
        <f t="shared" si="14"/>
        <v>13.48</v>
      </c>
      <c r="X123" s="549"/>
      <c r="Y123" s="550"/>
      <c r="Z123" s="548">
        <f t="shared" si="13"/>
        <v>8.3171599999999994</v>
      </c>
      <c r="AA123" s="549"/>
      <c r="AB123" s="550"/>
      <c r="AC123" s="35"/>
      <c r="AD123" s="36"/>
      <c r="AE123" s="37"/>
      <c r="AF123" s="35"/>
      <c r="AG123" s="36"/>
      <c r="AH123" s="38"/>
    </row>
    <row r="124" spans="1:34" ht="15.75">
      <c r="A124" s="507"/>
      <c r="B124" s="508"/>
      <c r="C124" s="509"/>
      <c r="D124" s="545" t="s">
        <v>677</v>
      </c>
      <c r="E124" s="546"/>
      <c r="F124" s="546"/>
      <c r="G124" s="546"/>
      <c r="H124" s="546"/>
      <c r="I124" s="547"/>
      <c r="J124" s="47"/>
      <c r="K124" s="551">
        <f>4*3.37</f>
        <v>13.48</v>
      </c>
      <c r="L124" s="552"/>
      <c r="M124" s="551"/>
      <c r="N124" s="552"/>
      <c r="O124" s="512">
        <v>1</v>
      </c>
      <c r="P124" s="509"/>
      <c r="Q124" s="551"/>
      <c r="R124" s="552"/>
      <c r="S124" s="551"/>
      <c r="T124" s="552"/>
      <c r="U124" s="551"/>
      <c r="V124" s="552"/>
      <c r="W124" s="548">
        <f t="shared" si="14"/>
        <v>13.48</v>
      </c>
      <c r="X124" s="549"/>
      <c r="Y124" s="550"/>
      <c r="Z124" s="548">
        <f t="shared" si="13"/>
        <v>8.3171599999999994</v>
      </c>
      <c r="AA124" s="549"/>
      <c r="AB124" s="550"/>
      <c r="AC124" s="35"/>
      <c r="AD124" s="36"/>
      <c r="AE124" s="37"/>
      <c r="AF124" s="35"/>
      <c r="AG124" s="36"/>
      <c r="AH124" s="38"/>
    </row>
    <row r="125" spans="1:34" ht="15.75">
      <c r="A125" s="507"/>
      <c r="B125" s="508"/>
      <c r="C125" s="509"/>
      <c r="D125" s="545" t="s">
        <v>678</v>
      </c>
      <c r="E125" s="546"/>
      <c r="F125" s="546"/>
      <c r="G125" s="546"/>
      <c r="H125" s="546"/>
      <c r="I125" s="547"/>
      <c r="J125" s="47"/>
      <c r="K125" s="551">
        <f>((4*3.73)+(4*1.47))</f>
        <v>20.8</v>
      </c>
      <c r="L125" s="552"/>
      <c r="M125" s="551"/>
      <c r="N125" s="552"/>
      <c r="O125" s="551">
        <v>1</v>
      </c>
      <c r="P125" s="552"/>
      <c r="Q125" s="551"/>
      <c r="R125" s="552"/>
      <c r="S125" s="551"/>
      <c r="T125" s="552"/>
      <c r="U125" s="551"/>
      <c r="V125" s="552"/>
      <c r="W125" s="548">
        <f t="shared" si="14"/>
        <v>20.8</v>
      </c>
      <c r="X125" s="549"/>
      <c r="Y125" s="550"/>
      <c r="Z125" s="548">
        <f t="shared" si="13"/>
        <v>12.833600000000001</v>
      </c>
      <c r="AA125" s="549"/>
      <c r="AB125" s="550"/>
      <c r="AC125" s="35"/>
      <c r="AD125" s="36"/>
      <c r="AE125" s="37"/>
      <c r="AF125" s="35"/>
      <c r="AG125" s="36"/>
      <c r="AH125" s="38"/>
    </row>
    <row r="126" spans="1:34" ht="15.75">
      <c r="A126" s="507"/>
      <c r="B126" s="508"/>
      <c r="C126" s="509"/>
      <c r="D126" s="545" t="s">
        <v>679</v>
      </c>
      <c r="E126" s="546"/>
      <c r="F126" s="546"/>
      <c r="G126" s="546"/>
      <c r="H126" s="546"/>
      <c r="I126" s="547"/>
      <c r="J126" s="47"/>
      <c r="K126" s="551">
        <f>4*3.37</f>
        <v>13.48</v>
      </c>
      <c r="L126" s="552"/>
      <c r="M126" s="551"/>
      <c r="N126" s="552"/>
      <c r="O126" s="512">
        <v>1</v>
      </c>
      <c r="P126" s="509"/>
      <c r="Q126" s="551"/>
      <c r="R126" s="552"/>
      <c r="S126" s="551"/>
      <c r="T126" s="552"/>
      <c r="U126" s="551"/>
      <c r="V126" s="552"/>
      <c r="W126" s="548">
        <f t="shared" si="14"/>
        <v>13.48</v>
      </c>
      <c r="X126" s="549"/>
      <c r="Y126" s="550"/>
      <c r="Z126" s="548">
        <f t="shared" si="13"/>
        <v>8.3171599999999994</v>
      </c>
      <c r="AA126" s="549"/>
      <c r="AB126" s="550"/>
      <c r="AC126" s="35"/>
      <c r="AD126" s="36"/>
      <c r="AE126" s="37"/>
      <c r="AF126" s="35"/>
      <c r="AG126" s="36"/>
      <c r="AH126" s="38"/>
    </row>
    <row r="127" spans="1:34" ht="15.75">
      <c r="A127" s="507"/>
      <c r="B127" s="508"/>
      <c r="C127" s="509"/>
      <c r="D127" s="545" t="s">
        <v>680</v>
      </c>
      <c r="E127" s="546"/>
      <c r="F127" s="546"/>
      <c r="G127" s="546"/>
      <c r="H127" s="546"/>
      <c r="I127" s="547"/>
      <c r="J127" s="47"/>
      <c r="K127" s="551">
        <f>((4*3.73)+(4*1.47))</f>
        <v>20.8</v>
      </c>
      <c r="L127" s="552"/>
      <c r="M127" s="551"/>
      <c r="N127" s="552"/>
      <c r="O127" s="551">
        <v>1</v>
      </c>
      <c r="P127" s="552"/>
      <c r="Q127" s="551"/>
      <c r="R127" s="552"/>
      <c r="S127" s="551"/>
      <c r="T127" s="552"/>
      <c r="U127" s="551"/>
      <c r="V127" s="552"/>
      <c r="W127" s="548">
        <f t="shared" si="14"/>
        <v>20.8</v>
      </c>
      <c r="X127" s="549"/>
      <c r="Y127" s="550"/>
      <c r="Z127" s="548">
        <f t="shared" si="13"/>
        <v>12.833600000000001</v>
      </c>
      <c r="AA127" s="549"/>
      <c r="AB127" s="550"/>
      <c r="AC127" s="35"/>
      <c r="AD127" s="36"/>
      <c r="AE127" s="37"/>
      <c r="AF127" s="35"/>
      <c r="AG127" s="36"/>
      <c r="AH127" s="38"/>
    </row>
    <row r="128" spans="1:34" ht="15.75">
      <c r="A128" s="507"/>
      <c r="B128" s="508"/>
      <c r="C128" s="509"/>
      <c r="D128" s="545" t="s">
        <v>676</v>
      </c>
      <c r="E128" s="546"/>
      <c r="F128" s="546"/>
      <c r="G128" s="546"/>
      <c r="H128" s="546"/>
      <c r="I128" s="547"/>
      <c r="J128" s="47"/>
      <c r="K128" s="551">
        <f>4*3.37</f>
        <v>13.48</v>
      </c>
      <c r="L128" s="552"/>
      <c r="M128" s="551"/>
      <c r="N128" s="552"/>
      <c r="O128" s="551">
        <v>1</v>
      </c>
      <c r="P128" s="552"/>
      <c r="Q128" s="551"/>
      <c r="R128" s="552"/>
      <c r="S128" s="551"/>
      <c r="T128" s="552"/>
      <c r="U128" s="551"/>
      <c r="V128" s="552"/>
      <c r="W128" s="548">
        <f t="shared" si="14"/>
        <v>13.48</v>
      </c>
      <c r="X128" s="549"/>
      <c r="Y128" s="550"/>
      <c r="Z128" s="548">
        <f t="shared" si="13"/>
        <v>8.3171599999999994</v>
      </c>
      <c r="AA128" s="549"/>
      <c r="AB128" s="550"/>
      <c r="AC128" s="35"/>
      <c r="AD128" s="36"/>
      <c r="AE128" s="37"/>
      <c r="AF128" s="35"/>
      <c r="AG128" s="36"/>
      <c r="AH128" s="38"/>
    </row>
    <row r="129" spans="1:34" ht="15.75">
      <c r="A129" s="507"/>
      <c r="B129" s="508"/>
      <c r="C129" s="509"/>
      <c r="D129" s="545" t="s">
        <v>681</v>
      </c>
      <c r="E129" s="546"/>
      <c r="F129" s="546"/>
      <c r="G129" s="546"/>
      <c r="H129" s="546"/>
      <c r="I129" s="547"/>
      <c r="J129" s="47"/>
      <c r="K129" s="551">
        <f>((4*3.73)+(4*1.47))</f>
        <v>20.8</v>
      </c>
      <c r="L129" s="552"/>
      <c r="M129" s="551"/>
      <c r="N129" s="552"/>
      <c r="O129" s="551">
        <v>1</v>
      </c>
      <c r="P129" s="552"/>
      <c r="Q129" s="551"/>
      <c r="R129" s="552"/>
      <c r="S129" s="551"/>
      <c r="T129" s="552"/>
      <c r="U129" s="551"/>
      <c r="V129" s="552"/>
      <c r="W129" s="548">
        <f t="shared" si="14"/>
        <v>20.8</v>
      </c>
      <c r="X129" s="549"/>
      <c r="Y129" s="550"/>
      <c r="Z129" s="548">
        <f t="shared" si="13"/>
        <v>12.833600000000001</v>
      </c>
      <c r="AA129" s="549"/>
      <c r="AB129" s="550"/>
      <c r="AC129" s="35"/>
      <c r="AD129" s="36"/>
      <c r="AE129" s="37"/>
      <c r="AF129" s="35"/>
      <c r="AG129" s="36"/>
      <c r="AH129" s="38"/>
    </row>
    <row r="130" spans="1:34" ht="15.75">
      <c r="A130" s="507"/>
      <c r="B130" s="508"/>
      <c r="C130" s="509"/>
      <c r="D130" s="545" t="s">
        <v>682</v>
      </c>
      <c r="E130" s="546"/>
      <c r="F130" s="546"/>
      <c r="G130" s="546"/>
      <c r="H130" s="546"/>
      <c r="I130" s="547"/>
      <c r="J130" s="47"/>
      <c r="K130" s="512">
        <f>6*1.47</f>
        <v>8.82</v>
      </c>
      <c r="L130" s="509"/>
      <c r="M130" s="512"/>
      <c r="N130" s="509"/>
      <c r="O130" s="551">
        <v>1</v>
      </c>
      <c r="P130" s="552"/>
      <c r="Q130" s="512"/>
      <c r="R130" s="509"/>
      <c r="S130" s="512"/>
      <c r="T130" s="509"/>
      <c r="U130" s="512"/>
      <c r="V130" s="509"/>
      <c r="W130" s="548">
        <f t="shared" si="14"/>
        <v>8.82</v>
      </c>
      <c r="X130" s="549"/>
      <c r="Y130" s="550"/>
      <c r="Z130" s="548">
        <f t="shared" si="13"/>
        <v>5.4419399999999998</v>
      </c>
      <c r="AA130" s="549"/>
      <c r="AB130" s="550"/>
      <c r="AC130" s="35"/>
      <c r="AD130" s="36"/>
      <c r="AE130" s="37"/>
      <c r="AF130" s="35"/>
      <c r="AG130" s="36"/>
      <c r="AH130" s="38"/>
    </row>
    <row r="131" spans="1:34" ht="15.75">
      <c r="A131" s="507"/>
      <c r="B131" s="508"/>
      <c r="C131" s="509"/>
      <c r="D131" s="556" t="s">
        <v>683</v>
      </c>
      <c r="E131" s="557"/>
      <c r="F131" s="557"/>
      <c r="G131" s="557"/>
      <c r="H131" s="557"/>
      <c r="I131" s="558"/>
      <c r="J131" s="47"/>
      <c r="K131" s="551"/>
      <c r="L131" s="552"/>
      <c r="M131" s="551"/>
      <c r="N131" s="552"/>
      <c r="O131" s="551"/>
      <c r="P131" s="552"/>
      <c r="Q131" s="551"/>
      <c r="R131" s="552"/>
      <c r="S131" s="551"/>
      <c r="T131" s="552"/>
      <c r="U131" s="551"/>
      <c r="V131" s="552"/>
      <c r="W131" s="548">
        <f t="shared" si="14"/>
        <v>0</v>
      </c>
      <c r="X131" s="549"/>
      <c r="Y131" s="550"/>
      <c r="Z131" s="548">
        <f t="shared" si="13"/>
        <v>0</v>
      </c>
      <c r="AA131" s="549"/>
      <c r="AB131" s="550"/>
      <c r="AC131" s="35"/>
      <c r="AD131" s="36"/>
      <c r="AE131" s="37"/>
      <c r="AF131" s="35"/>
      <c r="AG131" s="36"/>
      <c r="AH131" s="38"/>
    </row>
    <row r="132" spans="1:34" ht="15.75">
      <c r="A132" s="507"/>
      <c r="B132" s="508"/>
      <c r="C132" s="509"/>
      <c r="D132" s="545" t="s">
        <v>684</v>
      </c>
      <c r="E132" s="546"/>
      <c r="F132" s="546"/>
      <c r="G132" s="546"/>
      <c r="H132" s="546"/>
      <c r="I132" s="547"/>
      <c r="J132" s="47"/>
      <c r="K132" s="551">
        <f t="shared" ref="K132:K148" si="15">((4*3.73)+(4*1.47))</f>
        <v>20.8</v>
      </c>
      <c r="L132" s="552"/>
      <c r="M132" s="551"/>
      <c r="N132" s="552"/>
      <c r="O132" s="551">
        <v>1</v>
      </c>
      <c r="P132" s="552"/>
      <c r="Q132" s="551"/>
      <c r="R132" s="552"/>
      <c r="S132" s="551"/>
      <c r="T132" s="552"/>
      <c r="U132" s="551"/>
      <c r="V132" s="552"/>
      <c r="W132" s="548">
        <f t="shared" si="14"/>
        <v>20.8</v>
      </c>
      <c r="X132" s="549"/>
      <c r="Y132" s="550"/>
      <c r="Z132" s="548">
        <f t="shared" si="13"/>
        <v>12.833600000000001</v>
      </c>
      <c r="AA132" s="549"/>
      <c r="AB132" s="550"/>
      <c r="AC132" s="35"/>
      <c r="AD132" s="36"/>
      <c r="AE132" s="37"/>
      <c r="AF132" s="35"/>
      <c r="AG132" s="36"/>
      <c r="AH132" s="38"/>
    </row>
    <row r="133" spans="1:34" ht="15.75">
      <c r="A133" s="507"/>
      <c r="B133" s="508"/>
      <c r="C133" s="509"/>
      <c r="D133" s="545" t="s">
        <v>685</v>
      </c>
      <c r="E133" s="546"/>
      <c r="F133" s="546"/>
      <c r="G133" s="546"/>
      <c r="H133" s="546"/>
      <c r="I133" s="547"/>
      <c r="J133" s="47"/>
      <c r="K133" s="551">
        <f t="shared" si="15"/>
        <v>20.8</v>
      </c>
      <c r="L133" s="552"/>
      <c r="M133" s="551"/>
      <c r="N133" s="552"/>
      <c r="O133" s="551">
        <v>1</v>
      </c>
      <c r="P133" s="552"/>
      <c r="Q133" s="551"/>
      <c r="R133" s="552"/>
      <c r="S133" s="551"/>
      <c r="T133" s="552"/>
      <c r="U133" s="551"/>
      <c r="V133" s="552"/>
      <c r="W133" s="548">
        <f t="shared" si="14"/>
        <v>20.8</v>
      </c>
      <c r="X133" s="549"/>
      <c r="Y133" s="550"/>
      <c r="Z133" s="548">
        <f t="shared" si="13"/>
        <v>12.833600000000001</v>
      </c>
      <c r="AA133" s="549"/>
      <c r="AB133" s="550"/>
      <c r="AC133" s="35"/>
      <c r="AD133" s="36"/>
      <c r="AE133" s="37"/>
      <c r="AF133" s="35"/>
      <c r="AG133" s="36"/>
      <c r="AH133" s="38"/>
    </row>
    <row r="134" spans="1:34" ht="15.75">
      <c r="A134" s="507"/>
      <c r="B134" s="508"/>
      <c r="C134" s="509"/>
      <c r="D134" s="545" t="s">
        <v>686</v>
      </c>
      <c r="E134" s="546"/>
      <c r="F134" s="546"/>
      <c r="G134" s="546"/>
      <c r="H134" s="546"/>
      <c r="I134" s="547"/>
      <c r="J134" s="47"/>
      <c r="K134" s="551">
        <f t="shared" si="15"/>
        <v>20.8</v>
      </c>
      <c r="L134" s="552"/>
      <c r="M134" s="551"/>
      <c r="N134" s="552"/>
      <c r="O134" s="551">
        <v>1</v>
      </c>
      <c r="P134" s="552"/>
      <c r="Q134" s="551"/>
      <c r="R134" s="552"/>
      <c r="S134" s="551"/>
      <c r="T134" s="552"/>
      <c r="U134" s="551"/>
      <c r="V134" s="552"/>
      <c r="W134" s="548">
        <f t="shared" si="14"/>
        <v>20.8</v>
      </c>
      <c r="X134" s="549"/>
      <c r="Y134" s="550"/>
      <c r="Z134" s="548">
        <f t="shared" si="13"/>
        <v>12.833600000000001</v>
      </c>
      <c r="AA134" s="549"/>
      <c r="AB134" s="550"/>
      <c r="AC134" s="35"/>
      <c r="AD134" s="36"/>
      <c r="AE134" s="37"/>
      <c r="AF134" s="35"/>
      <c r="AG134" s="36"/>
      <c r="AH134" s="38"/>
    </row>
    <row r="135" spans="1:34" ht="15.75">
      <c r="A135" s="507"/>
      <c r="B135" s="508"/>
      <c r="C135" s="509"/>
      <c r="D135" s="545" t="s">
        <v>687</v>
      </c>
      <c r="E135" s="546"/>
      <c r="F135" s="546"/>
      <c r="G135" s="546"/>
      <c r="H135" s="546"/>
      <c r="I135" s="547"/>
      <c r="J135" s="47"/>
      <c r="K135" s="551">
        <f t="shared" si="15"/>
        <v>20.8</v>
      </c>
      <c r="L135" s="552"/>
      <c r="M135" s="551"/>
      <c r="N135" s="552"/>
      <c r="O135" s="551">
        <v>1</v>
      </c>
      <c r="P135" s="552"/>
      <c r="Q135" s="551"/>
      <c r="R135" s="552"/>
      <c r="S135" s="551"/>
      <c r="T135" s="552"/>
      <c r="U135" s="551"/>
      <c r="V135" s="552"/>
      <c r="W135" s="548">
        <f t="shared" si="14"/>
        <v>20.8</v>
      </c>
      <c r="X135" s="549"/>
      <c r="Y135" s="550"/>
      <c r="Z135" s="548">
        <f t="shared" si="13"/>
        <v>12.833600000000001</v>
      </c>
      <c r="AA135" s="549"/>
      <c r="AB135" s="550"/>
      <c r="AC135" s="35"/>
      <c r="AD135" s="36"/>
      <c r="AE135" s="37"/>
      <c r="AF135" s="35"/>
      <c r="AG135" s="36"/>
      <c r="AH135" s="38"/>
    </row>
    <row r="136" spans="1:34" ht="15.75">
      <c r="A136" s="507"/>
      <c r="B136" s="508"/>
      <c r="C136" s="509"/>
      <c r="D136" s="545" t="s">
        <v>688</v>
      </c>
      <c r="E136" s="546"/>
      <c r="F136" s="546"/>
      <c r="G136" s="546"/>
      <c r="H136" s="546"/>
      <c r="I136" s="547"/>
      <c r="J136" s="47"/>
      <c r="K136" s="551">
        <f t="shared" si="15"/>
        <v>20.8</v>
      </c>
      <c r="L136" s="552"/>
      <c r="M136" s="551"/>
      <c r="N136" s="552"/>
      <c r="O136" s="551">
        <v>1</v>
      </c>
      <c r="P136" s="552"/>
      <c r="Q136" s="551"/>
      <c r="R136" s="552"/>
      <c r="S136" s="551"/>
      <c r="T136" s="552"/>
      <c r="U136" s="551"/>
      <c r="V136" s="552"/>
      <c r="W136" s="548">
        <f t="shared" si="14"/>
        <v>20.8</v>
      </c>
      <c r="X136" s="549"/>
      <c r="Y136" s="550"/>
      <c r="Z136" s="548">
        <f t="shared" si="13"/>
        <v>12.833600000000001</v>
      </c>
      <c r="AA136" s="549"/>
      <c r="AB136" s="550"/>
      <c r="AC136" s="35"/>
      <c r="AD136" s="36"/>
      <c r="AE136" s="37"/>
      <c r="AF136" s="35"/>
      <c r="AG136" s="36"/>
      <c r="AH136" s="38"/>
    </row>
    <row r="137" spans="1:34" ht="15.75">
      <c r="A137" s="507"/>
      <c r="B137" s="508"/>
      <c r="C137" s="509"/>
      <c r="D137" s="545" t="s">
        <v>689</v>
      </c>
      <c r="E137" s="546"/>
      <c r="F137" s="546"/>
      <c r="G137" s="546"/>
      <c r="H137" s="546"/>
      <c r="I137" s="547"/>
      <c r="J137" s="47"/>
      <c r="K137" s="551">
        <f t="shared" si="15"/>
        <v>20.8</v>
      </c>
      <c r="L137" s="552"/>
      <c r="M137" s="551"/>
      <c r="N137" s="552"/>
      <c r="O137" s="551">
        <v>1</v>
      </c>
      <c r="P137" s="552"/>
      <c r="Q137" s="551"/>
      <c r="R137" s="552"/>
      <c r="S137" s="551"/>
      <c r="T137" s="552"/>
      <c r="U137" s="551"/>
      <c r="V137" s="552"/>
      <c r="W137" s="548">
        <f t="shared" si="14"/>
        <v>20.8</v>
      </c>
      <c r="X137" s="549"/>
      <c r="Y137" s="550"/>
      <c r="Z137" s="548">
        <f t="shared" si="13"/>
        <v>12.833600000000001</v>
      </c>
      <c r="AA137" s="549"/>
      <c r="AB137" s="550"/>
      <c r="AC137" s="35"/>
      <c r="AD137" s="36"/>
      <c r="AE137" s="37"/>
      <c r="AF137" s="35"/>
      <c r="AG137" s="36"/>
      <c r="AH137" s="38"/>
    </row>
    <row r="138" spans="1:34" ht="15.75">
      <c r="A138" s="507"/>
      <c r="B138" s="508"/>
      <c r="C138" s="509"/>
      <c r="D138" s="545" t="s">
        <v>690</v>
      </c>
      <c r="E138" s="546"/>
      <c r="F138" s="546"/>
      <c r="G138" s="546"/>
      <c r="H138" s="546"/>
      <c r="I138" s="547"/>
      <c r="J138" s="47"/>
      <c r="K138" s="551">
        <f t="shared" si="15"/>
        <v>20.8</v>
      </c>
      <c r="L138" s="552"/>
      <c r="M138" s="551"/>
      <c r="N138" s="552"/>
      <c r="O138" s="551">
        <v>1</v>
      </c>
      <c r="P138" s="552"/>
      <c r="Q138" s="512"/>
      <c r="R138" s="509"/>
      <c r="S138" s="512"/>
      <c r="T138" s="509"/>
      <c r="U138" s="512"/>
      <c r="V138" s="509"/>
      <c r="W138" s="548">
        <f t="shared" si="14"/>
        <v>20.8</v>
      </c>
      <c r="X138" s="549"/>
      <c r="Y138" s="550"/>
      <c r="Z138" s="548">
        <f t="shared" si="13"/>
        <v>12.833600000000001</v>
      </c>
      <c r="AA138" s="549"/>
      <c r="AB138" s="550"/>
      <c r="AC138" s="35"/>
      <c r="AD138" s="36"/>
      <c r="AE138" s="37"/>
      <c r="AF138" s="35"/>
      <c r="AG138" s="36"/>
      <c r="AH138" s="38"/>
    </row>
    <row r="139" spans="1:34" ht="15.75">
      <c r="A139" s="507"/>
      <c r="B139" s="508"/>
      <c r="C139" s="509"/>
      <c r="D139" s="545" t="s">
        <v>691</v>
      </c>
      <c r="E139" s="546"/>
      <c r="F139" s="546"/>
      <c r="G139" s="546"/>
      <c r="H139" s="546"/>
      <c r="I139" s="547"/>
      <c r="J139" s="47"/>
      <c r="K139" s="551">
        <f t="shared" si="15"/>
        <v>20.8</v>
      </c>
      <c r="L139" s="552"/>
      <c r="M139" s="551"/>
      <c r="N139" s="552"/>
      <c r="O139" s="551">
        <v>1</v>
      </c>
      <c r="P139" s="552"/>
      <c r="Q139" s="551"/>
      <c r="R139" s="552"/>
      <c r="S139" s="551"/>
      <c r="T139" s="552"/>
      <c r="U139" s="551"/>
      <c r="V139" s="552"/>
      <c r="W139" s="548">
        <f t="shared" si="14"/>
        <v>20.8</v>
      </c>
      <c r="X139" s="549"/>
      <c r="Y139" s="550"/>
      <c r="Z139" s="548">
        <f t="shared" si="13"/>
        <v>12.833600000000001</v>
      </c>
      <c r="AA139" s="549"/>
      <c r="AB139" s="550"/>
      <c r="AC139" s="35"/>
      <c r="AD139" s="36"/>
      <c r="AE139" s="37"/>
      <c r="AF139" s="35"/>
      <c r="AG139" s="36"/>
      <c r="AH139" s="38"/>
    </row>
    <row r="140" spans="1:34" ht="15.75">
      <c r="A140" s="507"/>
      <c r="B140" s="508"/>
      <c r="C140" s="509"/>
      <c r="D140" s="545" t="s">
        <v>692</v>
      </c>
      <c r="E140" s="546"/>
      <c r="F140" s="546"/>
      <c r="G140" s="546"/>
      <c r="H140" s="546"/>
      <c r="I140" s="547"/>
      <c r="J140" s="47"/>
      <c r="K140" s="551">
        <f t="shared" si="15"/>
        <v>20.8</v>
      </c>
      <c r="L140" s="552"/>
      <c r="M140" s="551"/>
      <c r="N140" s="552"/>
      <c r="O140" s="551">
        <v>1</v>
      </c>
      <c r="P140" s="552"/>
      <c r="Q140" s="551"/>
      <c r="R140" s="552"/>
      <c r="S140" s="551"/>
      <c r="T140" s="552"/>
      <c r="U140" s="551"/>
      <c r="V140" s="552"/>
      <c r="W140" s="548">
        <f t="shared" si="14"/>
        <v>20.8</v>
      </c>
      <c r="X140" s="549"/>
      <c r="Y140" s="550"/>
      <c r="Z140" s="548">
        <f t="shared" si="13"/>
        <v>12.833600000000001</v>
      </c>
      <c r="AA140" s="549"/>
      <c r="AB140" s="550"/>
      <c r="AC140" s="35"/>
      <c r="AD140" s="36"/>
      <c r="AE140" s="37"/>
      <c r="AF140" s="35"/>
      <c r="AG140" s="36"/>
      <c r="AH140" s="38"/>
    </row>
    <row r="141" spans="1:34" ht="15.75">
      <c r="A141" s="507"/>
      <c r="B141" s="508"/>
      <c r="C141" s="509"/>
      <c r="D141" s="545" t="s">
        <v>693</v>
      </c>
      <c r="E141" s="546"/>
      <c r="F141" s="546"/>
      <c r="G141" s="546"/>
      <c r="H141" s="546"/>
      <c r="I141" s="547"/>
      <c r="J141" s="47"/>
      <c r="K141" s="551">
        <f t="shared" si="15"/>
        <v>20.8</v>
      </c>
      <c r="L141" s="552"/>
      <c r="M141" s="551"/>
      <c r="N141" s="552"/>
      <c r="O141" s="551">
        <v>1</v>
      </c>
      <c r="P141" s="552"/>
      <c r="Q141" s="551"/>
      <c r="R141" s="552"/>
      <c r="S141" s="551"/>
      <c r="T141" s="552"/>
      <c r="U141" s="551"/>
      <c r="V141" s="552"/>
      <c r="W141" s="548">
        <f t="shared" si="14"/>
        <v>20.8</v>
      </c>
      <c r="X141" s="549"/>
      <c r="Y141" s="550"/>
      <c r="Z141" s="548">
        <f t="shared" si="13"/>
        <v>12.833600000000001</v>
      </c>
      <c r="AA141" s="549"/>
      <c r="AB141" s="550"/>
      <c r="AC141" s="35"/>
      <c r="AD141" s="36"/>
      <c r="AE141" s="37"/>
      <c r="AF141" s="35"/>
      <c r="AG141" s="36"/>
      <c r="AH141" s="38"/>
    </row>
    <row r="142" spans="1:34" ht="15.75">
      <c r="A142" s="507"/>
      <c r="B142" s="508"/>
      <c r="C142" s="509"/>
      <c r="D142" s="545" t="s">
        <v>694</v>
      </c>
      <c r="E142" s="546"/>
      <c r="F142" s="546"/>
      <c r="G142" s="546"/>
      <c r="H142" s="546"/>
      <c r="I142" s="547"/>
      <c r="J142" s="47"/>
      <c r="K142" s="551">
        <f t="shared" si="15"/>
        <v>20.8</v>
      </c>
      <c r="L142" s="552"/>
      <c r="M142" s="551"/>
      <c r="N142" s="552"/>
      <c r="O142" s="551">
        <v>1</v>
      </c>
      <c r="P142" s="552"/>
      <c r="Q142" s="551"/>
      <c r="R142" s="552"/>
      <c r="S142" s="551"/>
      <c r="T142" s="552"/>
      <c r="U142" s="551"/>
      <c r="V142" s="552"/>
      <c r="W142" s="548">
        <f t="shared" si="14"/>
        <v>20.8</v>
      </c>
      <c r="X142" s="549"/>
      <c r="Y142" s="550"/>
      <c r="Z142" s="548">
        <f t="shared" si="13"/>
        <v>12.833600000000001</v>
      </c>
      <c r="AA142" s="549"/>
      <c r="AB142" s="550"/>
      <c r="AC142" s="35"/>
      <c r="AD142" s="36"/>
      <c r="AE142" s="37"/>
      <c r="AF142" s="35"/>
      <c r="AG142" s="36"/>
      <c r="AH142" s="38"/>
    </row>
    <row r="143" spans="1:34" ht="15.75">
      <c r="A143" s="507"/>
      <c r="B143" s="508"/>
      <c r="C143" s="509"/>
      <c r="D143" s="545" t="s">
        <v>695</v>
      </c>
      <c r="E143" s="546"/>
      <c r="F143" s="546"/>
      <c r="G143" s="546"/>
      <c r="H143" s="546"/>
      <c r="I143" s="547"/>
      <c r="J143" s="47"/>
      <c r="K143" s="551">
        <f t="shared" si="15"/>
        <v>20.8</v>
      </c>
      <c r="L143" s="552"/>
      <c r="M143" s="551"/>
      <c r="N143" s="552"/>
      <c r="O143" s="551">
        <v>1</v>
      </c>
      <c r="P143" s="552"/>
      <c r="Q143" s="551"/>
      <c r="R143" s="552"/>
      <c r="S143" s="551"/>
      <c r="T143" s="552"/>
      <c r="U143" s="551"/>
      <c r="V143" s="552"/>
      <c r="W143" s="548">
        <f t="shared" si="14"/>
        <v>20.8</v>
      </c>
      <c r="X143" s="549"/>
      <c r="Y143" s="550"/>
      <c r="Z143" s="548">
        <f t="shared" si="13"/>
        <v>12.833600000000001</v>
      </c>
      <c r="AA143" s="549"/>
      <c r="AB143" s="550"/>
      <c r="AC143" s="35"/>
      <c r="AD143" s="36"/>
      <c r="AE143" s="37"/>
      <c r="AF143" s="35"/>
      <c r="AG143" s="36"/>
      <c r="AH143" s="38"/>
    </row>
    <row r="144" spans="1:34" ht="15.75">
      <c r="A144" s="507"/>
      <c r="B144" s="508"/>
      <c r="C144" s="509"/>
      <c r="D144" s="545" t="s">
        <v>696</v>
      </c>
      <c r="E144" s="546"/>
      <c r="F144" s="546"/>
      <c r="G144" s="546"/>
      <c r="H144" s="546"/>
      <c r="I144" s="547"/>
      <c r="J144" s="47"/>
      <c r="K144" s="551">
        <f t="shared" si="15"/>
        <v>20.8</v>
      </c>
      <c r="L144" s="552"/>
      <c r="M144" s="551"/>
      <c r="N144" s="552"/>
      <c r="O144" s="551">
        <v>1</v>
      </c>
      <c r="P144" s="552"/>
      <c r="Q144" s="551"/>
      <c r="R144" s="552"/>
      <c r="S144" s="551"/>
      <c r="T144" s="552"/>
      <c r="U144" s="551"/>
      <c r="V144" s="552"/>
      <c r="W144" s="548">
        <f t="shared" si="14"/>
        <v>20.8</v>
      </c>
      <c r="X144" s="549"/>
      <c r="Y144" s="550"/>
      <c r="Z144" s="548">
        <f t="shared" si="13"/>
        <v>12.833600000000001</v>
      </c>
      <c r="AA144" s="549"/>
      <c r="AB144" s="550"/>
      <c r="AC144" s="35"/>
      <c r="AD144" s="36"/>
      <c r="AE144" s="37"/>
      <c r="AF144" s="35"/>
      <c r="AG144" s="36"/>
      <c r="AH144" s="38"/>
    </row>
    <row r="145" spans="1:34" ht="15.75">
      <c r="A145" s="507"/>
      <c r="B145" s="508"/>
      <c r="C145" s="509"/>
      <c r="D145" s="545" t="s">
        <v>697</v>
      </c>
      <c r="E145" s="546"/>
      <c r="F145" s="546"/>
      <c r="G145" s="546"/>
      <c r="H145" s="546"/>
      <c r="I145" s="547"/>
      <c r="J145" s="47"/>
      <c r="K145" s="551">
        <f t="shared" si="15"/>
        <v>20.8</v>
      </c>
      <c r="L145" s="552"/>
      <c r="M145" s="551"/>
      <c r="N145" s="552"/>
      <c r="O145" s="551">
        <v>1</v>
      </c>
      <c r="P145" s="552"/>
      <c r="Q145" s="551"/>
      <c r="R145" s="552"/>
      <c r="S145" s="551"/>
      <c r="T145" s="552"/>
      <c r="U145" s="551"/>
      <c r="V145" s="552"/>
      <c r="W145" s="548">
        <f t="shared" si="14"/>
        <v>20.8</v>
      </c>
      <c r="X145" s="549"/>
      <c r="Y145" s="550"/>
      <c r="Z145" s="548">
        <f t="shared" si="13"/>
        <v>12.833600000000001</v>
      </c>
      <c r="AA145" s="549"/>
      <c r="AB145" s="550"/>
      <c r="AC145" s="35"/>
      <c r="AD145" s="36"/>
      <c r="AE145" s="37"/>
      <c r="AF145" s="35"/>
      <c r="AG145" s="36"/>
      <c r="AH145" s="38"/>
    </row>
    <row r="146" spans="1:34" ht="15.75">
      <c r="A146" s="507"/>
      <c r="B146" s="508"/>
      <c r="C146" s="509"/>
      <c r="D146" s="545" t="s">
        <v>698</v>
      </c>
      <c r="E146" s="546"/>
      <c r="F146" s="546"/>
      <c r="G146" s="546"/>
      <c r="H146" s="546"/>
      <c r="I146" s="547"/>
      <c r="J146" s="47"/>
      <c r="K146" s="551">
        <f t="shared" si="15"/>
        <v>20.8</v>
      </c>
      <c r="L146" s="552"/>
      <c r="M146" s="551"/>
      <c r="N146" s="552"/>
      <c r="O146" s="551">
        <v>1</v>
      </c>
      <c r="P146" s="552"/>
      <c r="Q146" s="512"/>
      <c r="R146" s="509"/>
      <c r="S146" s="512"/>
      <c r="T146" s="509"/>
      <c r="U146" s="512"/>
      <c r="V146" s="509"/>
      <c r="W146" s="548">
        <f t="shared" si="14"/>
        <v>20.8</v>
      </c>
      <c r="X146" s="549"/>
      <c r="Y146" s="550"/>
      <c r="Z146" s="548">
        <f t="shared" si="13"/>
        <v>12.833600000000001</v>
      </c>
      <c r="AA146" s="549"/>
      <c r="AB146" s="550"/>
      <c r="AC146" s="35"/>
      <c r="AD146" s="36"/>
      <c r="AE146" s="37"/>
      <c r="AF146" s="35"/>
      <c r="AG146" s="36"/>
      <c r="AH146" s="38"/>
    </row>
    <row r="147" spans="1:34" ht="15.75">
      <c r="A147" s="507"/>
      <c r="B147" s="508"/>
      <c r="C147" s="509"/>
      <c r="D147" s="545" t="s">
        <v>699</v>
      </c>
      <c r="E147" s="546"/>
      <c r="F147" s="546"/>
      <c r="G147" s="546"/>
      <c r="H147" s="546"/>
      <c r="I147" s="547"/>
      <c r="J147" s="47"/>
      <c r="K147" s="551">
        <f t="shared" si="15"/>
        <v>20.8</v>
      </c>
      <c r="L147" s="552"/>
      <c r="M147" s="551"/>
      <c r="N147" s="552"/>
      <c r="O147" s="551">
        <v>1</v>
      </c>
      <c r="P147" s="552"/>
      <c r="Q147" s="551"/>
      <c r="R147" s="552"/>
      <c r="S147" s="551"/>
      <c r="T147" s="552"/>
      <c r="U147" s="551"/>
      <c r="V147" s="552"/>
      <c r="W147" s="548">
        <f t="shared" si="14"/>
        <v>20.8</v>
      </c>
      <c r="X147" s="549"/>
      <c r="Y147" s="550"/>
      <c r="Z147" s="548">
        <f t="shared" si="13"/>
        <v>12.833600000000001</v>
      </c>
      <c r="AA147" s="549"/>
      <c r="AB147" s="550"/>
      <c r="AC147" s="35"/>
      <c r="AD147" s="36"/>
      <c r="AE147" s="37"/>
      <c r="AF147" s="35"/>
      <c r="AG147" s="36"/>
      <c r="AH147" s="38"/>
    </row>
    <row r="148" spans="1:34" ht="15.75">
      <c r="A148" s="507"/>
      <c r="B148" s="508"/>
      <c r="C148" s="509"/>
      <c r="D148" s="545" t="s">
        <v>700</v>
      </c>
      <c r="E148" s="546"/>
      <c r="F148" s="546"/>
      <c r="G148" s="546"/>
      <c r="H148" s="546"/>
      <c r="I148" s="547"/>
      <c r="J148" s="47"/>
      <c r="K148" s="551">
        <f t="shared" si="15"/>
        <v>20.8</v>
      </c>
      <c r="L148" s="552"/>
      <c r="M148" s="551"/>
      <c r="N148" s="552"/>
      <c r="O148" s="551">
        <v>1</v>
      </c>
      <c r="P148" s="552"/>
      <c r="Q148" s="551"/>
      <c r="R148" s="552"/>
      <c r="S148" s="551"/>
      <c r="T148" s="552"/>
      <c r="U148" s="551"/>
      <c r="V148" s="552"/>
      <c r="W148" s="548">
        <f t="shared" si="14"/>
        <v>20.8</v>
      </c>
      <c r="X148" s="549"/>
      <c r="Y148" s="550"/>
      <c r="Z148" s="548">
        <f t="shared" si="13"/>
        <v>12.833600000000001</v>
      </c>
      <c r="AA148" s="549"/>
      <c r="AB148" s="550"/>
      <c r="AC148" s="35"/>
      <c r="AD148" s="36"/>
      <c r="AE148" s="37"/>
      <c r="AF148" s="35"/>
      <c r="AG148" s="36"/>
      <c r="AH148" s="38"/>
    </row>
    <row r="149" spans="1:34" ht="15.75">
      <c r="A149" s="507"/>
      <c r="B149" s="508"/>
      <c r="C149" s="509"/>
      <c r="D149" s="545" t="s">
        <v>701</v>
      </c>
      <c r="E149" s="546"/>
      <c r="F149" s="546"/>
      <c r="G149" s="546"/>
      <c r="H149" s="546"/>
      <c r="I149" s="547"/>
      <c r="J149" s="47"/>
      <c r="K149" s="551">
        <f>4*3.37</f>
        <v>13.48</v>
      </c>
      <c r="L149" s="552"/>
      <c r="M149" s="551"/>
      <c r="N149" s="552"/>
      <c r="O149" s="551">
        <v>1</v>
      </c>
      <c r="P149" s="552"/>
      <c r="Q149" s="551"/>
      <c r="R149" s="552"/>
      <c r="S149" s="551"/>
      <c r="T149" s="552"/>
      <c r="U149" s="551"/>
      <c r="V149" s="552"/>
      <c r="W149" s="548">
        <f t="shared" si="14"/>
        <v>13.48</v>
      </c>
      <c r="X149" s="549"/>
      <c r="Y149" s="550"/>
      <c r="Z149" s="548">
        <f t="shared" si="13"/>
        <v>8.3171599999999994</v>
      </c>
      <c r="AA149" s="549"/>
      <c r="AB149" s="550"/>
      <c r="AC149" s="35"/>
      <c r="AD149" s="36"/>
      <c r="AE149" s="37"/>
      <c r="AF149" s="35"/>
      <c r="AG149" s="36"/>
      <c r="AH149" s="38"/>
    </row>
    <row r="150" spans="1:34" ht="15.75">
      <c r="A150" s="507"/>
      <c r="B150" s="508"/>
      <c r="C150" s="509"/>
      <c r="D150" s="545" t="s">
        <v>702</v>
      </c>
      <c r="E150" s="546"/>
      <c r="F150" s="546"/>
      <c r="G150" s="546"/>
      <c r="H150" s="546"/>
      <c r="I150" s="547"/>
      <c r="J150" s="47"/>
      <c r="K150" s="551">
        <f>4*3.37</f>
        <v>13.48</v>
      </c>
      <c r="L150" s="552"/>
      <c r="M150" s="551"/>
      <c r="N150" s="552"/>
      <c r="O150" s="551">
        <v>1</v>
      </c>
      <c r="P150" s="552"/>
      <c r="Q150" s="551"/>
      <c r="R150" s="552"/>
      <c r="S150" s="551"/>
      <c r="T150" s="552"/>
      <c r="U150" s="551"/>
      <c r="V150" s="552"/>
      <c r="W150" s="548">
        <f t="shared" si="14"/>
        <v>13.48</v>
      </c>
      <c r="X150" s="549"/>
      <c r="Y150" s="550"/>
      <c r="Z150" s="548">
        <f t="shared" si="13"/>
        <v>8.3171599999999994</v>
      </c>
      <c r="AA150" s="549"/>
      <c r="AB150" s="550"/>
      <c r="AC150" s="35"/>
      <c r="AD150" s="36"/>
      <c r="AE150" s="37"/>
      <c r="AF150" s="35"/>
      <c r="AG150" s="36"/>
      <c r="AH150" s="38"/>
    </row>
    <row r="151" spans="1:34" ht="15.75">
      <c r="A151" s="507"/>
      <c r="B151" s="508"/>
      <c r="C151" s="509"/>
      <c r="D151" s="545" t="s">
        <v>703</v>
      </c>
      <c r="E151" s="546"/>
      <c r="F151" s="546"/>
      <c r="G151" s="546"/>
      <c r="H151" s="546"/>
      <c r="I151" s="547"/>
      <c r="J151" s="47"/>
      <c r="K151" s="551">
        <f>4*3.37</f>
        <v>13.48</v>
      </c>
      <c r="L151" s="552"/>
      <c r="M151" s="551"/>
      <c r="N151" s="552"/>
      <c r="O151" s="551">
        <v>1</v>
      </c>
      <c r="P151" s="552"/>
      <c r="Q151" s="551"/>
      <c r="R151" s="552"/>
      <c r="S151" s="551"/>
      <c r="T151" s="552"/>
      <c r="U151" s="551"/>
      <c r="V151" s="552"/>
      <c r="W151" s="548">
        <f t="shared" si="14"/>
        <v>13.48</v>
      </c>
      <c r="X151" s="549"/>
      <c r="Y151" s="550"/>
      <c r="Z151" s="548">
        <f t="shared" si="13"/>
        <v>8.3171599999999994</v>
      </c>
      <c r="AA151" s="549"/>
      <c r="AB151" s="550"/>
      <c r="AC151" s="35"/>
      <c r="AD151" s="36"/>
      <c r="AE151" s="37"/>
      <c r="AF151" s="35"/>
      <c r="AG151" s="36"/>
      <c r="AH151" s="38"/>
    </row>
    <row r="152" spans="1:34" ht="15.75">
      <c r="A152" s="507"/>
      <c r="B152" s="508"/>
      <c r="C152" s="509"/>
      <c r="D152" s="545" t="s">
        <v>704</v>
      </c>
      <c r="E152" s="546"/>
      <c r="F152" s="546"/>
      <c r="G152" s="546"/>
      <c r="H152" s="546"/>
      <c r="I152" s="547"/>
      <c r="J152" s="47"/>
      <c r="K152" s="551">
        <f>4*3.37</f>
        <v>13.48</v>
      </c>
      <c r="L152" s="552"/>
      <c r="M152" s="551"/>
      <c r="N152" s="552"/>
      <c r="O152" s="551">
        <v>1</v>
      </c>
      <c r="P152" s="552"/>
      <c r="Q152" s="551"/>
      <c r="R152" s="552"/>
      <c r="S152" s="551"/>
      <c r="T152" s="552"/>
      <c r="U152" s="551"/>
      <c r="V152" s="552"/>
      <c r="W152" s="548">
        <f t="shared" si="14"/>
        <v>13.48</v>
      </c>
      <c r="X152" s="549"/>
      <c r="Y152" s="550"/>
      <c r="Z152" s="548">
        <f t="shared" si="13"/>
        <v>8.3171599999999994</v>
      </c>
      <c r="AA152" s="549"/>
      <c r="AB152" s="550"/>
      <c r="AC152" s="35"/>
      <c r="AD152" s="36"/>
      <c r="AE152" s="37"/>
      <c r="AF152" s="35"/>
      <c r="AG152" s="36"/>
      <c r="AH152" s="38"/>
    </row>
    <row r="153" spans="1:34" ht="15.75">
      <c r="A153" s="507"/>
      <c r="B153" s="508"/>
      <c r="C153" s="509"/>
      <c r="D153" s="545" t="s">
        <v>705</v>
      </c>
      <c r="E153" s="546"/>
      <c r="F153" s="546"/>
      <c r="G153" s="546"/>
      <c r="H153" s="546"/>
      <c r="I153" s="547"/>
      <c r="J153" s="47"/>
      <c r="K153" s="551">
        <f>6*3.37</f>
        <v>20.22</v>
      </c>
      <c r="L153" s="552"/>
      <c r="M153" s="551"/>
      <c r="N153" s="552"/>
      <c r="O153" s="551">
        <v>1</v>
      </c>
      <c r="P153" s="552"/>
      <c r="Q153" s="551"/>
      <c r="R153" s="552"/>
      <c r="S153" s="551"/>
      <c r="T153" s="552"/>
      <c r="U153" s="551"/>
      <c r="V153" s="552"/>
      <c r="W153" s="548">
        <f t="shared" si="14"/>
        <v>20.22</v>
      </c>
      <c r="X153" s="549"/>
      <c r="Y153" s="550"/>
      <c r="Z153" s="548">
        <f t="shared" si="13"/>
        <v>12.475739999999998</v>
      </c>
      <c r="AA153" s="549"/>
      <c r="AB153" s="550"/>
      <c r="AC153" s="35"/>
      <c r="AD153" s="36"/>
      <c r="AE153" s="37"/>
      <c r="AF153" s="35"/>
      <c r="AG153" s="36"/>
      <c r="AH153" s="38"/>
    </row>
    <row r="154" spans="1:34" ht="15.75">
      <c r="A154" s="507"/>
      <c r="B154" s="508"/>
      <c r="C154" s="509"/>
      <c r="D154" s="545" t="s">
        <v>706</v>
      </c>
      <c r="E154" s="546"/>
      <c r="F154" s="546"/>
      <c r="G154" s="546"/>
      <c r="H154" s="546"/>
      <c r="I154" s="547"/>
      <c r="J154" s="47"/>
      <c r="K154" s="551">
        <f>6*3.37</f>
        <v>20.22</v>
      </c>
      <c r="L154" s="552"/>
      <c r="M154" s="551"/>
      <c r="N154" s="552"/>
      <c r="O154" s="551">
        <v>1</v>
      </c>
      <c r="P154" s="552"/>
      <c r="Q154" s="512"/>
      <c r="R154" s="509"/>
      <c r="S154" s="512"/>
      <c r="T154" s="509"/>
      <c r="U154" s="512"/>
      <c r="V154" s="509"/>
      <c r="W154" s="548">
        <f t="shared" si="14"/>
        <v>20.22</v>
      </c>
      <c r="X154" s="549"/>
      <c r="Y154" s="550"/>
      <c r="Z154" s="548">
        <f t="shared" si="13"/>
        <v>12.475739999999998</v>
      </c>
      <c r="AA154" s="549"/>
      <c r="AB154" s="550"/>
      <c r="AC154" s="35"/>
      <c r="AD154" s="36"/>
      <c r="AE154" s="37"/>
      <c r="AF154" s="35"/>
      <c r="AG154" s="36"/>
      <c r="AH154" s="38"/>
    </row>
    <row r="155" spans="1:34" ht="15.75">
      <c r="A155" s="507"/>
      <c r="B155" s="508"/>
      <c r="C155" s="509"/>
      <c r="D155" s="545" t="s">
        <v>707</v>
      </c>
      <c r="E155" s="546"/>
      <c r="F155" s="546"/>
      <c r="G155" s="546"/>
      <c r="H155" s="546"/>
      <c r="I155" s="547"/>
      <c r="J155" s="47"/>
      <c r="K155" s="551">
        <f>((6*3.73)+(6*1.47))</f>
        <v>31.2</v>
      </c>
      <c r="L155" s="552"/>
      <c r="M155" s="551"/>
      <c r="N155" s="552"/>
      <c r="O155" s="551">
        <v>1</v>
      </c>
      <c r="P155" s="552"/>
      <c r="Q155" s="551"/>
      <c r="R155" s="552"/>
      <c r="S155" s="551"/>
      <c r="T155" s="552"/>
      <c r="U155" s="551"/>
      <c r="V155" s="552"/>
      <c r="W155" s="548">
        <f t="shared" si="14"/>
        <v>31.2</v>
      </c>
      <c r="X155" s="549"/>
      <c r="Y155" s="550"/>
      <c r="Z155" s="548">
        <f t="shared" si="13"/>
        <v>19.250399999999999</v>
      </c>
      <c r="AA155" s="549"/>
      <c r="AB155" s="550"/>
      <c r="AC155" s="35"/>
      <c r="AD155" s="36"/>
      <c r="AE155" s="37"/>
      <c r="AF155" s="35"/>
      <c r="AG155" s="36"/>
      <c r="AH155" s="38"/>
    </row>
    <row r="156" spans="1:34" ht="15.75">
      <c r="A156" s="507"/>
      <c r="B156" s="508"/>
      <c r="C156" s="509"/>
      <c r="D156" s="545" t="s">
        <v>708</v>
      </c>
      <c r="E156" s="546"/>
      <c r="F156" s="546"/>
      <c r="G156" s="546"/>
      <c r="H156" s="546"/>
      <c r="I156" s="547"/>
      <c r="J156" s="47"/>
      <c r="K156" s="551">
        <f>((8*3.73)+(8*1.47))</f>
        <v>41.6</v>
      </c>
      <c r="L156" s="552"/>
      <c r="M156" s="551"/>
      <c r="N156" s="552"/>
      <c r="O156" s="551">
        <v>1</v>
      </c>
      <c r="P156" s="552"/>
      <c r="Q156" s="551"/>
      <c r="R156" s="552"/>
      <c r="S156" s="551"/>
      <c r="T156" s="552"/>
      <c r="U156" s="551"/>
      <c r="V156" s="552"/>
      <c r="W156" s="548">
        <f t="shared" si="14"/>
        <v>41.6</v>
      </c>
      <c r="X156" s="549"/>
      <c r="Y156" s="550"/>
      <c r="Z156" s="548">
        <f t="shared" si="13"/>
        <v>25.667200000000001</v>
      </c>
      <c r="AA156" s="549"/>
      <c r="AB156" s="550"/>
      <c r="AC156" s="35"/>
      <c r="AD156" s="36"/>
      <c r="AE156" s="37"/>
      <c r="AF156" s="35"/>
      <c r="AG156" s="36"/>
      <c r="AH156" s="38"/>
    </row>
    <row r="157" spans="1:34" ht="15.75">
      <c r="A157" s="507"/>
      <c r="B157" s="508"/>
      <c r="C157" s="509"/>
      <c r="D157" s="556" t="s">
        <v>709</v>
      </c>
      <c r="E157" s="557"/>
      <c r="F157" s="557"/>
      <c r="G157" s="557"/>
      <c r="H157" s="557"/>
      <c r="I157" s="558"/>
      <c r="J157" s="47"/>
      <c r="K157" s="551"/>
      <c r="L157" s="552"/>
      <c r="M157" s="551"/>
      <c r="N157" s="552"/>
      <c r="O157" s="551"/>
      <c r="P157" s="552"/>
      <c r="Q157" s="551"/>
      <c r="R157" s="552"/>
      <c r="S157" s="551"/>
      <c r="T157" s="552"/>
      <c r="U157" s="551"/>
      <c r="V157" s="552"/>
      <c r="W157" s="548">
        <f t="shared" si="14"/>
        <v>0</v>
      </c>
      <c r="X157" s="549"/>
      <c r="Y157" s="550"/>
      <c r="Z157" s="548">
        <f t="shared" si="13"/>
        <v>0</v>
      </c>
      <c r="AA157" s="549"/>
      <c r="AB157" s="550"/>
      <c r="AC157" s="35"/>
      <c r="AD157" s="36"/>
      <c r="AE157" s="37"/>
      <c r="AF157" s="35"/>
      <c r="AG157" s="36"/>
      <c r="AH157" s="38"/>
    </row>
    <row r="158" spans="1:34" ht="15.75">
      <c r="A158" s="507"/>
      <c r="B158" s="508"/>
      <c r="C158" s="509"/>
      <c r="D158" s="545" t="s">
        <v>710</v>
      </c>
      <c r="E158" s="546"/>
      <c r="F158" s="546"/>
      <c r="G158" s="546"/>
      <c r="H158" s="546"/>
      <c r="I158" s="547"/>
      <c r="J158" s="47"/>
      <c r="K158" s="551">
        <f>((4*3.73)+(4*1.47))</f>
        <v>20.8</v>
      </c>
      <c r="L158" s="552"/>
      <c r="M158" s="551"/>
      <c r="N158" s="552"/>
      <c r="O158" s="551">
        <v>1</v>
      </c>
      <c r="P158" s="552"/>
      <c r="Q158" s="551"/>
      <c r="R158" s="552"/>
      <c r="S158" s="551"/>
      <c r="T158" s="552"/>
      <c r="U158" s="551"/>
      <c r="V158" s="552"/>
      <c r="W158" s="548">
        <f t="shared" si="14"/>
        <v>20.8</v>
      </c>
      <c r="X158" s="549"/>
      <c r="Y158" s="550"/>
      <c r="Z158" s="548">
        <f t="shared" si="13"/>
        <v>12.833600000000001</v>
      </c>
      <c r="AA158" s="549"/>
      <c r="AB158" s="550"/>
      <c r="AC158" s="35"/>
      <c r="AD158" s="36"/>
      <c r="AE158" s="37"/>
      <c r="AF158" s="35"/>
      <c r="AG158" s="36"/>
      <c r="AH158" s="38"/>
    </row>
    <row r="159" spans="1:34" ht="15.75">
      <c r="A159" s="507"/>
      <c r="B159" s="508"/>
      <c r="C159" s="509"/>
      <c r="D159" s="545" t="s">
        <v>711</v>
      </c>
      <c r="E159" s="546"/>
      <c r="F159" s="546"/>
      <c r="G159" s="546"/>
      <c r="H159" s="546"/>
      <c r="I159" s="547"/>
      <c r="J159" s="47"/>
      <c r="K159" s="551">
        <f>4*3.37</f>
        <v>13.48</v>
      </c>
      <c r="L159" s="552"/>
      <c r="M159" s="551"/>
      <c r="N159" s="552"/>
      <c r="O159" s="551">
        <v>1</v>
      </c>
      <c r="P159" s="552"/>
      <c r="Q159" s="551"/>
      <c r="R159" s="552"/>
      <c r="S159" s="551"/>
      <c r="T159" s="552"/>
      <c r="U159" s="551"/>
      <c r="V159" s="552"/>
      <c r="W159" s="548">
        <f t="shared" si="14"/>
        <v>13.48</v>
      </c>
      <c r="X159" s="549"/>
      <c r="Y159" s="550"/>
      <c r="Z159" s="548">
        <f t="shared" si="13"/>
        <v>8.3171599999999994</v>
      </c>
      <c r="AA159" s="549"/>
      <c r="AB159" s="550"/>
      <c r="AC159" s="35"/>
      <c r="AD159" s="36"/>
      <c r="AE159" s="37"/>
      <c r="AF159" s="35"/>
      <c r="AG159" s="36"/>
      <c r="AH159" s="38"/>
    </row>
    <row r="160" spans="1:34" ht="15.75">
      <c r="A160" s="507"/>
      <c r="B160" s="508"/>
      <c r="C160" s="509"/>
      <c r="D160" s="545" t="s">
        <v>712</v>
      </c>
      <c r="E160" s="546"/>
      <c r="F160" s="546"/>
      <c r="G160" s="546"/>
      <c r="H160" s="546"/>
      <c r="I160" s="547"/>
      <c r="J160" s="47"/>
      <c r="K160" s="551">
        <f>4*3.37</f>
        <v>13.48</v>
      </c>
      <c r="L160" s="552"/>
      <c r="M160" s="551"/>
      <c r="N160" s="552"/>
      <c r="O160" s="551">
        <v>1</v>
      </c>
      <c r="P160" s="552"/>
      <c r="Q160" s="551"/>
      <c r="R160" s="552"/>
      <c r="S160" s="551"/>
      <c r="T160" s="552"/>
      <c r="U160" s="551"/>
      <c r="V160" s="552"/>
      <c r="W160" s="548">
        <f t="shared" si="14"/>
        <v>13.48</v>
      </c>
      <c r="X160" s="549"/>
      <c r="Y160" s="550"/>
      <c r="Z160" s="548">
        <f t="shared" si="13"/>
        <v>8.3171599999999994</v>
      </c>
      <c r="AA160" s="549"/>
      <c r="AB160" s="550"/>
      <c r="AC160" s="35"/>
      <c r="AD160" s="36"/>
      <c r="AE160" s="37"/>
      <c r="AF160" s="35"/>
      <c r="AG160" s="36"/>
      <c r="AH160" s="38"/>
    </row>
    <row r="161" spans="1:34" ht="15.75">
      <c r="A161" s="507"/>
      <c r="B161" s="508"/>
      <c r="C161" s="509"/>
      <c r="D161" s="545" t="s">
        <v>713</v>
      </c>
      <c r="E161" s="546"/>
      <c r="F161" s="546"/>
      <c r="G161" s="546"/>
      <c r="H161" s="546"/>
      <c r="I161" s="547"/>
      <c r="J161" s="47"/>
      <c r="K161" s="551">
        <f>4*3.37</f>
        <v>13.48</v>
      </c>
      <c r="L161" s="552"/>
      <c r="M161" s="551"/>
      <c r="N161" s="552"/>
      <c r="O161" s="551">
        <v>1</v>
      </c>
      <c r="P161" s="552"/>
      <c r="Q161" s="551"/>
      <c r="R161" s="552"/>
      <c r="S161" s="551"/>
      <c r="T161" s="552"/>
      <c r="U161" s="551"/>
      <c r="V161" s="552"/>
      <c r="W161" s="548">
        <f t="shared" si="14"/>
        <v>13.48</v>
      </c>
      <c r="X161" s="549"/>
      <c r="Y161" s="550"/>
      <c r="Z161" s="548">
        <f t="shared" si="13"/>
        <v>8.3171599999999994</v>
      </c>
      <c r="AA161" s="549"/>
      <c r="AB161" s="550"/>
      <c r="AC161" s="35"/>
      <c r="AD161" s="36"/>
      <c r="AE161" s="37"/>
      <c r="AF161" s="35"/>
      <c r="AG161" s="36"/>
      <c r="AH161" s="38"/>
    </row>
    <row r="162" spans="1:34" ht="15.75">
      <c r="A162" s="507"/>
      <c r="B162" s="508"/>
      <c r="C162" s="509"/>
      <c r="D162" s="545" t="s">
        <v>714</v>
      </c>
      <c r="E162" s="546"/>
      <c r="F162" s="546"/>
      <c r="G162" s="546"/>
      <c r="H162" s="546"/>
      <c r="I162" s="547"/>
      <c r="J162" s="47"/>
      <c r="K162" s="551">
        <f>4*3.37</f>
        <v>13.48</v>
      </c>
      <c r="L162" s="552"/>
      <c r="M162" s="551"/>
      <c r="N162" s="552"/>
      <c r="O162" s="551">
        <v>1</v>
      </c>
      <c r="P162" s="552"/>
      <c r="Q162" s="512"/>
      <c r="R162" s="509"/>
      <c r="S162" s="512"/>
      <c r="T162" s="509"/>
      <c r="U162" s="512"/>
      <c r="V162" s="509"/>
      <c r="W162" s="548">
        <f t="shared" si="14"/>
        <v>13.48</v>
      </c>
      <c r="X162" s="549"/>
      <c r="Y162" s="550"/>
      <c r="Z162" s="548">
        <f t="shared" si="13"/>
        <v>8.3171599999999994</v>
      </c>
      <c r="AA162" s="549"/>
      <c r="AB162" s="550"/>
      <c r="AC162" s="35"/>
      <c r="AD162" s="36"/>
      <c r="AE162" s="37"/>
      <c r="AF162" s="35"/>
      <c r="AG162" s="36"/>
      <c r="AH162" s="38"/>
    </row>
    <row r="163" spans="1:34" ht="15.75">
      <c r="A163" s="507"/>
      <c r="B163" s="508"/>
      <c r="C163" s="509"/>
      <c r="D163" s="545" t="s">
        <v>715</v>
      </c>
      <c r="E163" s="546"/>
      <c r="F163" s="546"/>
      <c r="G163" s="546"/>
      <c r="H163" s="546"/>
      <c r="I163" s="547"/>
      <c r="J163" s="47"/>
      <c r="K163" s="551">
        <f>4*3.37</f>
        <v>13.48</v>
      </c>
      <c r="L163" s="552"/>
      <c r="M163" s="551"/>
      <c r="N163" s="552"/>
      <c r="O163" s="551">
        <v>1</v>
      </c>
      <c r="P163" s="552"/>
      <c r="Q163" s="551"/>
      <c r="R163" s="552"/>
      <c r="S163" s="551"/>
      <c r="T163" s="552"/>
      <c r="U163" s="551"/>
      <c r="V163" s="552"/>
      <c r="W163" s="548">
        <f t="shared" si="14"/>
        <v>13.48</v>
      </c>
      <c r="X163" s="549"/>
      <c r="Y163" s="550"/>
      <c r="Z163" s="548">
        <f t="shared" si="13"/>
        <v>8.3171599999999994</v>
      </c>
      <c r="AA163" s="549"/>
      <c r="AB163" s="550"/>
      <c r="AC163" s="35"/>
      <c r="AD163" s="36"/>
      <c r="AE163" s="37"/>
      <c r="AF163" s="35"/>
      <c r="AG163" s="36"/>
      <c r="AH163" s="38"/>
    </row>
    <row r="164" spans="1:34" ht="15.75">
      <c r="A164" s="507"/>
      <c r="B164" s="508"/>
      <c r="C164" s="509"/>
      <c r="D164" s="545" t="s">
        <v>716</v>
      </c>
      <c r="E164" s="546"/>
      <c r="F164" s="546"/>
      <c r="G164" s="546"/>
      <c r="H164" s="546"/>
      <c r="I164" s="547"/>
      <c r="J164" s="47"/>
      <c r="K164" s="551">
        <f>8*3.37</f>
        <v>26.96</v>
      </c>
      <c r="L164" s="552"/>
      <c r="M164" s="551"/>
      <c r="N164" s="552"/>
      <c r="O164" s="551">
        <v>1</v>
      </c>
      <c r="P164" s="552"/>
      <c r="Q164" s="551"/>
      <c r="R164" s="552"/>
      <c r="S164" s="551"/>
      <c r="T164" s="552"/>
      <c r="U164" s="551"/>
      <c r="V164" s="552"/>
      <c r="W164" s="548">
        <f t="shared" si="14"/>
        <v>26.96</v>
      </c>
      <c r="X164" s="549"/>
      <c r="Y164" s="550"/>
      <c r="Z164" s="548">
        <f t="shared" si="13"/>
        <v>16.634319999999999</v>
      </c>
      <c r="AA164" s="549"/>
      <c r="AB164" s="550"/>
      <c r="AC164" s="35"/>
      <c r="AD164" s="36"/>
      <c r="AE164" s="37"/>
      <c r="AF164" s="35"/>
      <c r="AG164" s="36"/>
      <c r="AH164" s="38"/>
    </row>
    <row r="165" spans="1:34" ht="15.75">
      <c r="A165" s="507"/>
      <c r="B165" s="508"/>
      <c r="C165" s="509"/>
      <c r="D165" s="545" t="s">
        <v>717</v>
      </c>
      <c r="E165" s="546"/>
      <c r="F165" s="546"/>
      <c r="G165" s="546"/>
      <c r="H165" s="546"/>
      <c r="I165" s="547"/>
      <c r="J165" s="47"/>
      <c r="K165" s="551">
        <f>((6*3.73)+(6*1.47))</f>
        <v>31.2</v>
      </c>
      <c r="L165" s="552"/>
      <c r="M165" s="551"/>
      <c r="N165" s="552"/>
      <c r="O165" s="551">
        <v>1</v>
      </c>
      <c r="P165" s="552"/>
      <c r="Q165" s="551"/>
      <c r="R165" s="552"/>
      <c r="S165" s="551"/>
      <c r="T165" s="552"/>
      <c r="U165" s="551"/>
      <c r="V165" s="552"/>
      <c r="W165" s="548">
        <f t="shared" si="14"/>
        <v>31.2</v>
      </c>
      <c r="X165" s="549"/>
      <c r="Y165" s="550"/>
      <c r="Z165" s="548">
        <f t="shared" si="13"/>
        <v>19.250399999999999</v>
      </c>
      <c r="AA165" s="549"/>
      <c r="AB165" s="550"/>
      <c r="AC165" s="35"/>
      <c r="AD165" s="36"/>
      <c r="AE165" s="37"/>
      <c r="AF165" s="35"/>
      <c r="AG165" s="36"/>
      <c r="AH165" s="38"/>
    </row>
    <row r="166" spans="1:34" ht="15.75">
      <c r="A166" s="507"/>
      <c r="B166" s="508"/>
      <c r="C166" s="509"/>
      <c r="D166" s="545" t="s">
        <v>718</v>
      </c>
      <c r="E166" s="546"/>
      <c r="F166" s="546"/>
      <c r="G166" s="546"/>
      <c r="H166" s="546"/>
      <c r="I166" s="547"/>
      <c r="J166" s="47"/>
      <c r="K166" s="551">
        <f>6*3.37</f>
        <v>20.22</v>
      </c>
      <c r="L166" s="552"/>
      <c r="M166" s="551"/>
      <c r="N166" s="552"/>
      <c r="O166" s="551">
        <v>1</v>
      </c>
      <c r="P166" s="552"/>
      <c r="Q166" s="551"/>
      <c r="R166" s="552"/>
      <c r="S166" s="551"/>
      <c r="T166" s="552"/>
      <c r="U166" s="551"/>
      <c r="V166" s="552"/>
      <c r="W166" s="548">
        <f t="shared" si="14"/>
        <v>20.22</v>
      </c>
      <c r="X166" s="549"/>
      <c r="Y166" s="550"/>
      <c r="Z166" s="548">
        <f t="shared" si="13"/>
        <v>12.475739999999998</v>
      </c>
      <c r="AA166" s="549"/>
      <c r="AB166" s="550"/>
      <c r="AC166" s="35"/>
      <c r="AD166" s="36"/>
      <c r="AE166" s="37"/>
      <c r="AF166" s="35"/>
      <c r="AG166" s="36"/>
      <c r="AH166" s="38"/>
    </row>
    <row r="167" spans="1:34" ht="15.75">
      <c r="A167" s="507"/>
      <c r="B167" s="508"/>
      <c r="C167" s="509"/>
      <c r="D167" s="545" t="s">
        <v>719</v>
      </c>
      <c r="E167" s="546"/>
      <c r="F167" s="546"/>
      <c r="G167" s="546"/>
      <c r="H167" s="546"/>
      <c r="I167" s="547"/>
      <c r="J167" s="47"/>
      <c r="K167" s="551">
        <f>((6*3.73)+(6*1.47))</f>
        <v>31.2</v>
      </c>
      <c r="L167" s="552"/>
      <c r="M167" s="551"/>
      <c r="N167" s="552"/>
      <c r="O167" s="551">
        <v>1</v>
      </c>
      <c r="P167" s="552"/>
      <c r="Q167" s="551"/>
      <c r="R167" s="552"/>
      <c r="S167" s="551"/>
      <c r="T167" s="552"/>
      <c r="U167" s="551"/>
      <c r="V167" s="552"/>
      <c r="W167" s="548">
        <f t="shared" si="14"/>
        <v>31.2</v>
      </c>
      <c r="X167" s="549"/>
      <c r="Y167" s="550"/>
      <c r="Z167" s="548">
        <f t="shared" si="13"/>
        <v>19.250399999999999</v>
      </c>
      <c r="AA167" s="549"/>
      <c r="AB167" s="550"/>
      <c r="AC167" s="35"/>
      <c r="AD167" s="36"/>
      <c r="AE167" s="37"/>
      <c r="AF167" s="35"/>
      <c r="AG167" s="36"/>
      <c r="AH167" s="38"/>
    </row>
    <row r="168" spans="1:34" ht="15.75">
      <c r="A168" s="507"/>
      <c r="B168" s="508"/>
      <c r="C168" s="509"/>
      <c r="D168" s="545" t="s">
        <v>720</v>
      </c>
      <c r="E168" s="546"/>
      <c r="F168" s="546"/>
      <c r="G168" s="546"/>
      <c r="H168" s="546"/>
      <c r="I168" s="547"/>
      <c r="J168" s="47"/>
      <c r="K168" s="551">
        <f>((4*3.73)+(4*1.47))</f>
        <v>20.8</v>
      </c>
      <c r="L168" s="552"/>
      <c r="M168" s="551"/>
      <c r="N168" s="552"/>
      <c r="O168" s="551">
        <v>1</v>
      </c>
      <c r="P168" s="552"/>
      <c r="Q168" s="551"/>
      <c r="R168" s="552"/>
      <c r="S168" s="551"/>
      <c r="T168" s="552"/>
      <c r="U168" s="551"/>
      <c r="V168" s="552"/>
      <c r="W168" s="548">
        <f t="shared" si="14"/>
        <v>20.8</v>
      </c>
      <c r="X168" s="549"/>
      <c r="Y168" s="550"/>
      <c r="Z168" s="548">
        <f t="shared" si="13"/>
        <v>12.833600000000001</v>
      </c>
      <c r="AA168" s="549"/>
      <c r="AB168" s="550"/>
      <c r="AC168" s="35"/>
      <c r="AD168" s="36"/>
      <c r="AE168" s="37"/>
      <c r="AF168" s="35"/>
      <c r="AG168" s="36"/>
      <c r="AH168" s="38"/>
    </row>
    <row r="169" spans="1:34" ht="15.75">
      <c r="A169" s="507"/>
      <c r="B169" s="508"/>
      <c r="C169" s="509"/>
      <c r="D169" s="545" t="s">
        <v>721</v>
      </c>
      <c r="E169" s="546"/>
      <c r="F169" s="546"/>
      <c r="G169" s="546"/>
      <c r="H169" s="546"/>
      <c r="I169" s="547"/>
      <c r="J169" s="47"/>
      <c r="K169" s="551">
        <f>4*3.37</f>
        <v>13.48</v>
      </c>
      <c r="L169" s="552"/>
      <c r="M169" s="551"/>
      <c r="N169" s="552"/>
      <c r="O169" s="551">
        <v>1</v>
      </c>
      <c r="P169" s="552"/>
      <c r="Q169" s="551"/>
      <c r="R169" s="552"/>
      <c r="S169" s="551"/>
      <c r="T169" s="552"/>
      <c r="U169" s="551"/>
      <c r="V169" s="552"/>
      <c r="W169" s="548">
        <f t="shared" si="14"/>
        <v>13.48</v>
      </c>
      <c r="X169" s="549"/>
      <c r="Y169" s="550"/>
      <c r="Z169" s="548">
        <f t="shared" si="13"/>
        <v>8.3171599999999994</v>
      </c>
      <c r="AA169" s="549"/>
      <c r="AB169" s="550"/>
      <c r="AC169" s="35"/>
      <c r="AD169" s="36"/>
      <c r="AE169" s="37"/>
      <c r="AF169" s="35"/>
      <c r="AG169" s="36"/>
      <c r="AH169" s="38"/>
    </row>
    <row r="170" spans="1:34" ht="15.75">
      <c r="A170" s="507"/>
      <c r="B170" s="508"/>
      <c r="C170" s="509"/>
      <c r="D170" s="545" t="s">
        <v>722</v>
      </c>
      <c r="E170" s="546"/>
      <c r="F170" s="546"/>
      <c r="G170" s="546"/>
      <c r="H170" s="546"/>
      <c r="I170" s="547"/>
      <c r="J170" s="47"/>
      <c r="K170" s="551">
        <f>4*3.37</f>
        <v>13.48</v>
      </c>
      <c r="L170" s="552"/>
      <c r="M170" s="551"/>
      <c r="N170" s="552"/>
      <c r="O170" s="551">
        <v>1</v>
      </c>
      <c r="P170" s="552"/>
      <c r="Q170" s="512"/>
      <c r="R170" s="509"/>
      <c r="S170" s="512"/>
      <c r="T170" s="509"/>
      <c r="U170" s="512"/>
      <c r="V170" s="509"/>
      <c r="W170" s="548">
        <f t="shared" si="14"/>
        <v>13.48</v>
      </c>
      <c r="X170" s="549"/>
      <c r="Y170" s="550"/>
      <c r="Z170" s="548">
        <f t="shared" si="13"/>
        <v>8.3171599999999994</v>
      </c>
      <c r="AA170" s="549"/>
      <c r="AB170" s="550"/>
      <c r="AC170" s="35"/>
      <c r="AD170" s="36"/>
      <c r="AE170" s="37"/>
      <c r="AF170" s="35"/>
      <c r="AG170" s="36"/>
      <c r="AH170" s="38"/>
    </row>
    <row r="171" spans="1:34" ht="15.75">
      <c r="A171" s="507"/>
      <c r="B171" s="508"/>
      <c r="C171" s="509"/>
      <c r="D171" s="545" t="s">
        <v>723</v>
      </c>
      <c r="E171" s="546"/>
      <c r="F171" s="546"/>
      <c r="G171" s="546"/>
      <c r="H171" s="546"/>
      <c r="I171" s="547"/>
      <c r="J171" s="47"/>
      <c r="K171" s="551">
        <f>4*3.37</f>
        <v>13.48</v>
      </c>
      <c r="L171" s="552"/>
      <c r="M171" s="551"/>
      <c r="N171" s="552"/>
      <c r="O171" s="551">
        <v>1</v>
      </c>
      <c r="P171" s="552"/>
      <c r="Q171" s="551"/>
      <c r="R171" s="552"/>
      <c r="S171" s="551"/>
      <c r="T171" s="552"/>
      <c r="U171" s="551"/>
      <c r="V171" s="552"/>
      <c r="W171" s="548">
        <f t="shared" si="14"/>
        <v>13.48</v>
      </c>
      <c r="X171" s="549"/>
      <c r="Y171" s="550"/>
      <c r="Z171" s="548">
        <f t="shared" si="13"/>
        <v>8.3171599999999994</v>
      </c>
      <c r="AA171" s="549"/>
      <c r="AB171" s="550"/>
      <c r="AC171" s="35"/>
      <c r="AD171" s="36"/>
      <c r="AE171" s="37"/>
      <c r="AF171" s="35"/>
      <c r="AG171" s="36"/>
      <c r="AH171" s="38"/>
    </row>
    <row r="172" spans="1:34" ht="15.75">
      <c r="A172" s="507"/>
      <c r="B172" s="508"/>
      <c r="C172" s="509"/>
      <c r="D172" s="545" t="s">
        <v>724</v>
      </c>
      <c r="E172" s="546"/>
      <c r="F172" s="546"/>
      <c r="G172" s="546"/>
      <c r="H172" s="546"/>
      <c r="I172" s="547"/>
      <c r="J172" s="47"/>
      <c r="K172" s="551">
        <f>4*3.37</f>
        <v>13.48</v>
      </c>
      <c r="L172" s="552"/>
      <c r="M172" s="551"/>
      <c r="N172" s="552"/>
      <c r="O172" s="551">
        <v>1</v>
      </c>
      <c r="P172" s="552"/>
      <c r="Q172" s="551"/>
      <c r="R172" s="552"/>
      <c r="S172" s="551"/>
      <c r="T172" s="552"/>
      <c r="U172" s="551"/>
      <c r="V172" s="552"/>
      <c r="W172" s="548">
        <f t="shared" si="14"/>
        <v>13.48</v>
      </c>
      <c r="X172" s="549"/>
      <c r="Y172" s="550"/>
      <c r="Z172" s="548">
        <f t="shared" si="13"/>
        <v>8.3171599999999994</v>
      </c>
      <c r="AA172" s="549"/>
      <c r="AB172" s="550"/>
      <c r="AC172" s="35"/>
      <c r="AD172" s="36"/>
      <c r="AE172" s="37"/>
      <c r="AF172" s="35"/>
      <c r="AG172" s="36"/>
      <c r="AH172" s="38"/>
    </row>
    <row r="173" spans="1:34" ht="15.75">
      <c r="A173" s="507"/>
      <c r="B173" s="508"/>
      <c r="C173" s="509"/>
      <c r="D173" s="545" t="s">
        <v>725</v>
      </c>
      <c r="E173" s="546"/>
      <c r="F173" s="546"/>
      <c r="G173" s="546"/>
      <c r="H173" s="546"/>
      <c r="I173" s="547"/>
      <c r="J173" s="47"/>
      <c r="K173" s="551">
        <f>4*3.37</f>
        <v>13.48</v>
      </c>
      <c r="L173" s="552"/>
      <c r="M173" s="551"/>
      <c r="N173" s="552"/>
      <c r="O173" s="551">
        <v>1</v>
      </c>
      <c r="P173" s="552"/>
      <c r="Q173" s="551"/>
      <c r="R173" s="552"/>
      <c r="S173" s="551"/>
      <c r="T173" s="552"/>
      <c r="U173" s="551"/>
      <c r="V173" s="552"/>
      <c r="W173" s="548">
        <f t="shared" si="14"/>
        <v>13.48</v>
      </c>
      <c r="X173" s="549"/>
      <c r="Y173" s="550"/>
      <c r="Z173" s="548">
        <f t="shared" si="13"/>
        <v>8.3171599999999994</v>
      </c>
      <c r="AA173" s="549"/>
      <c r="AB173" s="550"/>
      <c r="AC173" s="35"/>
      <c r="AD173" s="36"/>
      <c r="AE173" s="37"/>
      <c r="AF173" s="35"/>
      <c r="AG173" s="36"/>
      <c r="AH173" s="38"/>
    </row>
    <row r="174" spans="1:34" ht="15.75">
      <c r="A174" s="507"/>
      <c r="B174" s="508"/>
      <c r="C174" s="509"/>
      <c r="D174" s="556" t="s">
        <v>726</v>
      </c>
      <c r="E174" s="557"/>
      <c r="F174" s="557"/>
      <c r="G174" s="557"/>
      <c r="H174" s="557"/>
      <c r="I174" s="558"/>
      <c r="J174" s="47"/>
      <c r="K174" s="551"/>
      <c r="L174" s="552"/>
      <c r="M174" s="551"/>
      <c r="N174" s="552"/>
      <c r="O174" s="551"/>
      <c r="P174" s="552"/>
      <c r="Q174" s="551"/>
      <c r="R174" s="552"/>
      <c r="S174" s="551"/>
      <c r="T174" s="552"/>
      <c r="U174" s="551"/>
      <c r="V174" s="552"/>
      <c r="W174" s="548">
        <f t="shared" si="14"/>
        <v>0</v>
      </c>
      <c r="X174" s="549"/>
      <c r="Y174" s="550"/>
      <c r="Z174" s="548">
        <f t="shared" si="13"/>
        <v>0</v>
      </c>
      <c r="AA174" s="549"/>
      <c r="AB174" s="550"/>
      <c r="AC174" s="35"/>
      <c r="AD174" s="36"/>
      <c r="AE174" s="37"/>
      <c r="AF174" s="35"/>
      <c r="AG174" s="36"/>
      <c r="AH174" s="38"/>
    </row>
    <row r="175" spans="1:34" ht="15.75">
      <c r="A175" s="507"/>
      <c r="B175" s="508"/>
      <c r="C175" s="509"/>
      <c r="D175" s="556" t="s">
        <v>727</v>
      </c>
      <c r="E175" s="557"/>
      <c r="F175" s="557"/>
      <c r="G175" s="557"/>
      <c r="H175" s="557"/>
      <c r="I175" s="558"/>
      <c r="J175" s="47"/>
      <c r="K175" s="551"/>
      <c r="L175" s="552"/>
      <c r="M175" s="551"/>
      <c r="N175" s="552"/>
      <c r="O175" s="551"/>
      <c r="P175" s="552"/>
      <c r="Q175" s="551"/>
      <c r="R175" s="552"/>
      <c r="S175" s="551"/>
      <c r="T175" s="552"/>
      <c r="U175" s="551"/>
      <c r="V175" s="552"/>
      <c r="W175" s="548">
        <f t="shared" si="14"/>
        <v>0</v>
      </c>
      <c r="X175" s="549"/>
      <c r="Y175" s="550"/>
      <c r="Z175" s="548">
        <f t="shared" ref="Z175:Z202" si="16">W175*0.617</f>
        <v>0</v>
      </c>
      <c r="AA175" s="549"/>
      <c r="AB175" s="550"/>
      <c r="AC175" s="35"/>
      <c r="AD175" s="36"/>
      <c r="AE175" s="37"/>
      <c r="AF175" s="35"/>
      <c r="AG175" s="36"/>
      <c r="AH175" s="38"/>
    </row>
    <row r="176" spans="1:34" ht="15.75">
      <c r="A176" s="507"/>
      <c r="B176" s="508"/>
      <c r="C176" s="509"/>
      <c r="D176" s="556" t="s">
        <v>728</v>
      </c>
      <c r="E176" s="557"/>
      <c r="F176" s="557"/>
      <c r="G176" s="557"/>
      <c r="H176" s="557"/>
      <c r="I176" s="558"/>
      <c r="J176" s="47"/>
      <c r="K176" s="551"/>
      <c r="L176" s="552"/>
      <c r="M176" s="551"/>
      <c r="N176" s="552"/>
      <c r="O176" s="551"/>
      <c r="P176" s="552"/>
      <c r="Q176" s="551"/>
      <c r="R176" s="552"/>
      <c r="S176" s="551"/>
      <c r="T176" s="552"/>
      <c r="U176" s="551"/>
      <c r="V176" s="552"/>
      <c r="W176" s="548">
        <f t="shared" si="14"/>
        <v>0</v>
      </c>
      <c r="X176" s="549"/>
      <c r="Y176" s="550"/>
      <c r="Z176" s="548">
        <f t="shared" si="16"/>
        <v>0</v>
      </c>
      <c r="AA176" s="549"/>
      <c r="AB176" s="550"/>
      <c r="AC176" s="35"/>
      <c r="AD176" s="36"/>
      <c r="AE176" s="37"/>
      <c r="AF176" s="35"/>
      <c r="AG176" s="36"/>
      <c r="AH176" s="38"/>
    </row>
    <row r="177" spans="1:34" ht="15.75">
      <c r="A177" s="507"/>
      <c r="B177" s="508"/>
      <c r="C177" s="509"/>
      <c r="D177" s="545" t="s">
        <v>729</v>
      </c>
      <c r="E177" s="546"/>
      <c r="F177" s="546"/>
      <c r="G177" s="546"/>
      <c r="H177" s="546"/>
      <c r="I177" s="547"/>
      <c r="J177" s="47"/>
      <c r="K177" s="551">
        <f>((4*3.73)+(4*1.47))</f>
        <v>20.8</v>
      </c>
      <c r="L177" s="552"/>
      <c r="M177" s="551"/>
      <c r="N177" s="552"/>
      <c r="O177" s="551">
        <v>1</v>
      </c>
      <c r="P177" s="552"/>
      <c r="Q177" s="551"/>
      <c r="R177" s="552"/>
      <c r="S177" s="551"/>
      <c r="T177" s="552"/>
      <c r="U177" s="551"/>
      <c r="V177" s="552"/>
      <c r="W177" s="548">
        <f t="shared" si="14"/>
        <v>20.8</v>
      </c>
      <c r="X177" s="549"/>
      <c r="Y177" s="550"/>
      <c r="Z177" s="548">
        <f t="shared" si="16"/>
        <v>12.833600000000001</v>
      </c>
      <c r="AA177" s="549"/>
      <c r="AB177" s="550"/>
      <c r="AC177" s="35"/>
      <c r="AD177" s="36"/>
      <c r="AE177" s="37"/>
      <c r="AF177" s="35"/>
      <c r="AG177" s="36"/>
      <c r="AH177" s="38"/>
    </row>
    <row r="178" spans="1:34" ht="15.75">
      <c r="A178" s="507"/>
      <c r="B178" s="508"/>
      <c r="C178" s="509"/>
      <c r="D178" s="545" t="s">
        <v>730</v>
      </c>
      <c r="E178" s="546"/>
      <c r="F178" s="546"/>
      <c r="G178" s="546"/>
      <c r="H178" s="546"/>
      <c r="I178" s="547"/>
      <c r="J178" s="47"/>
      <c r="K178" s="551">
        <f>4*3.37</f>
        <v>13.48</v>
      </c>
      <c r="L178" s="552"/>
      <c r="M178" s="551"/>
      <c r="N178" s="552"/>
      <c r="O178" s="551">
        <v>1</v>
      </c>
      <c r="P178" s="552"/>
      <c r="Q178" s="512"/>
      <c r="R178" s="509"/>
      <c r="S178" s="512"/>
      <c r="T178" s="509"/>
      <c r="U178" s="512"/>
      <c r="V178" s="509"/>
      <c r="W178" s="548">
        <f t="shared" si="14"/>
        <v>13.48</v>
      </c>
      <c r="X178" s="549"/>
      <c r="Y178" s="550"/>
      <c r="Z178" s="548">
        <f t="shared" si="16"/>
        <v>8.3171599999999994</v>
      </c>
      <c r="AA178" s="549"/>
      <c r="AB178" s="550"/>
      <c r="AC178" s="35"/>
      <c r="AD178" s="36"/>
      <c r="AE178" s="37"/>
      <c r="AF178" s="35"/>
      <c r="AG178" s="36"/>
      <c r="AH178" s="38"/>
    </row>
    <row r="179" spans="1:34" ht="15.75">
      <c r="A179" s="507"/>
      <c r="B179" s="508"/>
      <c r="C179" s="509"/>
      <c r="D179" s="545" t="s">
        <v>731</v>
      </c>
      <c r="E179" s="546"/>
      <c r="F179" s="546"/>
      <c r="G179" s="546"/>
      <c r="H179" s="546"/>
      <c r="I179" s="547"/>
      <c r="J179" s="47"/>
      <c r="K179" s="551">
        <f>4*3.37</f>
        <v>13.48</v>
      </c>
      <c r="L179" s="552"/>
      <c r="M179" s="551"/>
      <c r="N179" s="552"/>
      <c r="O179" s="551">
        <v>1</v>
      </c>
      <c r="P179" s="552"/>
      <c r="Q179" s="551"/>
      <c r="R179" s="552"/>
      <c r="S179" s="551"/>
      <c r="T179" s="552"/>
      <c r="U179" s="551"/>
      <c r="V179" s="552"/>
      <c r="W179" s="548">
        <f t="shared" si="14"/>
        <v>13.48</v>
      </c>
      <c r="X179" s="549"/>
      <c r="Y179" s="550"/>
      <c r="Z179" s="548">
        <f t="shared" si="16"/>
        <v>8.3171599999999994</v>
      </c>
      <c r="AA179" s="549"/>
      <c r="AB179" s="550"/>
      <c r="AC179" s="35"/>
      <c r="AD179" s="36"/>
      <c r="AE179" s="37"/>
      <c r="AF179" s="35"/>
      <c r="AG179" s="36"/>
      <c r="AH179" s="38"/>
    </row>
    <row r="180" spans="1:34" ht="15.75">
      <c r="A180" s="507"/>
      <c r="B180" s="508"/>
      <c r="C180" s="509"/>
      <c r="D180" s="545" t="s">
        <v>732</v>
      </c>
      <c r="E180" s="546"/>
      <c r="F180" s="546"/>
      <c r="G180" s="546"/>
      <c r="H180" s="546"/>
      <c r="I180" s="547"/>
      <c r="J180" s="47"/>
      <c r="K180" s="551">
        <f>((4*3.73)+(4*1.47))</f>
        <v>20.8</v>
      </c>
      <c r="L180" s="552"/>
      <c r="M180" s="551"/>
      <c r="N180" s="552"/>
      <c r="O180" s="551">
        <v>1</v>
      </c>
      <c r="P180" s="552"/>
      <c r="Q180" s="551"/>
      <c r="R180" s="552"/>
      <c r="S180" s="551"/>
      <c r="T180" s="552"/>
      <c r="U180" s="551"/>
      <c r="V180" s="552"/>
      <c r="W180" s="548">
        <f t="shared" si="14"/>
        <v>20.8</v>
      </c>
      <c r="X180" s="549"/>
      <c r="Y180" s="550"/>
      <c r="Z180" s="548">
        <f t="shared" si="16"/>
        <v>12.833600000000001</v>
      </c>
      <c r="AA180" s="549"/>
      <c r="AB180" s="550"/>
      <c r="AC180" s="35"/>
      <c r="AD180" s="36"/>
      <c r="AE180" s="37"/>
      <c r="AF180" s="35"/>
      <c r="AG180" s="36"/>
      <c r="AH180" s="38"/>
    </row>
    <row r="181" spans="1:34" ht="15.75">
      <c r="A181" s="507"/>
      <c r="B181" s="508"/>
      <c r="C181" s="509"/>
      <c r="D181" s="545" t="s">
        <v>733</v>
      </c>
      <c r="E181" s="546"/>
      <c r="F181" s="546"/>
      <c r="G181" s="546"/>
      <c r="H181" s="546"/>
      <c r="I181" s="547"/>
      <c r="J181" s="47"/>
      <c r="K181" s="551">
        <f>((4*3.73)+(4*1.47))</f>
        <v>20.8</v>
      </c>
      <c r="L181" s="552"/>
      <c r="M181" s="551"/>
      <c r="N181" s="552"/>
      <c r="O181" s="551">
        <v>1</v>
      </c>
      <c r="P181" s="552"/>
      <c r="Q181" s="551"/>
      <c r="R181" s="552"/>
      <c r="S181" s="551"/>
      <c r="T181" s="552"/>
      <c r="U181" s="551"/>
      <c r="V181" s="552"/>
      <c r="W181" s="548">
        <f t="shared" si="14"/>
        <v>20.8</v>
      </c>
      <c r="X181" s="549"/>
      <c r="Y181" s="550"/>
      <c r="Z181" s="548">
        <f t="shared" si="16"/>
        <v>12.833600000000001</v>
      </c>
      <c r="AA181" s="549"/>
      <c r="AB181" s="550"/>
      <c r="AC181" s="35"/>
      <c r="AD181" s="36"/>
      <c r="AE181" s="37"/>
      <c r="AF181" s="35"/>
      <c r="AG181" s="36"/>
      <c r="AH181" s="38"/>
    </row>
    <row r="182" spans="1:34" ht="15.75">
      <c r="A182" s="507"/>
      <c r="B182" s="508"/>
      <c r="C182" s="509"/>
      <c r="D182" s="545" t="s">
        <v>734</v>
      </c>
      <c r="E182" s="546"/>
      <c r="F182" s="546"/>
      <c r="G182" s="546"/>
      <c r="H182" s="546"/>
      <c r="I182" s="547"/>
      <c r="J182" s="47"/>
      <c r="K182" s="551">
        <f>4*3.37</f>
        <v>13.48</v>
      </c>
      <c r="L182" s="552"/>
      <c r="M182" s="551"/>
      <c r="N182" s="552"/>
      <c r="O182" s="551">
        <v>1</v>
      </c>
      <c r="P182" s="552"/>
      <c r="Q182" s="551"/>
      <c r="R182" s="552"/>
      <c r="S182" s="551"/>
      <c r="T182" s="552"/>
      <c r="U182" s="551"/>
      <c r="V182" s="552"/>
      <c r="W182" s="548">
        <f t="shared" ref="W182:W202" si="17">K182*O182</f>
        <v>13.48</v>
      </c>
      <c r="X182" s="549"/>
      <c r="Y182" s="550"/>
      <c r="Z182" s="548">
        <f t="shared" si="16"/>
        <v>8.3171599999999994</v>
      </c>
      <c r="AA182" s="549"/>
      <c r="AB182" s="550"/>
      <c r="AC182" s="35"/>
      <c r="AD182" s="36"/>
      <c r="AE182" s="37"/>
      <c r="AF182" s="35"/>
      <c r="AG182" s="36"/>
      <c r="AH182" s="38"/>
    </row>
    <row r="183" spans="1:34" ht="15.75">
      <c r="A183" s="507"/>
      <c r="B183" s="508"/>
      <c r="C183" s="509"/>
      <c r="D183" s="545" t="s">
        <v>735</v>
      </c>
      <c r="E183" s="546"/>
      <c r="F183" s="546"/>
      <c r="G183" s="546"/>
      <c r="H183" s="546"/>
      <c r="I183" s="547"/>
      <c r="J183" s="47"/>
      <c r="K183" s="551">
        <f>4*3.37</f>
        <v>13.48</v>
      </c>
      <c r="L183" s="552"/>
      <c r="M183" s="551"/>
      <c r="N183" s="552"/>
      <c r="O183" s="551">
        <v>1</v>
      </c>
      <c r="P183" s="552"/>
      <c r="Q183" s="551"/>
      <c r="R183" s="552"/>
      <c r="S183" s="551"/>
      <c r="T183" s="552"/>
      <c r="U183" s="551"/>
      <c r="V183" s="552"/>
      <c r="W183" s="548">
        <f t="shared" si="17"/>
        <v>13.48</v>
      </c>
      <c r="X183" s="549"/>
      <c r="Y183" s="550"/>
      <c r="Z183" s="548">
        <f t="shared" si="16"/>
        <v>8.3171599999999994</v>
      </c>
      <c r="AA183" s="549"/>
      <c r="AB183" s="550"/>
      <c r="AC183" s="35"/>
      <c r="AD183" s="36"/>
      <c r="AE183" s="37"/>
      <c r="AF183" s="35"/>
      <c r="AG183" s="36"/>
      <c r="AH183" s="38"/>
    </row>
    <row r="184" spans="1:34" ht="15.75">
      <c r="A184" s="507"/>
      <c r="B184" s="508"/>
      <c r="C184" s="509"/>
      <c r="D184" s="545" t="s">
        <v>736</v>
      </c>
      <c r="E184" s="546"/>
      <c r="F184" s="546"/>
      <c r="G184" s="546"/>
      <c r="H184" s="546"/>
      <c r="I184" s="547"/>
      <c r="J184" s="47"/>
      <c r="K184" s="551">
        <f>4*3.37</f>
        <v>13.48</v>
      </c>
      <c r="L184" s="552"/>
      <c r="M184" s="551"/>
      <c r="N184" s="552"/>
      <c r="O184" s="551">
        <v>1</v>
      </c>
      <c r="P184" s="552"/>
      <c r="Q184" s="551"/>
      <c r="R184" s="552"/>
      <c r="S184" s="551"/>
      <c r="T184" s="552"/>
      <c r="U184" s="551"/>
      <c r="V184" s="552"/>
      <c r="W184" s="548">
        <f t="shared" si="17"/>
        <v>13.48</v>
      </c>
      <c r="X184" s="549"/>
      <c r="Y184" s="550"/>
      <c r="Z184" s="548">
        <f t="shared" si="16"/>
        <v>8.3171599999999994</v>
      </c>
      <c r="AA184" s="549"/>
      <c r="AB184" s="550"/>
      <c r="AC184" s="35"/>
      <c r="AD184" s="36"/>
      <c r="AE184" s="37"/>
      <c r="AF184" s="35"/>
      <c r="AG184" s="36"/>
      <c r="AH184" s="38"/>
    </row>
    <row r="185" spans="1:34" ht="15.75">
      <c r="A185" s="507"/>
      <c r="B185" s="508"/>
      <c r="C185" s="509"/>
      <c r="D185" s="545" t="s">
        <v>737</v>
      </c>
      <c r="E185" s="546"/>
      <c r="F185" s="546"/>
      <c r="G185" s="546"/>
      <c r="H185" s="546"/>
      <c r="I185" s="547"/>
      <c r="J185" s="47"/>
      <c r="K185" s="551">
        <f>4*3.37</f>
        <v>13.48</v>
      </c>
      <c r="L185" s="552"/>
      <c r="M185" s="551"/>
      <c r="N185" s="552"/>
      <c r="O185" s="551">
        <v>1</v>
      </c>
      <c r="P185" s="552"/>
      <c r="Q185" s="551"/>
      <c r="R185" s="552"/>
      <c r="S185" s="551"/>
      <c r="T185" s="552"/>
      <c r="U185" s="551"/>
      <c r="V185" s="552"/>
      <c r="W185" s="548">
        <f t="shared" si="17"/>
        <v>13.48</v>
      </c>
      <c r="X185" s="549"/>
      <c r="Y185" s="550"/>
      <c r="Z185" s="548">
        <f t="shared" si="16"/>
        <v>8.3171599999999994</v>
      </c>
      <c r="AA185" s="549"/>
      <c r="AB185" s="550"/>
      <c r="AC185" s="35"/>
      <c r="AD185" s="36"/>
      <c r="AE185" s="37"/>
      <c r="AF185" s="35"/>
      <c r="AG185" s="36"/>
      <c r="AH185" s="38"/>
    </row>
    <row r="186" spans="1:34" ht="15.75">
      <c r="A186" s="507"/>
      <c r="B186" s="508"/>
      <c r="C186" s="509"/>
      <c r="D186" s="545" t="s">
        <v>738</v>
      </c>
      <c r="E186" s="546"/>
      <c r="F186" s="546"/>
      <c r="G186" s="546"/>
      <c r="H186" s="546"/>
      <c r="I186" s="547"/>
      <c r="J186" s="47"/>
      <c r="K186" s="551">
        <f>4*3.37</f>
        <v>13.48</v>
      </c>
      <c r="L186" s="552"/>
      <c r="M186" s="551"/>
      <c r="N186" s="552"/>
      <c r="O186" s="551">
        <v>1</v>
      </c>
      <c r="P186" s="552"/>
      <c r="Q186" s="512"/>
      <c r="R186" s="509"/>
      <c r="S186" s="512"/>
      <c r="T186" s="509"/>
      <c r="U186" s="512"/>
      <c r="V186" s="509"/>
      <c r="W186" s="548">
        <f t="shared" si="17"/>
        <v>13.48</v>
      </c>
      <c r="X186" s="549"/>
      <c r="Y186" s="550"/>
      <c r="Z186" s="548">
        <f t="shared" si="16"/>
        <v>8.3171599999999994</v>
      </c>
      <c r="AA186" s="549"/>
      <c r="AB186" s="550"/>
      <c r="AC186" s="35"/>
      <c r="AD186" s="36"/>
      <c r="AE186" s="37"/>
      <c r="AF186" s="35"/>
      <c r="AG186" s="36"/>
      <c r="AH186" s="38"/>
    </row>
    <row r="187" spans="1:34" ht="15.75">
      <c r="A187" s="507"/>
      <c r="B187" s="508"/>
      <c r="C187" s="509"/>
      <c r="D187" s="545" t="s">
        <v>739</v>
      </c>
      <c r="E187" s="546"/>
      <c r="F187" s="546"/>
      <c r="G187" s="546"/>
      <c r="H187" s="546"/>
      <c r="I187" s="547"/>
      <c r="J187" s="47"/>
      <c r="K187" s="551">
        <f>((4*3.73)+(4*1.47))</f>
        <v>20.8</v>
      </c>
      <c r="L187" s="552"/>
      <c r="M187" s="551"/>
      <c r="N187" s="552"/>
      <c r="O187" s="551">
        <v>1</v>
      </c>
      <c r="P187" s="552"/>
      <c r="Q187" s="551"/>
      <c r="R187" s="552"/>
      <c r="S187" s="551"/>
      <c r="T187" s="552"/>
      <c r="U187" s="551"/>
      <c r="V187" s="552"/>
      <c r="W187" s="548">
        <f t="shared" si="17"/>
        <v>20.8</v>
      </c>
      <c r="X187" s="549"/>
      <c r="Y187" s="550"/>
      <c r="Z187" s="548">
        <f t="shared" si="16"/>
        <v>12.833600000000001</v>
      </c>
      <c r="AA187" s="549"/>
      <c r="AB187" s="550"/>
      <c r="AC187" s="35"/>
      <c r="AD187" s="36"/>
      <c r="AE187" s="37"/>
      <c r="AF187" s="35"/>
      <c r="AG187" s="36"/>
      <c r="AH187" s="38"/>
    </row>
    <row r="188" spans="1:34" ht="15.75">
      <c r="A188" s="507"/>
      <c r="B188" s="508"/>
      <c r="C188" s="509"/>
      <c r="D188" s="545" t="s">
        <v>740</v>
      </c>
      <c r="E188" s="546"/>
      <c r="F188" s="546"/>
      <c r="G188" s="546"/>
      <c r="H188" s="546"/>
      <c r="I188" s="547"/>
      <c r="J188" s="47"/>
      <c r="K188" s="551">
        <f>8*3.37</f>
        <v>26.96</v>
      </c>
      <c r="L188" s="552"/>
      <c r="M188" s="551"/>
      <c r="N188" s="552"/>
      <c r="O188" s="551">
        <v>1</v>
      </c>
      <c r="P188" s="552"/>
      <c r="Q188" s="551"/>
      <c r="R188" s="552"/>
      <c r="S188" s="551"/>
      <c r="T188" s="552"/>
      <c r="U188" s="551"/>
      <c r="V188" s="552"/>
      <c r="W188" s="548">
        <f t="shared" si="17"/>
        <v>26.96</v>
      </c>
      <c r="X188" s="549"/>
      <c r="Y188" s="550"/>
      <c r="Z188" s="548">
        <f t="shared" si="16"/>
        <v>16.634319999999999</v>
      </c>
      <c r="AA188" s="549"/>
      <c r="AB188" s="550"/>
      <c r="AC188" s="35"/>
      <c r="AD188" s="36"/>
      <c r="AE188" s="37"/>
      <c r="AF188" s="35"/>
      <c r="AG188" s="36"/>
      <c r="AH188" s="38"/>
    </row>
    <row r="189" spans="1:34" ht="15.75">
      <c r="A189" s="507"/>
      <c r="B189" s="508"/>
      <c r="C189" s="509"/>
      <c r="D189" s="545" t="s">
        <v>741</v>
      </c>
      <c r="E189" s="546"/>
      <c r="F189" s="546"/>
      <c r="G189" s="546"/>
      <c r="H189" s="546"/>
      <c r="I189" s="547"/>
      <c r="J189" s="47"/>
      <c r="K189" s="551">
        <f>4*3.37</f>
        <v>13.48</v>
      </c>
      <c r="L189" s="552"/>
      <c r="M189" s="551"/>
      <c r="N189" s="552"/>
      <c r="O189" s="551">
        <v>1</v>
      </c>
      <c r="P189" s="552"/>
      <c r="Q189" s="551"/>
      <c r="R189" s="552"/>
      <c r="S189" s="551"/>
      <c r="T189" s="552"/>
      <c r="U189" s="551"/>
      <c r="V189" s="552"/>
      <c r="W189" s="548">
        <f t="shared" si="17"/>
        <v>13.48</v>
      </c>
      <c r="X189" s="549"/>
      <c r="Y189" s="550"/>
      <c r="Z189" s="548">
        <f t="shared" si="16"/>
        <v>8.3171599999999994</v>
      </c>
      <c r="AA189" s="549"/>
      <c r="AB189" s="550"/>
      <c r="AC189" s="35"/>
      <c r="AD189" s="36"/>
      <c r="AE189" s="37"/>
      <c r="AF189" s="35"/>
      <c r="AG189" s="36"/>
      <c r="AH189" s="38"/>
    </row>
    <row r="190" spans="1:34" ht="15.75">
      <c r="A190" s="507"/>
      <c r="B190" s="508"/>
      <c r="C190" s="509"/>
      <c r="D190" s="545" t="s">
        <v>742</v>
      </c>
      <c r="E190" s="546"/>
      <c r="F190" s="546"/>
      <c r="G190" s="546"/>
      <c r="H190" s="546"/>
      <c r="I190" s="547"/>
      <c r="J190" s="47"/>
      <c r="K190" s="551">
        <f>4*3.37</f>
        <v>13.48</v>
      </c>
      <c r="L190" s="552"/>
      <c r="M190" s="551"/>
      <c r="N190" s="552"/>
      <c r="O190" s="551">
        <v>1</v>
      </c>
      <c r="P190" s="552"/>
      <c r="Q190" s="551"/>
      <c r="R190" s="552"/>
      <c r="S190" s="551"/>
      <c r="T190" s="552"/>
      <c r="U190" s="551"/>
      <c r="V190" s="552"/>
      <c r="W190" s="548">
        <f t="shared" si="17"/>
        <v>13.48</v>
      </c>
      <c r="X190" s="549"/>
      <c r="Y190" s="550"/>
      <c r="Z190" s="548">
        <f t="shared" si="16"/>
        <v>8.3171599999999994</v>
      </c>
      <c r="AA190" s="549"/>
      <c r="AB190" s="550"/>
      <c r="AC190" s="35"/>
      <c r="AD190" s="36"/>
      <c r="AE190" s="37"/>
      <c r="AF190" s="35"/>
      <c r="AG190" s="36"/>
      <c r="AH190" s="38"/>
    </row>
    <row r="191" spans="1:34" ht="15.75">
      <c r="A191" s="507"/>
      <c r="B191" s="508"/>
      <c r="C191" s="509"/>
      <c r="D191" s="545" t="s">
        <v>743</v>
      </c>
      <c r="E191" s="546"/>
      <c r="F191" s="546"/>
      <c r="G191" s="546"/>
      <c r="H191" s="546"/>
      <c r="I191" s="547"/>
      <c r="J191" s="47"/>
      <c r="K191" s="551">
        <f t="shared" ref="K191:K196" si="18">((4*3.73)+(4*1.47))</f>
        <v>20.8</v>
      </c>
      <c r="L191" s="552"/>
      <c r="M191" s="551"/>
      <c r="N191" s="552"/>
      <c r="O191" s="551">
        <v>1</v>
      </c>
      <c r="P191" s="552"/>
      <c r="Q191" s="551"/>
      <c r="R191" s="552"/>
      <c r="S191" s="551"/>
      <c r="T191" s="552"/>
      <c r="U191" s="551"/>
      <c r="V191" s="552"/>
      <c r="W191" s="548">
        <f t="shared" si="17"/>
        <v>20.8</v>
      </c>
      <c r="X191" s="549"/>
      <c r="Y191" s="550"/>
      <c r="Z191" s="548">
        <f t="shared" si="16"/>
        <v>12.833600000000001</v>
      </c>
      <c r="AA191" s="549"/>
      <c r="AB191" s="550"/>
      <c r="AC191" s="35"/>
      <c r="AD191" s="36"/>
      <c r="AE191" s="37"/>
      <c r="AF191" s="35"/>
      <c r="AG191" s="36"/>
      <c r="AH191" s="38"/>
    </row>
    <row r="192" spans="1:34" ht="15.75">
      <c r="A192" s="507"/>
      <c r="B192" s="508"/>
      <c r="C192" s="509"/>
      <c r="D192" s="545" t="s">
        <v>744</v>
      </c>
      <c r="E192" s="546"/>
      <c r="F192" s="546"/>
      <c r="G192" s="546"/>
      <c r="H192" s="546"/>
      <c r="I192" s="547"/>
      <c r="J192" s="47"/>
      <c r="K192" s="551">
        <f t="shared" si="18"/>
        <v>20.8</v>
      </c>
      <c r="L192" s="552"/>
      <c r="M192" s="551"/>
      <c r="N192" s="552"/>
      <c r="O192" s="551">
        <v>1</v>
      </c>
      <c r="P192" s="552"/>
      <c r="Q192" s="551"/>
      <c r="R192" s="552"/>
      <c r="S192" s="551"/>
      <c r="T192" s="552"/>
      <c r="U192" s="551"/>
      <c r="V192" s="552"/>
      <c r="W192" s="548">
        <f t="shared" si="17"/>
        <v>20.8</v>
      </c>
      <c r="X192" s="549"/>
      <c r="Y192" s="550"/>
      <c r="Z192" s="548">
        <f t="shared" si="16"/>
        <v>12.833600000000001</v>
      </c>
      <c r="AA192" s="549"/>
      <c r="AB192" s="550"/>
      <c r="AC192" s="35"/>
      <c r="AD192" s="36"/>
      <c r="AE192" s="37"/>
      <c r="AF192" s="35"/>
      <c r="AG192" s="36"/>
      <c r="AH192" s="38"/>
    </row>
    <row r="193" spans="1:35" ht="15.75">
      <c r="A193" s="507"/>
      <c r="B193" s="508"/>
      <c r="C193" s="509"/>
      <c r="D193" s="545" t="s">
        <v>745</v>
      </c>
      <c r="E193" s="546"/>
      <c r="F193" s="546"/>
      <c r="G193" s="546"/>
      <c r="H193" s="546"/>
      <c r="I193" s="547"/>
      <c r="J193" s="47"/>
      <c r="K193" s="551">
        <f t="shared" si="18"/>
        <v>20.8</v>
      </c>
      <c r="L193" s="552"/>
      <c r="M193" s="551"/>
      <c r="N193" s="552"/>
      <c r="O193" s="551">
        <v>1</v>
      </c>
      <c r="P193" s="552"/>
      <c r="Q193" s="551"/>
      <c r="R193" s="552"/>
      <c r="S193" s="551"/>
      <c r="T193" s="552"/>
      <c r="U193" s="551"/>
      <c r="V193" s="552"/>
      <c r="W193" s="548">
        <f t="shared" si="17"/>
        <v>20.8</v>
      </c>
      <c r="X193" s="549"/>
      <c r="Y193" s="550"/>
      <c r="Z193" s="548">
        <f t="shared" si="16"/>
        <v>12.833600000000001</v>
      </c>
      <c r="AA193" s="549"/>
      <c r="AB193" s="550"/>
      <c r="AC193" s="35"/>
      <c r="AD193" s="36"/>
      <c r="AE193" s="37"/>
      <c r="AF193" s="35"/>
      <c r="AG193" s="36"/>
      <c r="AH193" s="38"/>
    </row>
    <row r="194" spans="1:35" ht="15.75">
      <c r="A194" s="507"/>
      <c r="B194" s="508"/>
      <c r="C194" s="509"/>
      <c r="D194" s="545" t="s">
        <v>746</v>
      </c>
      <c r="E194" s="546"/>
      <c r="F194" s="546"/>
      <c r="G194" s="546"/>
      <c r="H194" s="546"/>
      <c r="I194" s="547"/>
      <c r="J194" s="47"/>
      <c r="K194" s="551">
        <f t="shared" si="18"/>
        <v>20.8</v>
      </c>
      <c r="L194" s="552"/>
      <c r="M194" s="551"/>
      <c r="N194" s="552"/>
      <c r="O194" s="551">
        <v>1</v>
      </c>
      <c r="P194" s="552"/>
      <c r="Q194" s="512"/>
      <c r="R194" s="509"/>
      <c r="S194" s="512"/>
      <c r="T194" s="509"/>
      <c r="U194" s="512"/>
      <c r="V194" s="509"/>
      <c r="W194" s="548">
        <f t="shared" si="17"/>
        <v>20.8</v>
      </c>
      <c r="X194" s="549"/>
      <c r="Y194" s="550"/>
      <c r="Z194" s="548">
        <f t="shared" si="16"/>
        <v>12.833600000000001</v>
      </c>
      <c r="AA194" s="549"/>
      <c r="AB194" s="550"/>
      <c r="AC194" s="35"/>
      <c r="AD194" s="36"/>
      <c r="AE194" s="37"/>
      <c r="AF194" s="35"/>
      <c r="AG194" s="36"/>
      <c r="AH194" s="38"/>
    </row>
    <row r="195" spans="1:35" ht="15.75">
      <c r="A195" s="507"/>
      <c r="B195" s="508"/>
      <c r="C195" s="509"/>
      <c r="D195" s="545" t="s">
        <v>747</v>
      </c>
      <c r="E195" s="546"/>
      <c r="F195" s="546"/>
      <c r="G195" s="546"/>
      <c r="H195" s="546"/>
      <c r="I195" s="547"/>
      <c r="J195" s="47"/>
      <c r="K195" s="551">
        <f t="shared" si="18"/>
        <v>20.8</v>
      </c>
      <c r="L195" s="552"/>
      <c r="M195" s="551"/>
      <c r="N195" s="552"/>
      <c r="O195" s="551">
        <v>1</v>
      </c>
      <c r="P195" s="552"/>
      <c r="Q195" s="551"/>
      <c r="R195" s="552"/>
      <c r="S195" s="551"/>
      <c r="T195" s="552"/>
      <c r="U195" s="551"/>
      <c r="V195" s="552"/>
      <c r="W195" s="548">
        <f t="shared" si="17"/>
        <v>20.8</v>
      </c>
      <c r="X195" s="549"/>
      <c r="Y195" s="550"/>
      <c r="Z195" s="548">
        <f t="shared" si="16"/>
        <v>12.833600000000001</v>
      </c>
      <c r="AA195" s="549"/>
      <c r="AB195" s="550"/>
      <c r="AC195" s="35"/>
      <c r="AD195" s="36"/>
      <c r="AE195" s="37"/>
      <c r="AF195" s="35"/>
      <c r="AG195" s="36"/>
      <c r="AH195" s="38"/>
    </row>
    <row r="196" spans="1:35" ht="15.75">
      <c r="A196" s="507"/>
      <c r="B196" s="508"/>
      <c r="C196" s="509"/>
      <c r="D196" s="545" t="s">
        <v>748</v>
      </c>
      <c r="E196" s="546"/>
      <c r="F196" s="546"/>
      <c r="G196" s="546"/>
      <c r="H196" s="546"/>
      <c r="I196" s="547"/>
      <c r="J196" s="47"/>
      <c r="K196" s="551">
        <f t="shared" si="18"/>
        <v>20.8</v>
      </c>
      <c r="L196" s="552"/>
      <c r="M196" s="551"/>
      <c r="N196" s="552"/>
      <c r="O196" s="551">
        <v>1</v>
      </c>
      <c r="P196" s="552"/>
      <c r="Q196" s="551"/>
      <c r="R196" s="552"/>
      <c r="S196" s="551"/>
      <c r="T196" s="552"/>
      <c r="U196" s="551"/>
      <c r="V196" s="552"/>
      <c r="W196" s="548">
        <f t="shared" si="17"/>
        <v>20.8</v>
      </c>
      <c r="X196" s="549"/>
      <c r="Y196" s="550"/>
      <c r="Z196" s="548">
        <f t="shared" si="16"/>
        <v>12.833600000000001</v>
      </c>
      <c r="AA196" s="549"/>
      <c r="AB196" s="550"/>
      <c r="AC196" s="35"/>
      <c r="AD196" s="36"/>
      <c r="AE196" s="37"/>
      <c r="AF196" s="35"/>
      <c r="AG196" s="36"/>
      <c r="AH196" s="38"/>
    </row>
    <row r="197" spans="1:35" ht="15.75">
      <c r="A197" s="507"/>
      <c r="B197" s="508"/>
      <c r="C197" s="509"/>
      <c r="D197" s="545" t="s">
        <v>749</v>
      </c>
      <c r="E197" s="546"/>
      <c r="F197" s="546"/>
      <c r="G197" s="546"/>
      <c r="H197" s="546"/>
      <c r="I197" s="547"/>
      <c r="J197" s="47"/>
      <c r="K197" s="551">
        <f>((6*3.73)+(6*1.47))</f>
        <v>31.2</v>
      </c>
      <c r="L197" s="552"/>
      <c r="M197" s="551"/>
      <c r="N197" s="552"/>
      <c r="O197" s="551">
        <v>1</v>
      </c>
      <c r="P197" s="552"/>
      <c r="Q197" s="551"/>
      <c r="R197" s="552"/>
      <c r="S197" s="551"/>
      <c r="T197" s="552"/>
      <c r="U197" s="551"/>
      <c r="V197" s="552"/>
      <c r="W197" s="548">
        <f t="shared" si="17"/>
        <v>31.2</v>
      </c>
      <c r="X197" s="549"/>
      <c r="Y197" s="550"/>
      <c r="Z197" s="548">
        <f t="shared" si="16"/>
        <v>19.250399999999999</v>
      </c>
      <c r="AA197" s="549"/>
      <c r="AB197" s="550"/>
      <c r="AC197" s="35"/>
      <c r="AD197" s="36"/>
      <c r="AE197" s="37"/>
      <c r="AF197" s="35"/>
      <c r="AG197" s="36"/>
      <c r="AH197" s="38"/>
    </row>
    <row r="198" spans="1:35" ht="15.75">
      <c r="A198" s="507"/>
      <c r="B198" s="508"/>
      <c r="C198" s="509"/>
      <c r="D198" s="545" t="s">
        <v>750</v>
      </c>
      <c r="E198" s="546"/>
      <c r="F198" s="546"/>
      <c r="G198" s="546"/>
      <c r="H198" s="546"/>
      <c r="I198" s="547"/>
      <c r="J198" s="47"/>
      <c r="K198" s="551">
        <f>((6*3.73)+(6*1.47))</f>
        <v>31.2</v>
      </c>
      <c r="L198" s="552"/>
      <c r="M198" s="551"/>
      <c r="N198" s="552"/>
      <c r="O198" s="551">
        <v>1</v>
      </c>
      <c r="P198" s="552"/>
      <c r="Q198" s="551"/>
      <c r="R198" s="552"/>
      <c r="S198" s="551"/>
      <c r="T198" s="552"/>
      <c r="U198" s="551"/>
      <c r="V198" s="552"/>
      <c r="W198" s="548">
        <f t="shared" si="17"/>
        <v>31.2</v>
      </c>
      <c r="X198" s="549"/>
      <c r="Y198" s="550"/>
      <c r="Z198" s="548">
        <f t="shared" si="16"/>
        <v>19.250399999999999</v>
      </c>
      <c r="AA198" s="549"/>
      <c r="AB198" s="550"/>
      <c r="AC198" s="35"/>
      <c r="AD198" s="36"/>
      <c r="AE198" s="37"/>
      <c r="AF198" s="35"/>
      <c r="AG198" s="36"/>
      <c r="AH198" s="38"/>
    </row>
    <row r="199" spans="1:35" ht="15.75">
      <c r="A199" s="507"/>
      <c r="B199" s="508"/>
      <c r="C199" s="509"/>
      <c r="D199" s="545" t="s">
        <v>751</v>
      </c>
      <c r="E199" s="546"/>
      <c r="F199" s="546"/>
      <c r="G199" s="546"/>
      <c r="H199" s="546"/>
      <c r="I199" s="547"/>
      <c r="J199" s="47"/>
      <c r="K199" s="551">
        <f>((4*3.73)+(4*1.47))</f>
        <v>20.8</v>
      </c>
      <c r="L199" s="552"/>
      <c r="M199" s="551"/>
      <c r="N199" s="552"/>
      <c r="O199" s="551">
        <v>1</v>
      </c>
      <c r="P199" s="552"/>
      <c r="Q199" s="551"/>
      <c r="R199" s="552"/>
      <c r="S199" s="551"/>
      <c r="T199" s="552"/>
      <c r="U199" s="551"/>
      <c r="V199" s="552"/>
      <c r="W199" s="548">
        <f t="shared" si="17"/>
        <v>20.8</v>
      </c>
      <c r="X199" s="549"/>
      <c r="Y199" s="550"/>
      <c r="Z199" s="548">
        <f t="shared" si="16"/>
        <v>12.833600000000001</v>
      </c>
      <c r="AA199" s="549"/>
      <c r="AB199" s="550"/>
      <c r="AC199" s="35"/>
      <c r="AD199" s="36"/>
      <c r="AE199" s="37"/>
      <c r="AF199" s="35"/>
      <c r="AG199" s="36"/>
      <c r="AH199" s="38"/>
    </row>
    <row r="200" spans="1:35" ht="15.75">
      <c r="A200" s="507"/>
      <c r="B200" s="508"/>
      <c r="C200" s="509"/>
      <c r="D200" s="545" t="s">
        <v>752</v>
      </c>
      <c r="E200" s="546"/>
      <c r="F200" s="546"/>
      <c r="G200" s="546"/>
      <c r="H200" s="546"/>
      <c r="I200" s="547"/>
      <c r="J200" s="47"/>
      <c r="K200" s="551">
        <f>((4*3.73)+(4*1.47))</f>
        <v>20.8</v>
      </c>
      <c r="L200" s="552"/>
      <c r="M200" s="551"/>
      <c r="N200" s="552"/>
      <c r="O200" s="551">
        <v>1</v>
      </c>
      <c r="P200" s="552"/>
      <c r="Q200" s="551"/>
      <c r="R200" s="552"/>
      <c r="S200" s="551"/>
      <c r="T200" s="552"/>
      <c r="U200" s="551"/>
      <c r="V200" s="552"/>
      <c r="W200" s="548">
        <f t="shared" si="17"/>
        <v>20.8</v>
      </c>
      <c r="X200" s="549"/>
      <c r="Y200" s="550"/>
      <c r="Z200" s="548">
        <f t="shared" si="16"/>
        <v>12.833600000000001</v>
      </c>
      <c r="AA200" s="549"/>
      <c r="AB200" s="550"/>
      <c r="AC200" s="35"/>
      <c r="AD200" s="36"/>
      <c r="AE200" s="37"/>
      <c r="AF200" s="35"/>
      <c r="AG200" s="36"/>
      <c r="AH200" s="38"/>
    </row>
    <row r="201" spans="1:35" ht="15.75">
      <c r="A201" s="507"/>
      <c r="B201" s="508"/>
      <c r="C201" s="509"/>
      <c r="D201" s="545" t="s">
        <v>753</v>
      </c>
      <c r="E201" s="546"/>
      <c r="F201" s="546"/>
      <c r="G201" s="546"/>
      <c r="H201" s="546"/>
      <c r="I201" s="547"/>
      <c r="J201" s="47"/>
      <c r="K201" s="551">
        <f>((4*3.73)+(4*1.47))</f>
        <v>20.8</v>
      </c>
      <c r="L201" s="552"/>
      <c r="M201" s="551"/>
      <c r="N201" s="552"/>
      <c r="O201" s="551">
        <v>1</v>
      </c>
      <c r="P201" s="552"/>
      <c r="Q201" s="551"/>
      <c r="R201" s="552"/>
      <c r="S201" s="551"/>
      <c r="T201" s="552"/>
      <c r="U201" s="551"/>
      <c r="V201" s="552"/>
      <c r="W201" s="548">
        <f t="shared" si="17"/>
        <v>20.8</v>
      </c>
      <c r="X201" s="549"/>
      <c r="Y201" s="550"/>
      <c r="Z201" s="548">
        <f t="shared" si="16"/>
        <v>12.833600000000001</v>
      </c>
      <c r="AA201" s="549"/>
      <c r="AB201" s="550"/>
      <c r="AC201" s="35"/>
      <c r="AD201" s="36"/>
      <c r="AE201" s="37"/>
      <c r="AF201" s="35"/>
      <c r="AG201" s="36"/>
      <c r="AH201" s="38"/>
    </row>
    <row r="202" spans="1:35" ht="15.75">
      <c r="A202" s="507"/>
      <c r="B202" s="508"/>
      <c r="C202" s="509"/>
      <c r="D202" s="545" t="s">
        <v>754</v>
      </c>
      <c r="E202" s="546"/>
      <c r="F202" s="546"/>
      <c r="G202" s="546"/>
      <c r="H202" s="546"/>
      <c r="I202" s="547"/>
      <c r="J202" s="47"/>
      <c r="K202" s="551">
        <f>((4*3.73)+(4*1.47))</f>
        <v>20.8</v>
      </c>
      <c r="L202" s="552"/>
      <c r="M202" s="551"/>
      <c r="N202" s="552"/>
      <c r="O202" s="551">
        <v>1</v>
      </c>
      <c r="P202" s="552"/>
      <c r="Q202" s="512"/>
      <c r="R202" s="509"/>
      <c r="S202" s="512"/>
      <c r="T202" s="509"/>
      <c r="U202" s="512"/>
      <c r="V202" s="509"/>
      <c r="W202" s="548">
        <f t="shared" si="17"/>
        <v>20.8</v>
      </c>
      <c r="X202" s="549"/>
      <c r="Y202" s="550"/>
      <c r="Z202" s="548">
        <f t="shared" si="16"/>
        <v>12.833600000000001</v>
      </c>
      <c r="AA202" s="549"/>
      <c r="AB202" s="550"/>
      <c r="AC202" s="35"/>
      <c r="AD202" s="36"/>
      <c r="AE202" s="37"/>
      <c r="AF202" s="35"/>
      <c r="AG202" s="36"/>
      <c r="AH202" s="38"/>
    </row>
    <row r="203" spans="1:35" ht="15.75">
      <c r="A203" s="519" t="str">
        <f>'MEMORIA BM 03'!A36</f>
        <v>5.4</v>
      </c>
      <c r="B203" s="520"/>
      <c r="C203" s="521"/>
      <c r="D203" s="553" t="str">
        <f>'MEMORIA BM 03'!B36</f>
        <v>ARMAÇÃO DE PILAR OU VIGA DE UMA ESTRUTURA CONVENCIONAL DE CONCRETO ARMADO EM UMA EDIFICAÇÃO TÉRREA OU SOBRADO UTILIZANDO AÇO CA-50 DE 12,5 MM - MONTAGEM. AF_12/2015</v>
      </c>
      <c r="E203" s="554"/>
      <c r="F203" s="554"/>
      <c r="G203" s="554"/>
      <c r="H203" s="554"/>
      <c r="I203" s="554"/>
      <c r="J203" s="554"/>
      <c r="K203" s="554"/>
      <c r="L203" s="554"/>
      <c r="M203" s="554"/>
      <c r="N203" s="554"/>
      <c r="O203" s="554"/>
      <c r="P203" s="554"/>
      <c r="Q203" s="554"/>
      <c r="R203" s="554"/>
      <c r="S203" s="554"/>
      <c r="T203" s="554"/>
      <c r="U203" s="554"/>
      <c r="V203" s="554"/>
      <c r="W203" s="554"/>
      <c r="X203" s="554"/>
      <c r="Y203" s="554"/>
      <c r="Z203" s="554"/>
      <c r="AA203" s="554"/>
      <c r="AB203" s="555"/>
      <c r="AC203" s="525">
        <f>SUM(Z204:AB209)</f>
        <v>270.46818000000002</v>
      </c>
      <c r="AD203" s="520"/>
      <c r="AE203" s="521"/>
      <c r="AF203" s="525" t="s">
        <v>359</v>
      </c>
      <c r="AG203" s="520"/>
      <c r="AH203" s="526"/>
      <c r="AI203">
        <v>270.47000000000003</v>
      </c>
    </row>
    <row r="204" spans="1:35" ht="15.75">
      <c r="A204" s="507"/>
      <c r="B204" s="508"/>
      <c r="C204" s="509"/>
      <c r="D204" s="545" t="s">
        <v>682</v>
      </c>
      <c r="E204" s="546"/>
      <c r="F204" s="546"/>
      <c r="G204" s="546"/>
      <c r="H204" s="546"/>
      <c r="I204" s="547"/>
      <c r="J204" s="47"/>
      <c r="K204" s="512">
        <f>((16*0.83)+(10*3.37)+(6*3.82)+(6*1.47))</f>
        <v>78.72</v>
      </c>
      <c r="L204" s="509"/>
      <c r="M204" s="512"/>
      <c r="N204" s="509"/>
      <c r="O204" s="551">
        <v>1</v>
      </c>
      <c r="P204" s="552"/>
      <c r="Q204" s="512"/>
      <c r="R204" s="509"/>
      <c r="S204" s="512"/>
      <c r="T204" s="509"/>
      <c r="U204" s="512"/>
      <c r="V204" s="509"/>
      <c r="W204" s="548">
        <f t="shared" ref="W204:W206" si="19">K204*O204</f>
        <v>78.72</v>
      </c>
      <c r="X204" s="549"/>
      <c r="Y204" s="550"/>
      <c r="Z204" s="548">
        <f>W204*0.963</f>
        <v>75.807360000000003</v>
      </c>
      <c r="AA204" s="549"/>
      <c r="AB204" s="550"/>
      <c r="AC204" s="35"/>
      <c r="AD204" s="36"/>
      <c r="AE204" s="37"/>
      <c r="AF204" s="35"/>
      <c r="AG204" s="36"/>
      <c r="AH204" s="38"/>
    </row>
    <row r="205" spans="1:35" ht="15.75">
      <c r="A205" s="507"/>
      <c r="B205" s="508"/>
      <c r="C205" s="509"/>
      <c r="D205" s="545" t="s">
        <v>683</v>
      </c>
      <c r="E205" s="546"/>
      <c r="F205" s="546"/>
      <c r="G205" s="546"/>
      <c r="H205" s="546"/>
      <c r="I205" s="547"/>
      <c r="J205" s="47"/>
      <c r="K205" s="551">
        <f>((14*0.83)+(14*3.37))</f>
        <v>58.8</v>
      </c>
      <c r="L205" s="552"/>
      <c r="M205" s="551"/>
      <c r="N205" s="552"/>
      <c r="O205" s="551">
        <v>1</v>
      </c>
      <c r="P205" s="552"/>
      <c r="Q205" s="551"/>
      <c r="R205" s="552"/>
      <c r="S205" s="551"/>
      <c r="T205" s="552"/>
      <c r="U205" s="551"/>
      <c r="V205" s="552"/>
      <c r="W205" s="548">
        <f t="shared" si="19"/>
        <v>58.8</v>
      </c>
      <c r="X205" s="549"/>
      <c r="Y205" s="550"/>
      <c r="Z205" s="548">
        <f t="shared" ref="Z205:Z209" si="20">W205*0.963</f>
        <v>56.624399999999994</v>
      </c>
      <c r="AA205" s="549"/>
      <c r="AB205" s="550"/>
      <c r="AC205" s="35"/>
      <c r="AD205" s="36"/>
      <c r="AE205" s="37"/>
      <c r="AF205" s="35"/>
      <c r="AG205" s="36"/>
      <c r="AH205" s="38"/>
    </row>
    <row r="206" spans="1:35" ht="15.75">
      <c r="A206" s="507"/>
      <c r="B206" s="508"/>
      <c r="C206" s="509"/>
      <c r="D206" s="545" t="s">
        <v>709</v>
      </c>
      <c r="E206" s="546"/>
      <c r="F206" s="546"/>
      <c r="G206" s="546"/>
      <c r="H206" s="546"/>
      <c r="I206" s="547"/>
      <c r="J206" s="47"/>
      <c r="K206" s="551">
        <f>((6*3.82)+(6*1.47))</f>
        <v>31.74</v>
      </c>
      <c r="L206" s="552"/>
      <c r="M206" s="551"/>
      <c r="N206" s="552"/>
      <c r="O206" s="551">
        <v>1</v>
      </c>
      <c r="P206" s="552"/>
      <c r="Q206" s="551"/>
      <c r="R206" s="552"/>
      <c r="S206" s="551"/>
      <c r="T206" s="552"/>
      <c r="U206" s="551"/>
      <c r="V206" s="552"/>
      <c r="W206" s="548">
        <f t="shared" si="19"/>
        <v>31.74</v>
      </c>
      <c r="X206" s="549"/>
      <c r="Y206" s="550"/>
      <c r="Z206" s="548">
        <f t="shared" si="20"/>
        <v>30.565619999999999</v>
      </c>
      <c r="AA206" s="549"/>
      <c r="AB206" s="550"/>
      <c r="AC206" s="35"/>
      <c r="AD206" s="36"/>
      <c r="AE206" s="37"/>
      <c r="AF206" s="35"/>
      <c r="AG206" s="36"/>
      <c r="AH206" s="38"/>
    </row>
    <row r="207" spans="1:35" ht="15.75">
      <c r="A207" s="507"/>
      <c r="B207" s="508"/>
      <c r="C207" s="509"/>
      <c r="D207" s="545" t="s">
        <v>726</v>
      </c>
      <c r="E207" s="546"/>
      <c r="F207" s="546"/>
      <c r="G207" s="546"/>
      <c r="H207" s="546"/>
      <c r="I207" s="547"/>
      <c r="J207" s="47"/>
      <c r="K207" s="551">
        <f>8*3.37</f>
        <v>26.96</v>
      </c>
      <c r="L207" s="552"/>
      <c r="M207" s="551"/>
      <c r="N207" s="552"/>
      <c r="O207" s="551">
        <v>1</v>
      </c>
      <c r="P207" s="552"/>
      <c r="Q207" s="551"/>
      <c r="R207" s="552"/>
      <c r="S207" s="551"/>
      <c r="T207" s="552"/>
      <c r="U207" s="551"/>
      <c r="V207" s="552"/>
      <c r="W207" s="548">
        <f t="shared" ref="W207:W209" si="21">K207*O207</f>
        <v>26.96</v>
      </c>
      <c r="X207" s="549"/>
      <c r="Y207" s="550"/>
      <c r="Z207" s="548">
        <f t="shared" si="20"/>
        <v>25.962479999999999</v>
      </c>
      <c r="AA207" s="549"/>
      <c r="AB207" s="550"/>
      <c r="AC207" s="35"/>
      <c r="AD207" s="36"/>
      <c r="AE207" s="37"/>
      <c r="AF207" s="35"/>
      <c r="AG207" s="36"/>
      <c r="AH207" s="38"/>
    </row>
    <row r="208" spans="1:35" ht="15.75">
      <c r="A208" s="507"/>
      <c r="B208" s="508"/>
      <c r="C208" s="509"/>
      <c r="D208" s="545" t="s">
        <v>727</v>
      </c>
      <c r="E208" s="546"/>
      <c r="F208" s="546"/>
      <c r="G208" s="546"/>
      <c r="H208" s="546"/>
      <c r="I208" s="547"/>
      <c r="J208" s="47"/>
      <c r="K208" s="551">
        <f>((8*3.82)+(8*1.47))</f>
        <v>42.32</v>
      </c>
      <c r="L208" s="552"/>
      <c r="M208" s="551"/>
      <c r="N208" s="552"/>
      <c r="O208" s="551">
        <v>1</v>
      </c>
      <c r="P208" s="552"/>
      <c r="Q208" s="551"/>
      <c r="R208" s="552"/>
      <c r="S208" s="551"/>
      <c r="T208" s="552"/>
      <c r="U208" s="551"/>
      <c r="V208" s="552"/>
      <c r="W208" s="548">
        <f t="shared" si="21"/>
        <v>42.32</v>
      </c>
      <c r="X208" s="549"/>
      <c r="Y208" s="550"/>
      <c r="Z208" s="548">
        <f t="shared" si="20"/>
        <v>40.754159999999999</v>
      </c>
      <c r="AA208" s="549"/>
      <c r="AB208" s="550"/>
      <c r="AC208" s="35"/>
      <c r="AD208" s="36"/>
      <c r="AE208" s="37"/>
      <c r="AF208" s="35"/>
      <c r="AG208" s="36"/>
      <c r="AH208" s="38"/>
    </row>
    <row r="209" spans="1:35" ht="15.75">
      <c r="A209" s="507"/>
      <c r="B209" s="508"/>
      <c r="C209" s="509"/>
      <c r="D209" s="545" t="s">
        <v>728</v>
      </c>
      <c r="E209" s="546"/>
      <c r="F209" s="546"/>
      <c r="G209" s="546"/>
      <c r="H209" s="546"/>
      <c r="I209" s="547"/>
      <c r="J209" s="47"/>
      <c r="K209" s="551">
        <f>((8*3.82)+(8*1.47))</f>
        <v>42.32</v>
      </c>
      <c r="L209" s="552"/>
      <c r="M209" s="551"/>
      <c r="N209" s="552"/>
      <c r="O209" s="551">
        <v>1</v>
      </c>
      <c r="P209" s="552"/>
      <c r="Q209" s="551"/>
      <c r="R209" s="552"/>
      <c r="S209" s="551"/>
      <c r="T209" s="552"/>
      <c r="U209" s="551"/>
      <c r="V209" s="552"/>
      <c r="W209" s="548">
        <f t="shared" si="21"/>
        <v>42.32</v>
      </c>
      <c r="X209" s="549"/>
      <c r="Y209" s="550"/>
      <c r="Z209" s="548">
        <f t="shared" si="20"/>
        <v>40.754159999999999</v>
      </c>
      <c r="AA209" s="549"/>
      <c r="AB209" s="550"/>
      <c r="AC209" s="35"/>
      <c r="AD209" s="36"/>
      <c r="AE209" s="37"/>
      <c r="AF209" s="35"/>
      <c r="AG209" s="36"/>
      <c r="AH209" s="38"/>
    </row>
    <row r="210" spans="1:35" ht="15.75">
      <c r="A210" s="519" t="str">
        <f>'MEMORIA BM 03'!A37</f>
        <v>5.5</v>
      </c>
      <c r="B210" s="520"/>
      <c r="C210" s="521"/>
      <c r="D210" s="553" t="str">
        <f>'MEMORIA BM 03'!B37</f>
        <v>ARMAÇÃO DE PILAR OU VIGA DE UMA ESTRUTURA CONVENCIONAL DE CONCRETO ARMADO EM UMA EDIFICAÇÃO TÉRREA OU SOBRADO UTILIZANDO AÇO CA-60 DE 5,0 MM - MONTAGEM. AF_12/2015</v>
      </c>
      <c r="E210" s="554"/>
      <c r="F210" s="554"/>
      <c r="G210" s="554"/>
      <c r="H210" s="554"/>
      <c r="I210" s="554"/>
      <c r="J210" s="554"/>
      <c r="K210" s="554"/>
      <c r="L210" s="554"/>
      <c r="M210" s="554"/>
      <c r="N210" s="554"/>
      <c r="O210" s="554"/>
      <c r="P210" s="554"/>
      <c r="Q210" s="554"/>
      <c r="R210" s="554"/>
      <c r="S210" s="554"/>
      <c r="T210" s="554"/>
      <c r="U210" s="554"/>
      <c r="V210" s="554"/>
      <c r="W210" s="554"/>
      <c r="X210" s="554"/>
      <c r="Y210" s="554"/>
      <c r="Z210" s="554"/>
      <c r="AA210" s="554"/>
      <c r="AB210" s="555"/>
      <c r="AC210" s="525">
        <f>SUM(Z211:AB303)</f>
        <v>428.65900000000056</v>
      </c>
      <c r="AD210" s="520"/>
      <c r="AE210" s="521"/>
      <c r="AF210" s="525" t="str">
        <f>'MEMORIA BM 03'!C37</f>
        <v>KG</v>
      </c>
      <c r="AG210" s="520"/>
      <c r="AH210" s="526"/>
      <c r="AI210">
        <v>428.66</v>
      </c>
    </row>
    <row r="211" spans="1:35" ht="15.75">
      <c r="A211" s="507"/>
      <c r="B211" s="508"/>
      <c r="C211" s="509"/>
      <c r="D211" s="543" t="s">
        <v>662</v>
      </c>
      <c r="E211" s="544"/>
      <c r="F211" s="544"/>
      <c r="G211" s="544"/>
      <c r="H211" s="544"/>
      <c r="I211" s="544"/>
      <c r="J211" s="47"/>
      <c r="K211" s="551">
        <f>((29*0.77)+(13*0.77))</f>
        <v>32.340000000000003</v>
      </c>
      <c r="L211" s="552"/>
      <c r="M211" s="551"/>
      <c r="N211" s="552"/>
      <c r="O211" s="551">
        <v>1</v>
      </c>
      <c r="P211" s="552"/>
      <c r="Q211" s="551"/>
      <c r="R211" s="552"/>
      <c r="S211" s="551"/>
      <c r="T211" s="552"/>
      <c r="U211" s="551"/>
      <c r="V211" s="552"/>
      <c r="W211" s="548">
        <f t="shared" ref="W211:W274" si="22">K211*O211</f>
        <v>32.340000000000003</v>
      </c>
      <c r="X211" s="549"/>
      <c r="Y211" s="550"/>
      <c r="Z211" s="548">
        <f>W211*0.154</f>
        <v>4.9803600000000001</v>
      </c>
      <c r="AA211" s="549"/>
      <c r="AB211" s="550"/>
      <c r="AC211" s="35"/>
      <c r="AD211" s="36"/>
      <c r="AE211" s="37"/>
      <c r="AF211" s="35"/>
      <c r="AG211" s="36"/>
      <c r="AH211" s="38"/>
    </row>
    <row r="212" spans="1:35" ht="15.75">
      <c r="A212" s="507"/>
      <c r="B212" s="508"/>
      <c r="C212" s="509"/>
      <c r="D212" s="543" t="s">
        <v>663</v>
      </c>
      <c r="E212" s="544"/>
      <c r="F212" s="544"/>
      <c r="G212" s="544"/>
      <c r="H212" s="544"/>
      <c r="I212" s="544"/>
      <c r="J212" s="47"/>
      <c r="K212" s="551">
        <f>((29*0.87)+(13*0.87))</f>
        <v>36.54</v>
      </c>
      <c r="L212" s="552"/>
      <c r="M212" s="551"/>
      <c r="N212" s="552"/>
      <c r="O212" s="551">
        <v>1</v>
      </c>
      <c r="P212" s="552"/>
      <c r="Q212" s="551"/>
      <c r="R212" s="552"/>
      <c r="S212" s="551"/>
      <c r="T212" s="552"/>
      <c r="U212" s="551"/>
      <c r="V212" s="552"/>
      <c r="W212" s="548">
        <f t="shared" si="22"/>
        <v>36.54</v>
      </c>
      <c r="X212" s="549"/>
      <c r="Y212" s="550"/>
      <c r="Z212" s="548">
        <f t="shared" ref="Z212:Z275" si="23">W212*0.154</f>
        <v>5.6271599999999999</v>
      </c>
      <c r="AA212" s="549"/>
      <c r="AB212" s="550"/>
      <c r="AC212" s="35"/>
      <c r="AD212" s="36"/>
      <c r="AE212" s="37"/>
      <c r="AF212" s="35"/>
      <c r="AG212" s="36"/>
      <c r="AH212" s="38"/>
    </row>
    <row r="213" spans="1:35" ht="15.75">
      <c r="A213" s="507"/>
      <c r="B213" s="508"/>
      <c r="C213" s="509"/>
      <c r="D213" s="543" t="s">
        <v>664</v>
      </c>
      <c r="E213" s="544"/>
      <c r="F213" s="544"/>
      <c r="G213" s="544"/>
      <c r="H213" s="544"/>
      <c r="I213" s="544"/>
      <c r="J213" s="47"/>
      <c r="K213" s="551">
        <f>((29*0.87)+(13*0.87))</f>
        <v>36.54</v>
      </c>
      <c r="L213" s="552"/>
      <c r="M213" s="551"/>
      <c r="N213" s="552"/>
      <c r="O213" s="551">
        <v>1</v>
      </c>
      <c r="P213" s="552"/>
      <c r="Q213" s="551"/>
      <c r="R213" s="552"/>
      <c r="S213" s="551"/>
      <c r="T213" s="552"/>
      <c r="U213" s="551"/>
      <c r="V213" s="552"/>
      <c r="W213" s="548">
        <f t="shared" si="22"/>
        <v>36.54</v>
      </c>
      <c r="X213" s="549"/>
      <c r="Y213" s="550"/>
      <c r="Z213" s="548">
        <f t="shared" si="23"/>
        <v>5.6271599999999999</v>
      </c>
      <c r="AA213" s="549"/>
      <c r="AB213" s="550"/>
      <c r="AC213" s="35"/>
      <c r="AD213" s="36"/>
      <c r="AE213" s="37"/>
      <c r="AF213" s="35"/>
      <c r="AG213" s="36"/>
      <c r="AH213" s="38"/>
    </row>
    <row r="214" spans="1:35" ht="15.75">
      <c r="A214" s="507"/>
      <c r="B214" s="508"/>
      <c r="C214" s="509"/>
      <c r="D214" s="543" t="s">
        <v>665</v>
      </c>
      <c r="E214" s="544"/>
      <c r="F214" s="544"/>
      <c r="G214" s="544"/>
      <c r="H214" s="544"/>
      <c r="I214" s="544"/>
      <c r="J214" s="47"/>
      <c r="K214" s="551">
        <f>((29*0.87)+(13*0.87))</f>
        <v>36.54</v>
      </c>
      <c r="L214" s="552"/>
      <c r="M214" s="551"/>
      <c r="N214" s="552"/>
      <c r="O214" s="551">
        <v>1</v>
      </c>
      <c r="P214" s="552"/>
      <c r="Q214" s="551"/>
      <c r="R214" s="552"/>
      <c r="S214" s="551"/>
      <c r="T214" s="552"/>
      <c r="U214" s="551"/>
      <c r="V214" s="552"/>
      <c r="W214" s="548">
        <f t="shared" si="22"/>
        <v>36.54</v>
      </c>
      <c r="X214" s="549"/>
      <c r="Y214" s="550"/>
      <c r="Z214" s="548">
        <f t="shared" si="23"/>
        <v>5.6271599999999999</v>
      </c>
      <c r="AA214" s="549"/>
      <c r="AB214" s="550"/>
      <c r="AC214" s="35"/>
      <c r="AD214" s="36"/>
      <c r="AE214" s="37"/>
      <c r="AF214" s="35"/>
      <c r="AG214" s="36"/>
      <c r="AH214" s="38"/>
    </row>
    <row r="215" spans="1:35" ht="15.75">
      <c r="A215" s="507"/>
      <c r="B215" s="508"/>
      <c r="C215" s="509"/>
      <c r="D215" s="543" t="s">
        <v>666</v>
      </c>
      <c r="E215" s="544"/>
      <c r="F215" s="544"/>
      <c r="G215" s="544"/>
      <c r="H215" s="544"/>
      <c r="I215" s="544"/>
      <c r="J215" s="47"/>
      <c r="K215" s="551">
        <f>((29*0.77)+(13*0.77))</f>
        <v>32.340000000000003</v>
      </c>
      <c r="L215" s="552"/>
      <c r="M215" s="551"/>
      <c r="N215" s="552"/>
      <c r="O215" s="551">
        <v>1</v>
      </c>
      <c r="P215" s="552"/>
      <c r="Q215" s="512"/>
      <c r="R215" s="509"/>
      <c r="S215" s="512"/>
      <c r="T215" s="509"/>
      <c r="U215" s="512"/>
      <c r="V215" s="509"/>
      <c r="W215" s="548">
        <f t="shared" si="22"/>
        <v>32.340000000000003</v>
      </c>
      <c r="X215" s="549"/>
      <c r="Y215" s="550"/>
      <c r="Z215" s="548">
        <f t="shared" si="23"/>
        <v>4.9803600000000001</v>
      </c>
      <c r="AA215" s="549"/>
      <c r="AB215" s="550"/>
      <c r="AC215" s="35"/>
      <c r="AD215" s="36"/>
      <c r="AE215" s="37"/>
      <c r="AF215" s="35"/>
      <c r="AG215" s="36"/>
      <c r="AH215" s="38"/>
    </row>
    <row r="216" spans="1:35" ht="15.75">
      <c r="A216" s="507"/>
      <c r="B216" s="508"/>
      <c r="C216" s="509"/>
      <c r="D216" s="543" t="s">
        <v>667</v>
      </c>
      <c r="E216" s="544"/>
      <c r="F216" s="544"/>
      <c r="G216" s="544"/>
      <c r="H216" s="544"/>
      <c r="I216" s="544"/>
      <c r="J216" s="47"/>
      <c r="K216" s="551">
        <f>((29*0.77)+(13*0.77))</f>
        <v>32.340000000000003</v>
      </c>
      <c r="L216" s="552"/>
      <c r="M216" s="551"/>
      <c r="N216" s="552"/>
      <c r="O216" s="551">
        <v>1</v>
      </c>
      <c r="P216" s="552"/>
      <c r="Q216" s="551"/>
      <c r="R216" s="552"/>
      <c r="S216" s="551"/>
      <c r="T216" s="552"/>
      <c r="U216" s="551"/>
      <c r="V216" s="552"/>
      <c r="W216" s="548">
        <f t="shared" si="22"/>
        <v>32.340000000000003</v>
      </c>
      <c r="X216" s="549"/>
      <c r="Y216" s="550"/>
      <c r="Z216" s="548">
        <f t="shared" si="23"/>
        <v>4.9803600000000001</v>
      </c>
      <c r="AA216" s="549"/>
      <c r="AB216" s="550"/>
      <c r="AC216" s="35"/>
      <c r="AD216" s="36"/>
      <c r="AE216" s="37"/>
      <c r="AF216" s="35"/>
      <c r="AG216" s="36"/>
      <c r="AH216" s="38"/>
    </row>
    <row r="217" spans="1:35" ht="15.75">
      <c r="A217" s="507"/>
      <c r="B217" s="508"/>
      <c r="C217" s="509"/>
      <c r="D217" s="543" t="s">
        <v>668</v>
      </c>
      <c r="E217" s="544"/>
      <c r="F217" s="544"/>
      <c r="G217" s="544"/>
      <c r="H217" s="544"/>
      <c r="I217" s="544"/>
      <c r="J217" s="47"/>
      <c r="K217" s="551">
        <f>((29*0.77)+(13*0.77))</f>
        <v>32.340000000000003</v>
      </c>
      <c r="L217" s="552"/>
      <c r="M217" s="551"/>
      <c r="N217" s="552"/>
      <c r="O217" s="551">
        <v>1</v>
      </c>
      <c r="P217" s="552"/>
      <c r="Q217" s="551"/>
      <c r="R217" s="552"/>
      <c r="S217" s="551"/>
      <c r="T217" s="552"/>
      <c r="U217" s="551"/>
      <c r="V217" s="552"/>
      <c r="W217" s="548">
        <f t="shared" si="22"/>
        <v>32.340000000000003</v>
      </c>
      <c r="X217" s="549"/>
      <c r="Y217" s="550"/>
      <c r="Z217" s="548">
        <f t="shared" si="23"/>
        <v>4.9803600000000001</v>
      </c>
      <c r="AA217" s="549"/>
      <c r="AB217" s="550"/>
      <c r="AC217" s="35"/>
      <c r="AD217" s="36"/>
      <c r="AE217" s="37"/>
      <c r="AF217" s="35"/>
      <c r="AG217" s="36"/>
      <c r="AH217" s="38"/>
    </row>
    <row r="218" spans="1:35" ht="15.75">
      <c r="A218" s="507"/>
      <c r="B218" s="508"/>
      <c r="C218" s="509"/>
      <c r="D218" s="543" t="s">
        <v>669</v>
      </c>
      <c r="E218" s="544"/>
      <c r="F218" s="544"/>
      <c r="G218" s="544"/>
      <c r="H218" s="544"/>
      <c r="I218" s="544"/>
      <c r="J218" s="47"/>
      <c r="K218" s="551">
        <f>((29*0.77)+(13*0.77))</f>
        <v>32.340000000000003</v>
      </c>
      <c r="L218" s="552"/>
      <c r="M218" s="551"/>
      <c r="N218" s="552"/>
      <c r="O218" s="551">
        <v>1</v>
      </c>
      <c r="P218" s="552"/>
      <c r="Q218" s="551"/>
      <c r="R218" s="552"/>
      <c r="S218" s="551"/>
      <c r="T218" s="552"/>
      <c r="U218" s="551"/>
      <c r="V218" s="552"/>
      <c r="W218" s="548">
        <f t="shared" si="22"/>
        <v>32.340000000000003</v>
      </c>
      <c r="X218" s="549"/>
      <c r="Y218" s="550"/>
      <c r="Z218" s="548">
        <f t="shared" si="23"/>
        <v>4.9803600000000001</v>
      </c>
      <c r="AA218" s="549"/>
      <c r="AB218" s="550"/>
      <c r="AC218" s="35"/>
      <c r="AD218" s="36"/>
      <c r="AE218" s="37"/>
      <c r="AF218" s="35"/>
      <c r="AG218" s="36"/>
      <c r="AH218" s="38"/>
    </row>
    <row r="219" spans="1:35" ht="15.75">
      <c r="A219" s="507"/>
      <c r="B219" s="508"/>
      <c r="C219" s="509"/>
      <c r="D219" s="543" t="s">
        <v>670</v>
      </c>
      <c r="E219" s="544"/>
      <c r="F219" s="544"/>
      <c r="G219" s="544"/>
      <c r="H219" s="544"/>
      <c r="I219" s="544"/>
      <c r="J219" s="47"/>
      <c r="K219" s="551">
        <f>29*0.77</f>
        <v>22.330000000000002</v>
      </c>
      <c r="L219" s="552"/>
      <c r="M219" s="551"/>
      <c r="N219" s="552"/>
      <c r="O219" s="551">
        <v>1</v>
      </c>
      <c r="P219" s="552"/>
      <c r="Q219" s="551"/>
      <c r="R219" s="552"/>
      <c r="S219" s="551"/>
      <c r="T219" s="552"/>
      <c r="U219" s="551"/>
      <c r="V219" s="552"/>
      <c r="W219" s="548">
        <f t="shared" si="22"/>
        <v>22.330000000000002</v>
      </c>
      <c r="X219" s="549"/>
      <c r="Y219" s="550"/>
      <c r="Z219" s="548">
        <f t="shared" si="23"/>
        <v>3.4388200000000002</v>
      </c>
      <c r="AA219" s="549"/>
      <c r="AB219" s="550"/>
      <c r="AC219" s="35"/>
      <c r="AD219" s="36"/>
      <c r="AE219" s="37"/>
      <c r="AF219" s="35"/>
      <c r="AG219" s="36"/>
      <c r="AH219" s="38"/>
    </row>
    <row r="220" spans="1:35" ht="15.75">
      <c r="A220" s="507"/>
      <c r="B220" s="508"/>
      <c r="C220" s="509"/>
      <c r="D220" s="543" t="s">
        <v>671</v>
      </c>
      <c r="E220" s="544"/>
      <c r="F220" s="544"/>
      <c r="G220" s="544"/>
      <c r="H220" s="544"/>
      <c r="I220" s="544"/>
      <c r="J220" s="47"/>
      <c r="K220" s="551">
        <f>((29*0.77)+(13*0.77))</f>
        <v>32.340000000000003</v>
      </c>
      <c r="L220" s="552"/>
      <c r="M220" s="551"/>
      <c r="N220" s="552"/>
      <c r="O220" s="551">
        <v>1</v>
      </c>
      <c r="P220" s="552"/>
      <c r="Q220" s="551"/>
      <c r="R220" s="552"/>
      <c r="S220" s="551"/>
      <c r="T220" s="552"/>
      <c r="U220" s="551"/>
      <c r="V220" s="552"/>
      <c r="W220" s="548">
        <f t="shared" si="22"/>
        <v>32.340000000000003</v>
      </c>
      <c r="X220" s="549"/>
      <c r="Y220" s="550"/>
      <c r="Z220" s="548">
        <f t="shared" si="23"/>
        <v>4.9803600000000001</v>
      </c>
      <c r="AA220" s="549"/>
      <c r="AB220" s="550"/>
      <c r="AC220" s="35"/>
      <c r="AD220" s="36"/>
      <c r="AE220" s="37"/>
      <c r="AF220" s="35"/>
      <c r="AG220" s="36"/>
      <c r="AH220" s="38"/>
    </row>
    <row r="221" spans="1:35" ht="15.75">
      <c r="A221" s="507"/>
      <c r="B221" s="508"/>
      <c r="C221" s="509"/>
      <c r="D221" s="543" t="s">
        <v>672</v>
      </c>
      <c r="E221" s="544"/>
      <c r="F221" s="544"/>
      <c r="G221" s="544"/>
      <c r="H221" s="544"/>
      <c r="I221" s="544"/>
      <c r="J221" s="47"/>
      <c r="K221" s="551">
        <f>((29*0.77)+(13*0.77))</f>
        <v>32.340000000000003</v>
      </c>
      <c r="L221" s="552"/>
      <c r="M221" s="551"/>
      <c r="N221" s="552"/>
      <c r="O221" s="551">
        <v>1</v>
      </c>
      <c r="P221" s="552"/>
      <c r="Q221" s="551"/>
      <c r="R221" s="552"/>
      <c r="S221" s="551"/>
      <c r="T221" s="552"/>
      <c r="U221" s="551"/>
      <c r="V221" s="552"/>
      <c r="W221" s="548">
        <f t="shared" si="22"/>
        <v>32.340000000000003</v>
      </c>
      <c r="X221" s="549"/>
      <c r="Y221" s="550"/>
      <c r="Z221" s="548">
        <f t="shared" si="23"/>
        <v>4.9803600000000001</v>
      </c>
      <c r="AA221" s="549"/>
      <c r="AB221" s="550"/>
      <c r="AC221" s="35"/>
      <c r="AD221" s="36"/>
      <c r="AE221" s="37"/>
      <c r="AF221" s="35"/>
      <c r="AG221" s="36"/>
      <c r="AH221" s="38"/>
    </row>
    <row r="222" spans="1:35" ht="15.75">
      <c r="A222" s="507"/>
      <c r="B222" s="508"/>
      <c r="C222" s="509"/>
      <c r="D222" s="543" t="s">
        <v>673</v>
      </c>
      <c r="E222" s="544"/>
      <c r="F222" s="544"/>
      <c r="G222" s="544"/>
      <c r="H222" s="544"/>
      <c r="I222" s="544"/>
      <c r="J222" s="47"/>
      <c r="K222" s="551">
        <f>29*0.77</f>
        <v>22.330000000000002</v>
      </c>
      <c r="L222" s="552"/>
      <c r="M222" s="551"/>
      <c r="N222" s="552"/>
      <c r="O222" s="551">
        <v>1</v>
      </c>
      <c r="P222" s="552"/>
      <c r="Q222" s="551"/>
      <c r="R222" s="552"/>
      <c r="S222" s="551"/>
      <c r="T222" s="552"/>
      <c r="U222" s="551"/>
      <c r="V222" s="552"/>
      <c r="W222" s="548">
        <f t="shared" si="22"/>
        <v>22.330000000000002</v>
      </c>
      <c r="X222" s="549"/>
      <c r="Y222" s="550"/>
      <c r="Z222" s="548">
        <f t="shared" si="23"/>
        <v>3.4388200000000002</v>
      </c>
      <c r="AA222" s="549"/>
      <c r="AB222" s="550"/>
      <c r="AC222" s="35"/>
      <c r="AD222" s="36"/>
      <c r="AE222" s="37"/>
      <c r="AF222" s="35"/>
      <c r="AG222" s="36"/>
      <c r="AH222" s="38"/>
    </row>
    <row r="223" spans="1:35" ht="15.75">
      <c r="A223" s="507"/>
      <c r="B223" s="508"/>
      <c r="C223" s="509"/>
      <c r="D223" s="543" t="s">
        <v>674</v>
      </c>
      <c r="E223" s="544"/>
      <c r="F223" s="544"/>
      <c r="G223" s="544"/>
      <c r="H223" s="544"/>
      <c r="I223" s="544"/>
      <c r="J223" s="47"/>
      <c r="K223" s="512">
        <f>29*0.87</f>
        <v>25.23</v>
      </c>
      <c r="L223" s="509"/>
      <c r="M223" s="512"/>
      <c r="N223" s="509"/>
      <c r="O223" s="551">
        <v>1</v>
      </c>
      <c r="P223" s="552"/>
      <c r="Q223" s="512"/>
      <c r="R223" s="509"/>
      <c r="S223" s="512"/>
      <c r="T223" s="509"/>
      <c r="U223" s="512"/>
      <c r="V223" s="509"/>
      <c r="W223" s="548">
        <f t="shared" si="22"/>
        <v>25.23</v>
      </c>
      <c r="X223" s="549"/>
      <c r="Y223" s="550"/>
      <c r="Z223" s="548">
        <f t="shared" si="23"/>
        <v>3.8854199999999999</v>
      </c>
      <c r="AA223" s="549"/>
      <c r="AB223" s="550"/>
      <c r="AC223" s="35"/>
      <c r="AD223" s="36"/>
      <c r="AE223" s="37"/>
      <c r="AF223" s="35"/>
      <c r="AG223" s="36"/>
      <c r="AH223" s="38"/>
    </row>
    <row r="224" spans="1:35" ht="15.75">
      <c r="A224" s="507"/>
      <c r="B224" s="508"/>
      <c r="C224" s="509"/>
      <c r="D224" s="545" t="s">
        <v>675</v>
      </c>
      <c r="E224" s="546"/>
      <c r="F224" s="546"/>
      <c r="G224" s="546"/>
      <c r="H224" s="546"/>
      <c r="I224" s="547"/>
      <c r="J224" s="47"/>
      <c r="K224" s="551">
        <f>29*0.77</f>
        <v>22.330000000000002</v>
      </c>
      <c r="L224" s="552"/>
      <c r="M224" s="551"/>
      <c r="N224" s="552"/>
      <c r="O224" s="551">
        <v>1</v>
      </c>
      <c r="P224" s="552"/>
      <c r="Q224" s="551"/>
      <c r="R224" s="552"/>
      <c r="S224" s="551"/>
      <c r="T224" s="552"/>
      <c r="U224" s="551"/>
      <c r="V224" s="552"/>
      <c r="W224" s="548">
        <f t="shared" si="22"/>
        <v>22.330000000000002</v>
      </c>
      <c r="X224" s="549"/>
      <c r="Y224" s="550"/>
      <c r="Z224" s="548">
        <f t="shared" si="23"/>
        <v>3.4388200000000002</v>
      </c>
      <c r="AA224" s="549"/>
      <c r="AB224" s="550"/>
      <c r="AC224" s="35"/>
      <c r="AD224" s="36"/>
      <c r="AE224" s="37"/>
      <c r="AF224" s="35"/>
      <c r="AG224" s="36"/>
      <c r="AH224" s="38"/>
    </row>
    <row r="225" spans="1:34" ht="15.75">
      <c r="A225" s="507"/>
      <c r="B225" s="508"/>
      <c r="C225" s="509"/>
      <c r="D225" s="545" t="s">
        <v>677</v>
      </c>
      <c r="E225" s="546"/>
      <c r="F225" s="546"/>
      <c r="G225" s="546"/>
      <c r="H225" s="546"/>
      <c r="I225" s="547"/>
      <c r="J225" s="47"/>
      <c r="K225" s="551">
        <f>29*0.77</f>
        <v>22.330000000000002</v>
      </c>
      <c r="L225" s="552"/>
      <c r="M225" s="551"/>
      <c r="N225" s="552"/>
      <c r="O225" s="551">
        <v>1</v>
      </c>
      <c r="P225" s="552"/>
      <c r="Q225" s="551"/>
      <c r="R225" s="552"/>
      <c r="S225" s="551"/>
      <c r="T225" s="552"/>
      <c r="U225" s="551"/>
      <c r="V225" s="552"/>
      <c r="W225" s="548">
        <f t="shared" si="22"/>
        <v>22.330000000000002</v>
      </c>
      <c r="X225" s="549"/>
      <c r="Y225" s="550"/>
      <c r="Z225" s="548">
        <f t="shared" si="23"/>
        <v>3.4388200000000002</v>
      </c>
      <c r="AA225" s="549"/>
      <c r="AB225" s="550"/>
      <c r="AC225" s="35"/>
      <c r="AD225" s="36"/>
      <c r="AE225" s="37"/>
      <c r="AF225" s="35"/>
      <c r="AG225" s="36"/>
      <c r="AH225" s="38"/>
    </row>
    <row r="226" spans="1:34" ht="15.75">
      <c r="A226" s="507"/>
      <c r="B226" s="508"/>
      <c r="C226" s="509"/>
      <c r="D226" s="545" t="s">
        <v>678</v>
      </c>
      <c r="E226" s="546"/>
      <c r="F226" s="546"/>
      <c r="G226" s="546"/>
      <c r="H226" s="546"/>
      <c r="I226" s="547"/>
      <c r="J226" s="47"/>
      <c r="K226" s="551">
        <f>((29*0.77)+(13*0.77))</f>
        <v>32.340000000000003</v>
      </c>
      <c r="L226" s="552"/>
      <c r="M226" s="551"/>
      <c r="N226" s="552"/>
      <c r="O226" s="551">
        <v>1</v>
      </c>
      <c r="P226" s="552"/>
      <c r="Q226" s="551"/>
      <c r="R226" s="552"/>
      <c r="S226" s="551"/>
      <c r="T226" s="552"/>
      <c r="U226" s="551"/>
      <c r="V226" s="552"/>
      <c r="W226" s="548">
        <f t="shared" si="22"/>
        <v>32.340000000000003</v>
      </c>
      <c r="X226" s="549"/>
      <c r="Y226" s="550"/>
      <c r="Z226" s="548">
        <f t="shared" si="23"/>
        <v>4.9803600000000001</v>
      </c>
      <c r="AA226" s="549"/>
      <c r="AB226" s="550"/>
      <c r="AC226" s="35"/>
      <c r="AD226" s="36"/>
      <c r="AE226" s="37"/>
      <c r="AF226" s="35"/>
      <c r="AG226" s="36"/>
      <c r="AH226" s="38"/>
    </row>
    <row r="227" spans="1:34" ht="15.75">
      <c r="A227" s="507"/>
      <c r="B227" s="508"/>
      <c r="C227" s="509"/>
      <c r="D227" s="545" t="s">
        <v>679</v>
      </c>
      <c r="E227" s="546"/>
      <c r="F227" s="546"/>
      <c r="G227" s="546"/>
      <c r="H227" s="546"/>
      <c r="I227" s="547"/>
      <c r="J227" s="47"/>
      <c r="K227" s="551">
        <f>29*0.77</f>
        <v>22.330000000000002</v>
      </c>
      <c r="L227" s="552"/>
      <c r="M227" s="551"/>
      <c r="N227" s="552"/>
      <c r="O227" s="551">
        <v>1</v>
      </c>
      <c r="P227" s="552"/>
      <c r="Q227" s="551"/>
      <c r="R227" s="552"/>
      <c r="S227" s="551"/>
      <c r="T227" s="552"/>
      <c r="U227" s="551"/>
      <c r="V227" s="552"/>
      <c r="W227" s="548">
        <f t="shared" si="22"/>
        <v>22.330000000000002</v>
      </c>
      <c r="X227" s="549"/>
      <c r="Y227" s="550"/>
      <c r="Z227" s="548">
        <f t="shared" si="23"/>
        <v>3.4388200000000002</v>
      </c>
      <c r="AA227" s="549"/>
      <c r="AB227" s="550"/>
      <c r="AC227" s="35"/>
      <c r="AD227" s="36"/>
      <c r="AE227" s="37"/>
      <c r="AF227" s="35"/>
      <c r="AG227" s="36"/>
      <c r="AH227" s="38"/>
    </row>
    <row r="228" spans="1:34" ht="15.75">
      <c r="A228" s="507"/>
      <c r="B228" s="508"/>
      <c r="C228" s="509"/>
      <c r="D228" s="545" t="s">
        <v>680</v>
      </c>
      <c r="E228" s="546"/>
      <c r="F228" s="546"/>
      <c r="G228" s="546"/>
      <c r="H228" s="546"/>
      <c r="I228" s="547"/>
      <c r="J228" s="47"/>
      <c r="K228" s="551">
        <f>((29*0.77)+(13*0.77))</f>
        <v>32.340000000000003</v>
      </c>
      <c r="L228" s="552"/>
      <c r="M228" s="551"/>
      <c r="N228" s="552"/>
      <c r="O228" s="551">
        <v>1</v>
      </c>
      <c r="P228" s="552"/>
      <c r="Q228" s="551"/>
      <c r="R228" s="552"/>
      <c r="S228" s="551"/>
      <c r="T228" s="552"/>
      <c r="U228" s="551"/>
      <c r="V228" s="552"/>
      <c r="W228" s="548">
        <f t="shared" si="22"/>
        <v>32.340000000000003</v>
      </c>
      <c r="X228" s="549"/>
      <c r="Y228" s="550"/>
      <c r="Z228" s="548">
        <f t="shared" si="23"/>
        <v>4.9803600000000001</v>
      </c>
      <c r="AA228" s="549"/>
      <c r="AB228" s="550"/>
      <c r="AC228" s="35"/>
      <c r="AD228" s="36"/>
      <c r="AE228" s="37"/>
      <c r="AF228" s="35"/>
      <c r="AG228" s="36"/>
      <c r="AH228" s="38"/>
    </row>
    <row r="229" spans="1:34" ht="15.75">
      <c r="A229" s="507"/>
      <c r="B229" s="508"/>
      <c r="C229" s="509"/>
      <c r="D229" s="545" t="s">
        <v>676</v>
      </c>
      <c r="E229" s="546"/>
      <c r="F229" s="546"/>
      <c r="G229" s="546"/>
      <c r="H229" s="546"/>
      <c r="I229" s="547"/>
      <c r="J229" s="47"/>
      <c r="K229" s="551">
        <f>29*0.77</f>
        <v>22.330000000000002</v>
      </c>
      <c r="L229" s="552"/>
      <c r="M229" s="551"/>
      <c r="N229" s="552"/>
      <c r="O229" s="551">
        <v>1</v>
      </c>
      <c r="P229" s="552"/>
      <c r="Q229" s="551"/>
      <c r="R229" s="552"/>
      <c r="S229" s="551"/>
      <c r="T229" s="552"/>
      <c r="U229" s="551"/>
      <c r="V229" s="552"/>
      <c r="W229" s="548">
        <f t="shared" si="22"/>
        <v>22.330000000000002</v>
      </c>
      <c r="X229" s="549"/>
      <c r="Y229" s="550"/>
      <c r="Z229" s="548">
        <f t="shared" si="23"/>
        <v>3.4388200000000002</v>
      </c>
      <c r="AA229" s="549"/>
      <c r="AB229" s="550"/>
      <c r="AC229" s="35"/>
      <c r="AD229" s="36"/>
      <c r="AE229" s="37"/>
      <c r="AF229" s="35"/>
      <c r="AG229" s="36"/>
      <c r="AH229" s="38"/>
    </row>
    <row r="230" spans="1:34" ht="15.75">
      <c r="A230" s="507"/>
      <c r="B230" s="508"/>
      <c r="C230" s="509"/>
      <c r="D230" s="545" t="s">
        <v>681</v>
      </c>
      <c r="E230" s="546"/>
      <c r="F230" s="546"/>
      <c r="G230" s="546"/>
      <c r="H230" s="546"/>
      <c r="I230" s="547"/>
      <c r="J230" s="47"/>
      <c r="K230" s="551">
        <f>((29*0.77)+(13*0.77))</f>
        <v>32.340000000000003</v>
      </c>
      <c r="L230" s="552"/>
      <c r="M230" s="551"/>
      <c r="N230" s="552"/>
      <c r="O230" s="551">
        <v>1</v>
      </c>
      <c r="P230" s="552"/>
      <c r="Q230" s="551"/>
      <c r="R230" s="552"/>
      <c r="S230" s="551"/>
      <c r="T230" s="552"/>
      <c r="U230" s="551"/>
      <c r="V230" s="552"/>
      <c r="W230" s="548">
        <f t="shared" si="22"/>
        <v>32.340000000000003</v>
      </c>
      <c r="X230" s="549"/>
      <c r="Y230" s="550"/>
      <c r="Z230" s="548">
        <f t="shared" si="23"/>
        <v>4.9803600000000001</v>
      </c>
      <c r="AA230" s="549"/>
      <c r="AB230" s="550"/>
      <c r="AC230" s="35"/>
      <c r="AD230" s="36"/>
      <c r="AE230" s="37"/>
      <c r="AF230" s="35"/>
      <c r="AG230" s="36"/>
      <c r="AH230" s="38"/>
    </row>
    <row r="231" spans="1:34" ht="15.75">
      <c r="A231" s="507"/>
      <c r="B231" s="508"/>
      <c r="C231" s="509"/>
      <c r="D231" s="545" t="s">
        <v>682</v>
      </c>
      <c r="E231" s="546"/>
      <c r="F231" s="546"/>
      <c r="G231" s="546"/>
      <c r="H231" s="546"/>
      <c r="I231" s="547"/>
      <c r="J231" s="47"/>
      <c r="K231" s="512">
        <f>((2*23*0.24)+(23*0.97)+(13*0.24)+(13*0.97))</f>
        <v>49.079999999999991</v>
      </c>
      <c r="L231" s="509"/>
      <c r="M231" s="512"/>
      <c r="N231" s="509"/>
      <c r="O231" s="551">
        <v>1</v>
      </c>
      <c r="P231" s="552"/>
      <c r="Q231" s="512"/>
      <c r="R231" s="509"/>
      <c r="S231" s="512"/>
      <c r="T231" s="509"/>
      <c r="U231" s="512"/>
      <c r="V231" s="509"/>
      <c r="W231" s="548">
        <f t="shared" si="22"/>
        <v>49.079999999999991</v>
      </c>
      <c r="X231" s="549"/>
      <c r="Y231" s="550"/>
      <c r="Z231" s="548">
        <f t="shared" si="23"/>
        <v>7.5583199999999984</v>
      </c>
      <c r="AA231" s="549"/>
      <c r="AB231" s="550"/>
      <c r="AC231" s="35"/>
      <c r="AD231" s="36"/>
      <c r="AE231" s="37"/>
      <c r="AF231" s="35"/>
      <c r="AG231" s="36"/>
      <c r="AH231" s="38"/>
    </row>
    <row r="232" spans="1:34" ht="15.75">
      <c r="A232" s="507"/>
      <c r="B232" s="508"/>
      <c r="C232" s="509"/>
      <c r="D232" s="545" t="s">
        <v>683</v>
      </c>
      <c r="E232" s="546"/>
      <c r="F232" s="546"/>
      <c r="G232" s="546"/>
      <c r="H232" s="546"/>
      <c r="I232" s="547"/>
      <c r="J232" s="47"/>
      <c r="K232" s="551">
        <f>((3*23*0.29)+(23*1.07))</f>
        <v>44.620000000000005</v>
      </c>
      <c r="L232" s="552"/>
      <c r="M232" s="551"/>
      <c r="N232" s="552"/>
      <c r="O232" s="551">
        <v>1</v>
      </c>
      <c r="P232" s="552"/>
      <c r="Q232" s="551"/>
      <c r="R232" s="552"/>
      <c r="S232" s="551"/>
      <c r="T232" s="552"/>
      <c r="U232" s="551"/>
      <c r="V232" s="552"/>
      <c r="W232" s="548">
        <f t="shared" si="22"/>
        <v>44.620000000000005</v>
      </c>
      <c r="X232" s="549"/>
      <c r="Y232" s="550"/>
      <c r="Z232" s="548">
        <f t="shared" si="23"/>
        <v>6.8714800000000009</v>
      </c>
      <c r="AA232" s="549"/>
      <c r="AB232" s="550"/>
      <c r="AC232" s="35"/>
      <c r="AD232" s="36"/>
      <c r="AE232" s="37"/>
      <c r="AF232" s="35"/>
      <c r="AG232" s="36"/>
      <c r="AH232" s="38"/>
    </row>
    <row r="233" spans="1:34" ht="15.75">
      <c r="A233" s="507"/>
      <c r="B233" s="508"/>
      <c r="C233" s="509"/>
      <c r="D233" s="545" t="s">
        <v>684</v>
      </c>
      <c r="E233" s="546"/>
      <c r="F233" s="546"/>
      <c r="G233" s="546"/>
      <c r="H233" s="546"/>
      <c r="I233" s="547"/>
      <c r="J233" s="47"/>
      <c r="K233" s="551">
        <f>((29*0.77)+(13*0.77))</f>
        <v>32.340000000000003</v>
      </c>
      <c r="L233" s="552"/>
      <c r="M233" s="551"/>
      <c r="N233" s="552"/>
      <c r="O233" s="551">
        <v>1</v>
      </c>
      <c r="P233" s="552"/>
      <c r="Q233" s="551"/>
      <c r="R233" s="552"/>
      <c r="S233" s="551"/>
      <c r="T233" s="552"/>
      <c r="U233" s="551"/>
      <c r="V233" s="552"/>
      <c r="W233" s="548">
        <f t="shared" si="22"/>
        <v>32.340000000000003</v>
      </c>
      <c r="X233" s="549"/>
      <c r="Y233" s="550"/>
      <c r="Z233" s="548">
        <f t="shared" si="23"/>
        <v>4.9803600000000001</v>
      </c>
      <c r="AA233" s="549"/>
      <c r="AB233" s="550"/>
      <c r="AC233" s="35"/>
      <c r="AD233" s="36"/>
      <c r="AE233" s="37"/>
      <c r="AF233" s="35"/>
      <c r="AG233" s="36"/>
      <c r="AH233" s="38"/>
    </row>
    <row r="234" spans="1:34" ht="15.75">
      <c r="A234" s="507"/>
      <c r="B234" s="508"/>
      <c r="C234" s="509"/>
      <c r="D234" s="545" t="s">
        <v>685</v>
      </c>
      <c r="E234" s="546"/>
      <c r="F234" s="546"/>
      <c r="G234" s="546"/>
      <c r="H234" s="546"/>
      <c r="I234" s="547"/>
      <c r="J234" s="47"/>
      <c r="K234" s="551">
        <f t="shared" ref="K234:K250" si="24">((29*0.77)+(13*0.77))</f>
        <v>32.340000000000003</v>
      </c>
      <c r="L234" s="552"/>
      <c r="M234" s="551"/>
      <c r="N234" s="552"/>
      <c r="O234" s="551">
        <v>1</v>
      </c>
      <c r="P234" s="552"/>
      <c r="Q234" s="551"/>
      <c r="R234" s="552"/>
      <c r="S234" s="551"/>
      <c r="T234" s="552"/>
      <c r="U234" s="551"/>
      <c r="V234" s="552"/>
      <c r="W234" s="548">
        <f t="shared" si="22"/>
        <v>32.340000000000003</v>
      </c>
      <c r="X234" s="549"/>
      <c r="Y234" s="550"/>
      <c r="Z234" s="548">
        <f t="shared" si="23"/>
        <v>4.9803600000000001</v>
      </c>
      <c r="AA234" s="549"/>
      <c r="AB234" s="550"/>
      <c r="AC234" s="35"/>
      <c r="AD234" s="36"/>
      <c r="AE234" s="37"/>
      <c r="AF234" s="35"/>
      <c r="AG234" s="36"/>
      <c r="AH234" s="38"/>
    </row>
    <row r="235" spans="1:34" ht="15.75">
      <c r="A235" s="507"/>
      <c r="B235" s="508"/>
      <c r="C235" s="509"/>
      <c r="D235" s="545" t="s">
        <v>686</v>
      </c>
      <c r="E235" s="546"/>
      <c r="F235" s="546"/>
      <c r="G235" s="546"/>
      <c r="H235" s="546"/>
      <c r="I235" s="547"/>
      <c r="J235" s="47"/>
      <c r="K235" s="551">
        <f t="shared" si="24"/>
        <v>32.340000000000003</v>
      </c>
      <c r="L235" s="552"/>
      <c r="M235" s="551"/>
      <c r="N235" s="552"/>
      <c r="O235" s="551">
        <v>1</v>
      </c>
      <c r="P235" s="552"/>
      <c r="Q235" s="551"/>
      <c r="R235" s="552"/>
      <c r="S235" s="551"/>
      <c r="T235" s="552"/>
      <c r="U235" s="551"/>
      <c r="V235" s="552"/>
      <c r="W235" s="548">
        <f t="shared" si="22"/>
        <v>32.340000000000003</v>
      </c>
      <c r="X235" s="549"/>
      <c r="Y235" s="550"/>
      <c r="Z235" s="548">
        <f t="shared" si="23"/>
        <v>4.9803600000000001</v>
      </c>
      <c r="AA235" s="549"/>
      <c r="AB235" s="550"/>
      <c r="AC235" s="35"/>
      <c r="AD235" s="36"/>
      <c r="AE235" s="37"/>
      <c r="AF235" s="35"/>
      <c r="AG235" s="36"/>
      <c r="AH235" s="38"/>
    </row>
    <row r="236" spans="1:34" ht="15.75">
      <c r="A236" s="507"/>
      <c r="B236" s="508"/>
      <c r="C236" s="509"/>
      <c r="D236" s="545" t="s">
        <v>687</v>
      </c>
      <c r="E236" s="546"/>
      <c r="F236" s="546"/>
      <c r="G236" s="546"/>
      <c r="H236" s="546"/>
      <c r="I236" s="547"/>
      <c r="J236" s="47"/>
      <c r="K236" s="551">
        <f t="shared" si="24"/>
        <v>32.340000000000003</v>
      </c>
      <c r="L236" s="552"/>
      <c r="M236" s="551"/>
      <c r="N236" s="552"/>
      <c r="O236" s="551">
        <v>1</v>
      </c>
      <c r="P236" s="552"/>
      <c r="Q236" s="551"/>
      <c r="R236" s="552"/>
      <c r="S236" s="551"/>
      <c r="T236" s="552"/>
      <c r="U236" s="551"/>
      <c r="V236" s="552"/>
      <c r="W236" s="548">
        <f t="shared" si="22"/>
        <v>32.340000000000003</v>
      </c>
      <c r="X236" s="549"/>
      <c r="Y236" s="550"/>
      <c r="Z236" s="548">
        <f t="shared" si="23"/>
        <v>4.9803600000000001</v>
      </c>
      <c r="AA236" s="549"/>
      <c r="AB236" s="550"/>
      <c r="AC236" s="35"/>
      <c r="AD236" s="36"/>
      <c r="AE236" s="37"/>
      <c r="AF236" s="35"/>
      <c r="AG236" s="36"/>
      <c r="AH236" s="38"/>
    </row>
    <row r="237" spans="1:34" ht="15.75">
      <c r="A237" s="507"/>
      <c r="B237" s="508"/>
      <c r="C237" s="509"/>
      <c r="D237" s="545" t="s">
        <v>688</v>
      </c>
      <c r="E237" s="546"/>
      <c r="F237" s="546"/>
      <c r="G237" s="546"/>
      <c r="H237" s="546"/>
      <c r="I237" s="547"/>
      <c r="J237" s="47"/>
      <c r="K237" s="551">
        <f t="shared" si="24"/>
        <v>32.340000000000003</v>
      </c>
      <c r="L237" s="552"/>
      <c r="M237" s="551"/>
      <c r="N237" s="552"/>
      <c r="O237" s="551">
        <v>1</v>
      </c>
      <c r="P237" s="552"/>
      <c r="Q237" s="551"/>
      <c r="R237" s="552"/>
      <c r="S237" s="551"/>
      <c r="T237" s="552"/>
      <c r="U237" s="551"/>
      <c r="V237" s="552"/>
      <c r="W237" s="548">
        <f t="shared" si="22"/>
        <v>32.340000000000003</v>
      </c>
      <c r="X237" s="549"/>
      <c r="Y237" s="550"/>
      <c r="Z237" s="548">
        <f t="shared" si="23"/>
        <v>4.9803600000000001</v>
      </c>
      <c r="AA237" s="549"/>
      <c r="AB237" s="550"/>
      <c r="AC237" s="35"/>
      <c r="AD237" s="36"/>
      <c r="AE237" s="37"/>
      <c r="AF237" s="35"/>
      <c r="AG237" s="36"/>
      <c r="AH237" s="38"/>
    </row>
    <row r="238" spans="1:34" ht="15.75">
      <c r="A238" s="507"/>
      <c r="B238" s="508"/>
      <c r="C238" s="509"/>
      <c r="D238" s="545" t="s">
        <v>689</v>
      </c>
      <c r="E238" s="546"/>
      <c r="F238" s="546"/>
      <c r="G238" s="546"/>
      <c r="H238" s="546"/>
      <c r="I238" s="547"/>
      <c r="J238" s="47"/>
      <c r="K238" s="551">
        <f t="shared" si="24"/>
        <v>32.340000000000003</v>
      </c>
      <c r="L238" s="552"/>
      <c r="M238" s="551"/>
      <c r="N238" s="552"/>
      <c r="O238" s="551">
        <v>1</v>
      </c>
      <c r="P238" s="552"/>
      <c r="Q238" s="551"/>
      <c r="R238" s="552"/>
      <c r="S238" s="551"/>
      <c r="T238" s="552"/>
      <c r="U238" s="551"/>
      <c r="V238" s="552"/>
      <c r="W238" s="548">
        <f t="shared" si="22"/>
        <v>32.340000000000003</v>
      </c>
      <c r="X238" s="549"/>
      <c r="Y238" s="550"/>
      <c r="Z238" s="548">
        <f t="shared" si="23"/>
        <v>4.9803600000000001</v>
      </c>
      <c r="AA238" s="549"/>
      <c r="AB238" s="550"/>
      <c r="AC238" s="35"/>
      <c r="AD238" s="36"/>
      <c r="AE238" s="37"/>
      <c r="AF238" s="35"/>
      <c r="AG238" s="36"/>
      <c r="AH238" s="38"/>
    </row>
    <row r="239" spans="1:34" ht="15.75">
      <c r="A239" s="507"/>
      <c r="B239" s="508"/>
      <c r="C239" s="509"/>
      <c r="D239" s="545" t="s">
        <v>690</v>
      </c>
      <c r="E239" s="546"/>
      <c r="F239" s="546"/>
      <c r="G239" s="546"/>
      <c r="H239" s="546"/>
      <c r="I239" s="547"/>
      <c r="J239" s="47"/>
      <c r="K239" s="551">
        <f t="shared" si="24"/>
        <v>32.340000000000003</v>
      </c>
      <c r="L239" s="552"/>
      <c r="M239" s="551"/>
      <c r="N239" s="552"/>
      <c r="O239" s="551">
        <v>1</v>
      </c>
      <c r="P239" s="552"/>
      <c r="Q239" s="512"/>
      <c r="R239" s="509"/>
      <c r="S239" s="512"/>
      <c r="T239" s="509"/>
      <c r="U239" s="512"/>
      <c r="V239" s="509"/>
      <c r="W239" s="548">
        <f t="shared" si="22"/>
        <v>32.340000000000003</v>
      </c>
      <c r="X239" s="549"/>
      <c r="Y239" s="550"/>
      <c r="Z239" s="548">
        <f t="shared" si="23"/>
        <v>4.9803600000000001</v>
      </c>
      <c r="AA239" s="549"/>
      <c r="AB239" s="550"/>
      <c r="AC239" s="35"/>
      <c r="AD239" s="36"/>
      <c r="AE239" s="37"/>
      <c r="AF239" s="35"/>
      <c r="AG239" s="36"/>
      <c r="AH239" s="38"/>
    </row>
    <row r="240" spans="1:34" ht="15.75">
      <c r="A240" s="507"/>
      <c r="B240" s="508"/>
      <c r="C240" s="509"/>
      <c r="D240" s="545" t="s">
        <v>691</v>
      </c>
      <c r="E240" s="546"/>
      <c r="F240" s="546"/>
      <c r="G240" s="546"/>
      <c r="H240" s="546"/>
      <c r="I240" s="547"/>
      <c r="J240" s="47"/>
      <c r="K240" s="551">
        <f t="shared" si="24"/>
        <v>32.340000000000003</v>
      </c>
      <c r="L240" s="552"/>
      <c r="M240" s="551"/>
      <c r="N240" s="552"/>
      <c r="O240" s="551">
        <v>1</v>
      </c>
      <c r="P240" s="552"/>
      <c r="Q240" s="551"/>
      <c r="R240" s="552"/>
      <c r="S240" s="551"/>
      <c r="T240" s="552"/>
      <c r="U240" s="551"/>
      <c r="V240" s="552"/>
      <c r="W240" s="548">
        <f t="shared" si="22"/>
        <v>32.340000000000003</v>
      </c>
      <c r="X240" s="549"/>
      <c r="Y240" s="550"/>
      <c r="Z240" s="548">
        <f t="shared" si="23"/>
        <v>4.9803600000000001</v>
      </c>
      <c r="AA240" s="549"/>
      <c r="AB240" s="550"/>
      <c r="AC240" s="35"/>
      <c r="AD240" s="36"/>
      <c r="AE240" s="37"/>
      <c r="AF240" s="35"/>
      <c r="AG240" s="36"/>
      <c r="AH240" s="38"/>
    </row>
    <row r="241" spans="1:34" ht="15.75">
      <c r="A241" s="507"/>
      <c r="B241" s="508"/>
      <c r="C241" s="509"/>
      <c r="D241" s="545" t="s">
        <v>692</v>
      </c>
      <c r="E241" s="546"/>
      <c r="F241" s="546"/>
      <c r="G241" s="546"/>
      <c r="H241" s="546"/>
      <c r="I241" s="547"/>
      <c r="J241" s="47"/>
      <c r="K241" s="551">
        <f t="shared" si="24"/>
        <v>32.340000000000003</v>
      </c>
      <c r="L241" s="552"/>
      <c r="M241" s="551"/>
      <c r="N241" s="552"/>
      <c r="O241" s="551">
        <v>1</v>
      </c>
      <c r="P241" s="552"/>
      <c r="Q241" s="551"/>
      <c r="R241" s="552"/>
      <c r="S241" s="551"/>
      <c r="T241" s="552"/>
      <c r="U241" s="551"/>
      <c r="V241" s="552"/>
      <c r="W241" s="548">
        <f t="shared" si="22"/>
        <v>32.340000000000003</v>
      </c>
      <c r="X241" s="549"/>
      <c r="Y241" s="550"/>
      <c r="Z241" s="548">
        <f t="shared" si="23"/>
        <v>4.9803600000000001</v>
      </c>
      <c r="AA241" s="549"/>
      <c r="AB241" s="550"/>
      <c r="AC241" s="35"/>
      <c r="AD241" s="36"/>
      <c r="AE241" s="37"/>
      <c r="AF241" s="35"/>
      <c r="AG241" s="36"/>
      <c r="AH241" s="38"/>
    </row>
    <row r="242" spans="1:34" ht="15.75">
      <c r="A242" s="507"/>
      <c r="B242" s="508"/>
      <c r="C242" s="509"/>
      <c r="D242" s="545" t="s">
        <v>693</v>
      </c>
      <c r="E242" s="546"/>
      <c r="F242" s="546"/>
      <c r="G242" s="546"/>
      <c r="H242" s="546"/>
      <c r="I242" s="547"/>
      <c r="J242" s="47"/>
      <c r="K242" s="551">
        <f t="shared" si="24"/>
        <v>32.340000000000003</v>
      </c>
      <c r="L242" s="552"/>
      <c r="M242" s="551"/>
      <c r="N242" s="552"/>
      <c r="O242" s="551">
        <v>1</v>
      </c>
      <c r="P242" s="552"/>
      <c r="Q242" s="551"/>
      <c r="R242" s="552"/>
      <c r="S242" s="551"/>
      <c r="T242" s="552"/>
      <c r="U242" s="551"/>
      <c r="V242" s="552"/>
      <c r="W242" s="548">
        <f t="shared" si="22"/>
        <v>32.340000000000003</v>
      </c>
      <c r="X242" s="549"/>
      <c r="Y242" s="550"/>
      <c r="Z242" s="548">
        <f t="shared" si="23"/>
        <v>4.9803600000000001</v>
      </c>
      <c r="AA242" s="549"/>
      <c r="AB242" s="550"/>
      <c r="AC242" s="35"/>
      <c r="AD242" s="36"/>
      <c r="AE242" s="37"/>
      <c r="AF242" s="35"/>
      <c r="AG242" s="36"/>
      <c r="AH242" s="38"/>
    </row>
    <row r="243" spans="1:34" ht="15.75">
      <c r="A243" s="507"/>
      <c r="B243" s="508"/>
      <c r="C243" s="509"/>
      <c r="D243" s="545" t="s">
        <v>694</v>
      </c>
      <c r="E243" s="546"/>
      <c r="F243" s="546"/>
      <c r="G243" s="546"/>
      <c r="H243" s="546"/>
      <c r="I243" s="547"/>
      <c r="J243" s="47"/>
      <c r="K243" s="551">
        <f t="shared" si="24"/>
        <v>32.340000000000003</v>
      </c>
      <c r="L243" s="552"/>
      <c r="M243" s="551"/>
      <c r="N243" s="552"/>
      <c r="O243" s="551">
        <v>1</v>
      </c>
      <c r="P243" s="552"/>
      <c r="Q243" s="551"/>
      <c r="R243" s="552"/>
      <c r="S243" s="551"/>
      <c r="T243" s="552"/>
      <c r="U243" s="551"/>
      <c r="V243" s="552"/>
      <c r="W243" s="548">
        <f t="shared" si="22"/>
        <v>32.340000000000003</v>
      </c>
      <c r="X243" s="549"/>
      <c r="Y243" s="550"/>
      <c r="Z243" s="548">
        <f t="shared" si="23"/>
        <v>4.9803600000000001</v>
      </c>
      <c r="AA243" s="549"/>
      <c r="AB243" s="550"/>
      <c r="AC243" s="35"/>
      <c r="AD243" s="36"/>
      <c r="AE243" s="37"/>
      <c r="AF243" s="35"/>
      <c r="AG243" s="36"/>
      <c r="AH243" s="38"/>
    </row>
    <row r="244" spans="1:34" ht="15.75">
      <c r="A244" s="507"/>
      <c r="B244" s="508"/>
      <c r="C244" s="509"/>
      <c r="D244" s="545" t="s">
        <v>695</v>
      </c>
      <c r="E244" s="546"/>
      <c r="F244" s="546"/>
      <c r="G244" s="546"/>
      <c r="H244" s="546"/>
      <c r="I244" s="547"/>
      <c r="J244" s="47"/>
      <c r="K244" s="551">
        <f t="shared" si="24"/>
        <v>32.340000000000003</v>
      </c>
      <c r="L244" s="552"/>
      <c r="M244" s="551"/>
      <c r="N244" s="552"/>
      <c r="O244" s="551">
        <v>1</v>
      </c>
      <c r="P244" s="552"/>
      <c r="Q244" s="551"/>
      <c r="R244" s="552"/>
      <c r="S244" s="551"/>
      <c r="T244" s="552"/>
      <c r="U244" s="551"/>
      <c r="V244" s="552"/>
      <c r="W244" s="548">
        <f t="shared" si="22"/>
        <v>32.340000000000003</v>
      </c>
      <c r="X244" s="549"/>
      <c r="Y244" s="550"/>
      <c r="Z244" s="548">
        <f t="shared" si="23"/>
        <v>4.9803600000000001</v>
      </c>
      <c r="AA244" s="549"/>
      <c r="AB244" s="550"/>
      <c r="AC244" s="35"/>
      <c r="AD244" s="36"/>
      <c r="AE244" s="37"/>
      <c r="AF244" s="35"/>
      <c r="AG244" s="36"/>
      <c r="AH244" s="38"/>
    </row>
    <row r="245" spans="1:34" ht="15.75">
      <c r="A245" s="507"/>
      <c r="B245" s="508"/>
      <c r="C245" s="509"/>
      <c r="D245" s="545" t="s">
        <v>696</v>
      </c>
      <c r="E245" s="546"/>
      <c r="F245" s="546"/>
      <c r="G245" s="546"/>
      <c r="H245" s="546"/>
      <c r="I245" s="547"/>
      <c r="J245" s="47"/>
      <c r="K245" s="551">
        <f t="shared" si="24"/>
        <v>32.340000000000003</v>
      </c>
      <c r="L245" s="552"/>
      <c r="M245" s="551"/>
      <c r="N245" s="552"/>
      <c r="O245" s="551">
        <v>1</v>
      </c>
      <c r="P245" s="552"/>
      <c r="Q245" s="551"/>
      <c r="R245" s="552"/>
      <c r="S245" s="551"/>
      <c r="T245" s="552"/>
      <c r="U245" s="551"/>
      <c r="V245" s="552"/>
      <c r="W245" s="548">
        <f t="shared" si="22"/>
        <v>32.340000000000003</v>
      </c>
      <c r="X245" s="549"/>
      <c r="Y245" s="550"/>
      <c r="Z245" s="548">
        <f t="shared" si="23"/>
        <v>4.9803600000000001</v>
      </c>
      <c r="AA245" s="549"/>
      <c r="AB245" s="550"/>
      <c r="AC245" s="35"/>
      <c r="AD245" s="36"/>
      <c r="AE245" s="37"/>
      <c r="AF245" s="35"/>
      <c r="AG245" s="36"/>
      <c r="AH245" s="38"/>
    </row>
    <row r="246" spans="1:34" ht="15.75">
      <c r="A246" s="507"/>
      <c r="B246" s="508"/>
      <c r="C246" s="509"/>
      <c r="D246" s="545" t="s">
        <v>697</v>
      </c>
      <c r="E246" s="546"/>
      <c r="F246" s="546"/>
      <c r="G246" s="546"/>
      <c r="H246" s="546"/>
      <c r="I246" s="547"/>
      <c r="J246" s="47"/>
      <c r="K246" s="551">
        <f t="shared" si="24"/>
        <v>32.340000000000003</v>
      </c>
      <c r="L246" s="552"/>
      <c r="M246" s="551"/>
      <c r="N246" s="552"/>
      <c r="O246" s="551">
        <v>1</v>
      </c>
      <c r="P246" s="552"/>
      <c r="Q246" s="551"/>
      <c r="R246" s="552"/>
      <c r="S246" s="551"/>
      <c r="T246" s="552"/>
      <c r="U246" s="551"/>
      <c r="V246" s="552"/>
      <c r="W246" s="548">
        <f t="shared" si="22"/>
        <v>32.340000000000003</v>
      </c>
      <c r="X246" s="549"/>
      <c r="Y246" s="550"/>
      <c r="Z246" s="548">
        <f t="shared" si="23"/>
        <v>4.9803600000000001</v>
      </c>
      <c r="AA246" s="549"/>
      <c r="AB246" s="550"/>
      <c r="AC246" s="35"/>
      <c r="AD246" s="36"/>
      <c r="AE246" s="37"/>
      <c r="AF246" s="35"/>
      <c r="AG246" s="36"/>
      <c r="AH246" s="38"/>
    </row>
    <row r="247" spans="1:34" ht="15.75">
      <c r="A247" s="507"/>
      <c r="B247" s="508"/>
      <c r="C247" s="509"/>
      <c r="D247" s="545" t="s">
        <v>698</v>
      </c>
      <c r="E247" s="546"/>
      <c r="F247" s="546"/>
      <c r="G247" s="546"/>
      <c r="H247" s="546"/>
      <c r="I247" s="547"/>
      <c r="J247" s="47"/>
      <c r="K247" s="551">
        <f t="shared" si="24"/>
        <v>32.340000000000003</v>
      </c>
      <c r="L247" s="552"/>
      <c r="M247" s="551"/>
      <c r="N247" s="552"/>
      <c r="O247" s="551">
        <v>1</v>
      </c>
      <c r="P247" s="552"/>
      <c r="Q247" s="512"/>
      <c r="R247" s="509"/>
      <c r="S247" s="512"/>
      <c r="T247" s="509"/>
      <c r="U247" s="512"/>
      <c r="V247" s="509"/>
      <c r="W247" s="548">
        <f t="shared" si="22"/>
        <v>32.340000000000003</v>
      </c>
      <c r="X247" s="549"/>
      <c r="Y247" s="550"/>
      <c r="Z247" s="548">
        <f t="shared" si="23"/>
        <v>4.9803600000000001</v>
      </c>
      <c r="AA247" s="549"/>
      <c r="AB247" s="550"/>
      <c r="AC247" s="35"/>
      <c r="AD247" s="36"/>
      <c r="AE247" s="37"/>
      <c r="AF247" s="35"/>
      <c r="AG247" s="36"/>
      <c r="AH247" s="38"/>
    </row>
    <row r="248" spans="1:34" ht="15.75">
      <c r="A248" s="507"/>
      <c r="B248" s="508"/>
      <c r="C248" s="509"/>
      <c r="D248" s="545" t="s">
        <v>699</v>
      </c>
      <c r="E248" s="546"/>
      <c r="F248" s="546"/>
      <c r="G248" s="546"/>
      <c r="H248" s="546"/>
      <c r="I248" s="547"/>
      <c r="J248" s="47"/>
      <c r="K248" s="551">
        <f t="shared" si="24"/>
        <v>32.340000000000003</v>
      </c>
      <c r="L248" s="552"/>
      <c r="M248" s="551"/>
      <c r="N248" s="552"/>
      <c r="O248" s="551">
        <v>1</v>
      </c>
      <c r="P248" s="552"/>
      <c r="Q248" s="551"/>
      <c r="R248" s="552"/>
      <c r="S248" s="551"/>
      <c r="T248" s="552"/>
      <c r="U248" s="551"/>
      <c r="V248" s="552"/>
      <c r="W248" s="548">
        <f t="shared" si="22"/>
        <v>32.340000000000003</v>
      </c>
      <c r="X248" s="549"/>
      <c r="Y248" s="550"/>
      <c r="Z248" s="548">
        <f t="shared" si="23"/>
        <v>4.9803600000000001</v>
      </c>
      <c r="AA248" s="549"/>
      <c r="AB248" s="550"/>
      <c r="AC248" s="35"/>
      <c r="AD248" s="36"/>
      <c r="AE248" s="37"/>
      <c r="AF248" s="35"/>
      <c r="AG248" s="36"/>
      <c r="AH248" s="38"/>
    </row>
    <row r="249" spans="1:34" ht="15.75">
      <c r="A249" s="507"/>
      <c r="B249" s="508"/>
      <c r="C249" s="509"/>
      <c r="D249" s="545" t="s">
        <v>700</v>
      </c>
      <c r="E249" s="546"/>
      <c r="F249" s="546"/>
      <c r="G249" s="546"/>
      <c r="H249" s="546"/>
      <c r="I249" s="547"/>
      <c r="J249" s="47"/>
      <c r="K249" s="551">
        <f t="shared" si="24"/>
        <v>32.340000000000003</v>
      </c>
      <c r="L249" s="552"/>
      <c r="M249" s="551"/>
      <c r="N249" s="552"/>
      <c r="O249" s="551">
        <v>1</v>
      </c>
      <c r="P249" s="552"/>
      <c r="Q249" s="551"/>
      <c r="R249" s="552"/>
      <c r="S249" s="551"/>
      <c r="T249" s="552"/>
      <c r="U249" s="551"/>
      <c r="V249" s="552"/>
      <c r="W249" s="548">
        <f t="shared" si="22"/>
        <v>32.340000000000003</v>
      </c>
      <c r="X249" s="549"/>
      <c r="Y249" s="550"/>
      <c r="Z249" s="548">
        <f t="shared" si="23"/>
        <v>4.9803600000000001</v>
      </c>
      <c r="AA249" s="549"/>
      <c r="AB249" s="550"/>
      <c r="AC249" s="35"/>
      <c r="AD249" s="36"/>
      <c r="AE249" s="37"/>
      <c r="AF249" s="35"/>
      <c r="AG249" s="36"/>
      <c r="AH249" s="38"/>
    </row>
    <row r="250" spans="1:34" ht="15.75">
      <c r="A250" s="507"/>
      <c r="B250" s="508"/>
      <c r="C250" s="509"/>
      <c r="D250" s="545" t="s">
        <v>701</v>
      </c>
      <c r="E250" s="546"/>
      <c r="F250" s="546"/>
      <c r="G250" s="546"/>
      <c r="H250" s="546"/>
      <c r="I250" s="547"/>
      <c r="J250" s="47"/>
      <c r="K250" s="551">
        <f t="shared" si="24"/>
        <v>32.340000000000003</v>
      </c>
      <c r="L250" s="552"/>
      <c r="M250" s="551"/>
      <c r="N250" s="552"/>
      <c r="O250" s="551">
        <v>1</v>
      </c>
      <c r="P250" s="552"/>
      <c r="Q250" s="551"/>
      <c r="R250" s="552"/>
      <c r="S250" s="551"/>
      <c r="T250" s="552"/>
      <c r="U250" s="551"/>
      <c r="V250" s="552"/>
      <c r="W250" s="548">
        <f t="shared" si="22"/>
        <v>32.340000000000003</v>
      </c>
      <c r="X250" s="549"/>
      <c r="Y250" s="550"/>
      <c r="Z250" s="548">
        <f t="shared" si="23"/>
        <v>4.9803600000000001</v>
      </c>
      <c r="AA250" s="549"/>
      <c r="AB250" s="550"/>
      <c r="AC250" s="35"/>
      <c r="AD250" s="36"/>
      <c r="AE250" s="37"/>
      <c r="AF250" s="35"/>
      <c r="AG250" s="36"/>
      <c r="AH250" s="38"/>
    </row>
    <row r="251" spans="1:34" ht="15.75">
      <c r="A251" s="507"/>
      <c r="B251" s="508"/>
      <c r="C251" s="509"/>
      <c r="D251" s="545" t="s">
        <v>702</v>
      </c>
      <c r="E251" s="546"/>
      <c r="F251" s="546"/>
      <c r="G251" s="546"/>
      <c r="H251" s="546"/>
      <c r="I251" s="547"/>
      <c r="J251" s="47"/>
      <c r="K251" s="551">
        <f>29*0.77</f>
        <v>22.330000000000002</v>
      </c>
      <c r="L251" s="552"/>
      <c r="M251" s="551"/>
      <c r="N251" s="552"/>
      <c r="O251" s="551">
        <v>1</v>
      </c>
      <c r="P251" s="552"/>
      <c r="Q251" s="551"/>
      <c r="R251" s="552"/>
      <c r="S251" s="551"/>
      <c r="T251" s="552"/>
      <c r="U251" s="551"/>
      <c r="V251" s="552"/>
      <c r="W251" s="548">
        <f t="shared" si="22"/>
        <v>22.330000000000002</v>
      </c>
      <c r="X251" s="549"/>
      <c r="Y251" s="550"/>
      <c r="Z251" s="548">
        <f t="shared" si="23"/>
        <v>3.4388200000000002</v>
      </c>
      <c r="AA251" s="549"/>
      <c r="AB251" s="550"/>
      <c r="AC251" s="35"/>
      <c r="AD251" s="36"/>
      <c r="AE251" s="37"/>
      <c r="AF251" s="35"/>
      <c r="AG251" s="36"/>
      <c r="AH251" s="38"/>
    </row>
    <row r="252" spans="1:34" ht="15.75">
      <c r="A252" s="507"/>
      <c r="B252" s="508"/>
      <c r="C252" s="509"/>
      <c r="D252" s="545" t="s">
        <v>703</v>
      </c>
      <c r="E252" s="546"/>
      <c r="F252" s="546"/>
      <c r="G252" s="546"/>
      <c r="H252" s="546"/>
      <c r="I252" s="547"/>
      <c r="J252" s="47"/>
      <c r="K252" s="551">
        <f>29*0.77</f>
        <v>22.330000000000002</v>
      </c>
      <c r="L252" s="552"/>
      <c r="M252" s="551"/>
      <c r="N252" s="552"/>
      <c r="O252" s="551">
        <v>1</v>
      </c>
      <c r="P252" s="552"/>
      <c r="Q252" s="551"/>
      <c r="R252" s="552"/>
      <c r="S252" s="551"/>
      <c r="T252" s="552"/>
      <c r="U252" s="551"/>
      <c r="V252" s="552"/>
      <c r="W252" s="548">
        <f t="shared" si="22"/>
        <v>22.330000000000002</v>
      </c>
      <c r="X252" s="549"/>
      <c r="Y252" s="550"/>
      <c r="Z252" s="548">
        <f t="shared" si="23"/>
        <v>3.4388200000000002</v>
      </c>
      <c r="AA252" s="549"/>
      <c r="AB252" s="550"/>
      <c r="AC252" s="35"/>
      <c r="AD252" s="36"/>
      <c r="AE252" s="37"/>
      <c r="AF252" s="35"/>
      <c r="AG252" s="36"/>
      <c r="AH252" s="38"/>
    </row>
    <row r="253" spans="1:34" ht="15.75">
      <c r="A253" s="507"/>
      <c r="B253" s="508"/>
      <c r="C253" s="509"/>
      <c r="D253" s="545" t="s">
        <v>704</v>
      </c>
      <c r="E253" s="546"/>
      <c r="F253" s="546"/>
      <c r="G253" s="546"/>
      <c r="H253" s="546"/>
      <c r="I253" s="547"/>
      <c r="J253" s="47"/>
      <c r="K253" s="551">
        <f>29*0.77</f>
        <v>22.330000000000002</v>
      </c>
      <c r="L253" s="552"/>
      <c r="M253" s="551"/>
      <c r="N253" s="552"/>
      <c r="O253" s="551">
        <v>1</v>
      </c>
      <c r="P253" s="552"/>
      <c r="Q253" s="551"/>
      <c r="R253" s="552"/>
      <c r="S253" s="551"/>
      <c r="T253" s="552"/>
      <c r="U253" s="551"/>
      <c r="V253" s="552"/>
      <c r="W253" s="548">
        <f t="shared" si="22"/>
        <v>22.330000000000002</v>
      </c>
      <c r="X253" s="549"/>
      <c r="Y253" s="550"/>
      <c r="Z253" s="548">
        <f t="shared" si="23"/>
        <v>3.4388200000000002</v>
      </c>
      <c r="AA253" s="549"/>
      <c r="AB253" s="550"/>
      <c r="AC253" s="35"/>
      <c r="AD253" s="36"/>
      <c r="AE253" s="37"/>
      <c r="AF253" s="35"/>
      <c r="AG253" s="36"/>
      <c r="AH253" s="38"/>
    </row>
    <row r="254" spans="1:34" ht="15.75">
      <c r="A254" s="507"/>
      <c r="B254" s="508"/>
      <c r="C254" s="509"/>
      <c r="D254" s="545" t="s">
        <v>705</v>
      </c>
      <c r="E254" s="546"/>
      <c r="F254" s="546"/>
      <c r="G254" s="546"/>
      <c r="H254" s="546"/>
      <c r="I254" s="547"/>
      <c r="J254" s="47"/>
      <c r="K254" s="551">
        <f>29*0.77</f>
        <v>22.330000000000002</v>
      </c>
      <c r="L254" s="552"/>
      <c r="M254" s="551"/>
      <c r="N254" s="552"/>
      <c r="O254" s="551">
        <v>1</v>
      </c>
      <c r="P254" s="552"/>
      <c r="Q254" s="551"/>
      <c r="R254" s="552"/>
      <c r="S254" s="551"/>
      <c r="T254" s="552"/>
      <c r="U254" s="551"/>
      <c r="V254" s="552"/>
      <c r="W254" s="548">
        <f t="shared" si="22"/>
        <v>22.330000000000002</v>
      </c>
      <c r="X254" s="549"/>
      <c r="Y254" s="550"/>
      <c r="Z254" s="548">
        <f t="shared" si="23"/>
        <v>3.4388200000000002</v>
      </c>
      <c r="AA254" s="549"/>
      <c r="AB254" s="550"/>
      <c r="AC254" s="35"/>
      <c r="AD254" s="36"/>
      <c r="AE254" s="37"/>
      <c r="AF254" s="35"/>
      <c r="AG254" s="36"/>
      <c r="AH254" s="38"/>
    </row>
    <row r="255" spans="1:34" ht="15.75">
      <c r="A255" s="507"/>
      <c r="B255" s="508"/>
      <c r="C255" s="509"/>
      <c r="D255" s="545" t="s">
        <v>706</v>
      </c>
      <c r="E255" s="546"/>
      <c r="F255" s="546"/>
      <c r="G255" s="546"/>
      <c r="H255" s="546"/>
      <c r="I255" s="547"/>
      <c r="J255" s="47"/>
      <c r="K255" s="551">
        <f>((29*0.34)+(29*0.97))</f>
        <v>37.99</v>
      </c>
      <c r="L255" s="552"/>
      <c r="M255" s="551"/>
      <c r="N255" s="552"/>
      <c r="O255" s="551">
        <v>1</v>
      </c>
      <c r="P255" s="552"/>
      <c r="Q255" s="512"/>
      <c r="R255" s="509"/>
      <c r="S255" s="512"/>
      <c r="T255" s="509"/>
      <c r="U255" s="512"/>
      <c r="V255" s="509"/>
      <c r="W255" s="548">
        <f t="shared" si="22"/>
        <v>37.99</v>
      </c>
      <c r="X255" s="549"/>
      <c r="Y255" s="550"/>
      <c r="Z255" s="548">
        <f t="shared" si="23"/>
        <v>5.85046</v>
      </c>
      <c r="AA255" s="549"/>
      <c r="AB255" s="550"/>
      <c r="AC255" s="35"/>
      <c r="AD255" s="36"/>
      <c r="AE255" s="37"/>
      <c r="AF255" s="35"/>
      <c r="AG255" s="36"/>
      <c r="AH255" s="38"/>
    </row>
    <row r="256" spans="1:34" ht="15.75">
      <c r="A256" s="507"/>
      <c r="B256" s="508"/>
      <c r="C256" s="509"/>
      <c r="D256" s="545" t="s">
        <v>707</v>
      </c>
      <c r="E256" s="546"/>
      <c r="F256" s="546"/>
      <c r="G256" s="546"/>
      <c r="H256" s="546"/>
      <c r="I256" s="547"/>
      <c r="J256" s="47"/>
      <c r="K256" s="551">
        <f>((29*0.34)+(29*0.97)+(13*0.34)+(13*0.97))</f>
        <v>55.02</v>
      </c>
      <c r="L256" s="552"/>
      <c r="M256" s="551"/>
      <c r="N256" s="552"/>
      <c r="O256" s="551">
        <v>1</v>
      </c>
      <c r="P256" s="552"/>
      <c r="Q256" s="551"/>
      <c r="R256" s="552"/>
      <c r="S256" s="551"/>
      <c r="T256" s="552"/>
      <c r="U256" s="551"/>
      <c r="V256" s="552"/>
      <c r="W256" s="548">
        <f t="shared" si="22"/>
        <v>55.02</v>
      </c>
      <c r="X256" s="549"/>
      <c r="Y256" s="550"/>
      <c r="Z256" s="548">
        <f t="shared" si="23"/>
        <v>8.4730799999999995</v>
      </c>
      <c r="AA256" s="549"/>
      <c r="AB256" s="550"/>
      <c r="AC256" s="35"/>
      <c r="AD256" s="36"/>
      <c r="AE256" s="37"/>
      <c r="AF256" s="35"/>
      <c r="AG256" s="36"/>
      <c r="AH256" s="38"/>
    </row>
    <row r="257" spans="1:34" ht="15.75">
      <c r="A257" s="507"/>
      <c r="B257" s="508"/>
      <c r="C257" s="509"/>
      <c r="D257" s="545" t="s">
        <v>708</v>
      </c>
      <c r="E257" s="546"/>
      <c r="F257" s="546"/>
      <c r="G257" s="546"/>
      <c r="H257" s="546"/>
      <c r="I257" s="547"/>
      <c r="J257" s="47"/>
      <c r="K257" s="551">
        <f>((29*0.24)+(29*0.77)+(13*0.24)+(13*0.77))</f>
        <v>42.42</v>
      </c>
      <c r="L257" s="552"/>
      <c r="M257" s="551"/>
      <c r="N257" s="552"/>
      <c r="O257" s="551">
        <v>1</v>
      </c>
      <c r="P257" s="552"/>
      <c r="Q257" s="551"/>
      <c r="R257" s="552"/>
      <c r="S257" s="551"/>
      <c r="T257" s="552"/>
      <c r="U257" s="551"/>
      <c r="V257" s="552"/>
      <c r="W257" s="548">
        <f t="shared" si="22"/>
        <v>42.42</v>
      </c>
      <c r="X257" s="549"/>
      <c r="Y257" s="550"/>
      <c r="Z257" s="548">
        <f t="shared" si="23"/>
        <v>6.53268</v>
      </c>
      <c r="AA257" s="549"/>
      <c r="AB257" s="550"/>
      <c r="AC257" s="35"/>
      <c r="AD257" s="36"/>
      <c r="AE257" s="37"/>
      <c r="AF257" s="35"/>
      <c r="AG257" s="36"/>
      <c r="AH257" s="38"/>
    </row>
    <row r="258" spans="1:34" ht="15.75">
      <c r="A258" s="507"/>
      <c r="B258" s="508"/>
      <c r="C258" s="509"/>
      <c r="D258" s="545" t="s">
        <v>709</v>
      </c>
      <c r="E258" s="546"/>
      <c r="F258" s="546"/>
      <c r="G258" s="546"/>
      <c r="H258" s="546"/>
      <c r="I258" s="547"/>
      <c r="J258" s="47"/>
      <c r="K258" s="551">
        <f>((23*0.24)+(23*0.77)+(10*0.24)+(10*0.77))</f>
        <v>33.33</v>
      </c>
      <c r="L258" s="552"/>
      <c r="M258" s="551"/>
      <c r="N258" s="552"/>
      <c r="O258" s="551">
        <v>1</v>
      </c>
      <c r="P258" s="552"/>
      <c r="Q258" s="551"/>
      <c r="R258" s="552"/>
      <c r="S258" s="551"/>
      <c r="T258" s="552"/>
      <c r="U258" s="551"/>
      <c r="V258" s="552"/>
      <c r="W258" s="548">
        <f t="shared" si="22"/>
        <v>33.33</v>
      </c>
      <c r="X258" s="549"/>
      <c r="Y258" s="550"/>
      <c r="Z258" s="548">
        <f t="shared" si="23"/>
        <v>5.1328199999999997</v>
      </c>
      <c r="AA258" s="549"/>
      <c r="AB258" s="550"/>
      <c r="AC258" s="35"/>
      <c r="AD258" s="36"/>
      <c r="AE258" s="37"/>
      <c r="AF258" s="35"/>
      <c r="AG258" s="36"/>
      <c r="AH258" s="38"/>
    </row>
    <row r="259" spans="1:34" ht="15.75">
      <c r="A259" s="507"/>
      <c r="B259" s="508"/>
      <c r="C259" s="509"/>
      <c r="D259" s="545" t="s">
        <v>710</v>
      </c>
      <c r="E259" s="546"/>
      <c r="F259" s="546"/>
      <c r="G259" s="546"/>
      <c r="H259" s="546"/>
      <c r="I259" s="547"/>
      <c r="J259" s="47"/>
      <c r="K259" s="551">
        <f>((29*0.77)+(13*0.77))</f>
        <v>32.340000000000003</v>
      </c>
      <c r="L259" s="552"/>
      <c r="M259" s="551"/>
      <c r="N259" s="552"/>
      <c r="O259" s="551">
        <v>1</v>
      </c>
      <c r="P259" s="552"/>
      <c r="Q259" s="551"/>
      <c r="R259" s="552"/>
      <c r="S259" s="551"/>
      <c r="T259" s="552"/>
      <c r="U259" s="551"/>
      <c r="V259" s="552"/>
      <c r="W259" s="548">
        <f t="shared" si="22"/>
        <v>32.340000000000003</v>
      </c>
      <c r="X259" s="549"/>
      <c r="Y259" s="550"/>
      <c r="Z259" s="548">
        <f t="shared" si="23"/>
        <v>4.9803600000000001</v>
      </c>
      <c r="AA259" s="549"/>
      <c r="AB259" s="550"/>
      <c r="AC259" s="35"/>
      <c r="AD259" s="36"/>
      <c r="AE259" s="37"/>
      <c r="AF259" s="35"/>
      <c r="AG259" s="36"/>
      <c r="AH259" s="38"/>
    </row>
    <row r="260" spans="1:34" ht="15.75">
      <c r="A260" s="507"/>
      <c r="B260" s="508"/>
      <c r="C260" s="509"/>
      <c r="D260" s="545" t="s">
        <v>711</v>
      </c>
      <c r="E260" s="546"/>
      <c r="F260" s="546"/>
      <c r="G260" s="546"/>
      <c r="H260" s="546"/>
      <c r="I260" s="547"/>
      <c r="J260" s="47"/>
      <c r="K260" s="551">
        <f>29*0.77</f>
        <v>22.330000000000002</v>
      </c>
      <c r="L260" s="552"/>
      <c r="M260" s="551"/>
      <c r="N260" s="552"/>
      <c r="O260" s="551">
        <v>1</v>
      </c>
      <c r="P260" s="552"/>
      <c r="Q260" s="551"/>
      <c r="R260" s="552"/>
      <c r="S260" s="551"/>
      <c r="T260" s="552"/>
      <c r="U260" s="551"/>
      <c r="V260" s="552"/>
      <c r="W260" s="548">
        <f t="shared" si="22"/>
        <v>22.330000000000002</v>
      </c>
      <c r="X260" s="549"/>
      <c r="Y260" s="550"/>
      <c r="Z260" s="548">
        <f t="shared" si="23"/>
        <v>3.4388200000000002</v>
      </c>
      <c r="AA260" s="549"/>
      <c r="AB260" s="550"/>
      <c r="AC260" s="35"/>
      <c r="AD260" s="36"/>
      <c r="AE260" s="37"/>
      <c r="AF260" s="35"/>
      <c r="AG260" s="36"/>
      <c r="AH260" s="38"/>
    </row>
    <row r="261" spans="1:34" ht="15.75">
      <c r="A261" s="507"/>
      <c r="B261" s="508"/>
      <c r="C261" s="509"/>
      <c r="D261" s="545" t="s">
        <v>712</v>
      </c>
      <c r="E261" s="546"/>
      <c r="F261" s="546"/>
      <c r="G261" s="546"/>
      <c r="H261" s="546"/>
      <c r="I261" s="547"/>
      <c r="J261" s="47"/>
      <c r="K261" s="551">
        <f>29*0.77</f>
        <v>22.330000000000002</v>
      </c>
      <c r="L261" s="552"/>
      <c r="M261" s="551"/>
      <c r="N261" s="552"/>
      <c r="O261" s="551">
        <v>1</v>
      </c>
      <c r="P261" s="552"/>
      <c r="Q261" s="551"/>
      <c r="R261" s="552"/>
      <c r="S261" s="551"/>
      <c r="T261" s="552"/>
      <c r="U261" s="551"/>
      <c r="V261" s="552"/>
      <c r="W261" s="548">
        <f t="shared" si="22"/>
        <v>22.330000000000002</v>
      </c>
      <c r="X261" s="549"/>
      <c r="Y261" s="550"/>
      <c r="Z261" s="548">
        <f t="shared" si="23"/>
        <v>3.4388200000000002</v>
      </c>
      <c r="AA261" s="549"/>
      <c r="AB261" s="550"/>
      <c r="AC261" s="35"/>
      <c r="AD261" s="36"/>
      <c r="AE261" s="37"/>
      <c r="AF261" s="35"/>
      <c r="AG261" s="36"/>
      <c r="AH261" s="38"/>
    </row>
    <row r="262" spans="1:34" ht="15.75">
      <c r="A262" s="507"/>
      <c r="B262" s="508"/>
      <c r="C262" s="509"/>
      <c r="D262" s="545" t="s">
        <v>713</v>
      </c>
      <c r="E262" s="546"/>
      <c r="F262" s="546"/>
      <c r="G262" s="546"/>
      <c r="H262" s="546"/>
      <c r="I262" s="547"/>
      <c r="J262" s="47"/>
      <c r="K262" s="551">
        <f>29*0.77</f>
        <v>22.330000000000002</v>
      </c>
      <c r="L262" s="552"/>
      <c r="M262" s="551"/>
      <c r="N262" s="552"/>
      <c r="O262" s="551">
        <v>1</v>
      </c>
      <c r="P262" s="552"/>
      <c r="Q262" s="551"/>
      <c r="R262" s="552"/>
      <c r="S262" s="551"/>
      <c r="T262" s="552"/>
      <c r="U262" s="551"/>
      <c r="V262" s="552"/>
      <c r="W262" s="548">
        <f t="shared" si="22"/>
        <v>22.330000000000002</v>
      </c>
      <c r="X262" s="549"/>
      <c r="Y262" s="550"/>
      <c r="Z262" s="548">
        <f t="shared" si="23"/>
        <v>3.4388200000000002</v>
      </c>
      <c r="AA262" s="549"/>
      <c r="AB262" s="550"/>
      <c r="AC262" s="35"/>
      <c r="AD262" s="36"/>
      <c r="AE262" s="37"/>
      <c r="AF262" s="35"/>
      <c r="AG262" s="36"/>
      <c r="AH262" s="38"/>
    </row>
    <row r="263" spans="1:34" ht="15.75">
      <c r="A263" s="507"/>
      <c r="B263" s="508"/>
      <c r="C263" s="509"/>
      <c r="D263" s="545" t="s">
        <v>714</v>
      </c>
      <c r="E263" s="546"/>
      <c r="F263" s="546"/>
      <c r="G263" s="546"/>
      <c r="H263" s="546"/>
      <c r="I263" s="547"/>
      <c r="J263" s="47"/>
      <c r="K263" s="551">
        <f>29*0.77</f>
        <v>22.330000000000002</v>
      </c>
      <c r="L263" s="552"/>
      <c r="M263" s="551"/>
      <c r="N263" s="552"/>
      <c r="O263" s="551">
        <v>1</v>
      </c>
      <c r="P263" s="552"/>
      <c r="Q263" s="512"/>
      <c r="R263" s="509"/>
      <c r="S263" s="512"/>
      <c r="T263" s="509"/>
      <c r="U263" s="512"/>
      <c r="V263" s="509"/>
      <c r="W263" s="548">
        <f t="shared" si="22"/>
        <v>22.330000000000002</v>
      </c>
      <c r="X263" s="549"/>
      <c r="Y263" s="550"/>
      <c r="Z263" s="548">
        <f t="shared" si="23"/>
        <v>3.4388200000000002</v>
      </c>
      <c r="AA263" s="549"/>
      <c r="AB263" s="550"/>
      <c r="AC263" s="35"/>
      <c r="AD263" s="36"/>
      <c r="AE263" s="37"/>
      <c r="AF263" s="35"/>
      <c r="AG263" s="36"/>
      <c r="AH263" s="38"/>
    </row>
    <row r="264" spans="1:34" ht="15.75">
      <c r="A264" s="507"/>
      <c r="B264" s="508"/>
      <c r="C264" s="509"/>
      <c r="D264" s="545" t="s">
        <v>715</v>
      </c>
      <c r="E264" s="546"/>
      <c r="F264" s="546"/>
      <c r="G264" s="546"/>
      <c r="H264" s="546"/>
      <c r="I264" s="547"/>
      <c r="J264" s="47"/>
      <c r="K264" s="551">
        <f>29*0.77</f>
        <v>22.330000000000002</v>
      </c>
      <c r="L264" s="552"/>
      <c r="M264" s="551"/>
      <c r="N264" s="552"/>
      <c r="O264" s="551">
        <v>1</v>
      </c>
      <c r="P264" s="552"/>
      <c r="Q264" s="551"/>
      <c r="R264" s="552"/>
      <c r="S264" s="551"/>
      <c r="T264" s="552"/>
      <c r="U264" s="551"/>
      <c r="V264" s="552"/>
      <c r="W264" s="548">
        <f t="shared" si="22"/>
        <v>22.330000000000002</v>
      </c>
      <c r="X264" s="549"/>
      <c r="Y264" s="550"/>
      <c r="Z264" s="548">
        <f t="shared" si="23"/>
        <v>3.4388200000000002</v>
      </c>
      <c r="AA264" s="549"/>
      <c r="AB264" s="550"/>
      <c r="AC264" s="35"/>
      <c r="AD264" s="36"/>
      <c r="AE264" s="37"/>
      <c r="AF264" s="35"/>
      <c r="AG264" s="36"/>
      <c r="AH264" s="38"/>
    </row>
    <row r="265" spans="1:34" ht="15.75">
      <c r="A265" s="507"/>
      <c r="B265" s="508"/>
      <c r="C265" s="509"/>
      <c r="D265" s="545" t="s">
        <v>716</v>
      </c>
      <c r="E265" s="546"/>
      <c r="F265" s="546"/>
      <c r="G265" s="546"/>
      <c r="H265" s="546"/>
      <c r="I265" s="547"/>
      <c r="J265" s="47"/>
      <c r="K265" s="551">
        <f>23*0.77</f>
        <v>17.71</v>
      </c>
      <c r="L265" s="552"/>
      <c r="M265" s="551"/>
      <c r="N265" s="552"/>
      <c r="O265" s="551">
        <v>1</v>
      </c>
      <c r="P265" s="552"/>
      <c r="Q265" s="551"/>
      <c r="R265" s="552"/>
      <c r="S265" s="551"/>
      <c r="T265" s="552"/>
      <c r="U265" s="551"/>
      <c r="V265" s="552"/>
      <c r="W265" s="548">
        <f t="shared" si="22"/>
        <v>17.71</v>
      </c>
      <c r="X265" s="549"/>
      <c r="Y265" s="550"/>
      <c r="Z265" s="548">
        <f t="shared" si="23"/>
        <v>2.7273399999999999</v>
      </c>
      <c r="AA265" s="549"/>
      <c r="AB265" s="550"/>
      <c r="AC265" s="35"/>
      <c r="AD265" s="36"/>
      <c r="AE265" s="37"/>
      <c r="AF265" s="35"/>
      <c r="AG265" s="36"/>
      <c r="AH265" s="38"/>
    </row>
    <row r="266" spans="1:34" ht="15.75">
      <c r="A266" s="507"/>
      <c r="B266" s="508"/>
      <c r="C266" s="509"/>
      <c r="D266" s="545" t="s">
        <v>717</v>
      </c>
      <c r="E266" s="546"/>
      <c r="F266" s="546"/>
      <c r="G266" s="546"/>
      <c r="H266" s="546"/>
      <c r="I266" s="547"/>
      <c r="J266" s="47"/>
      <c r="K266" s="551">
        <f>((29*0.77)+(13*0.77))</f>
        <v>32.340000000000003</v>
      </c>
      <c r="L266" s="552"/>
      <c r="M266" s="551"/>
      <c r="N266" s="552"/>
      <c r="O266" s="551">
        <v>1</v>
      </c>
      <c r="P266" s="552"/>
      <c r="Q266" s="551"/>
      <c r="R266" s="552"/>
      <c r="S266" s="551"/>
      <c r="T266" s="552"/>
      <c r="U266" s="551"/>
      <c r="V266" s="552"/>
      <c r="W266" s="548">
        <f t="shared" si="22"/>
        <v>32.340000000000003</v>
      </c>
      <c r="X266" s="549"/>
      <c r="Y266" s="550"/>
      <c r="Z266" s="548">
        <f t="shared" si="23"/>
        <v>4.9803600000000001</v>
      </c>
      <c r="AA266" s="549"/>
      <c r="AB266" s="550"/>
      <c r="AC266" s="35"/>
      <c r="AD266" s="36"/>
      <c r="AE266" s="37"/>
      <c r="AF266" s="35"/>
      <c r="AG266" s="36"/>
      <c r="AH266" s="38"/>
    </row>
    <row r="267" spans="1:34" ht="15.75">
      <c r="A267" s="507"/>
      <c r="B267" s="508"/>
      <c r="C267" s="509"/>
      <c r="D267" s="545" t="s">
        <v>718</v>
      </c>
      <c r="E267" s="546"/>
      <c r="F267" s="546"/>
      <c r="G267" s="546"/>
      <c r="H267" s="546"/>
      <c r="I267" s="547"/>
      <c r="J267" s="47"/>
      <c r="K267" s="551">
        <f>((29*0.24)+(29*0.77))</f>
        <v>29.290000000000003</v>
      </c>
      <c r="L267" s="552"/>
      <c r="M267" s="551"/>
      <c r="N267" s="552"/>
      <c r="O267" s="551">
        <v>1</v>
      </c>
      <c r="P267" s="552"/>
      <c r="Q267" s="551"/>
      <c r="R267" s="552"/>
      <c r="S267" s="551"/>
      <c r="T267" s="552"/>
      <c r="U267" s="551"/>
      <c r="V267" s="552"/>
      <c r="W267" s="548">
        <f t="shared" si="22"/>
        <v>29.290000000000003</v>
      </c>
      <c r="X267" s="549"/>
      <c r="Y267" s="550"/>
      <c r="Z267" s="548">
        <f t="shared" si="23"/>
        <v>4.5106600000000006</v>
      </c>
      <c r="AA267" s="549"/>
      <c r="AB267" s="550"/>
      <c r="AC267" s="35"/>
      <c r="AD267" s="36"/>
      <c r="AE267" s="37"/>
      <c r="AF267" s="35"/>
      <c r="AG267" s="36"/>
      <c r="AH267" s="38"/>
    </row>
    <row r="268" spans="1:34" ht="15.75">
      <c r="A268" s="507"/>
      <c r="B268" s="508"/>
      <c r="C268" s="509"/>
      <c r="D268" s="545" t="s">
        <v>719</v>
      </c>
      <c r="E268" s="546"/>
      <c r="F268" s="546"/>
      <c r="G268" s="546"/>
      <c r="H268" s="546"/>
      <c r="I268" s="547"/>
      <c r="J268" s="47"/>
      <c r="K268" s="551">
        <f>((29*0.24)+(29*0.77)+(13*0.24)+(13*0.77))</f>
        <v>42.42</v>
      </c>
      <c r="L268" s="552"/>
      <c r="M268" s="551"/>
      <c r="N268" s="552"/>
      <c r="O268" s="551">
        <v>1</v>
      </c>
      <c r="P268" s="552"/>
      <c r="Q268" s="551"/>
      <c r="R268" s="552"/>
      <c r="S268" s="551"/>
      <c r="T268" s="552"/>
      <c r="U268" s="551"/>
      <c r="V268" s="552"/>
      <c r="W268" s="548">
        <f t="shared" si="22"/>
        <v>42.42</v>
      </c>
      <c r="X268" s="549"/>
      <c r="Y268" s="550"/>
      <c r="Z268" s="548">
        <f t="shared" si="23"/>
        <v>6.53268</v>
      </c>
      <c r="AA268" s="549"/>
      <c r="AB268" s="550"/>
      <c r="AC268" s="35"/>
      <c r="AD268" s="36"/>
      <c r="AE268" s="37"/>
      <c r="AF268" s="35"/>
      <c r="AG268" s="36"/>
      <c r="AH268" s="38"/>
    </row>
    <row r="269" spans="1:34" ht="15.75">
      <c r="A269" s="507"/>
      <c r="B269" s="508"/>
      <c r="C269" s="509"/>
      <c r="D269" s="545" t="s">
        <v>720</v>
      </c>
      <c r="E269" s="546"/>
      <c r="F269" s="546"/>
      <c r="G269" s="546"/>
      <c r="H269" s="546"/>
      <c r="I269" s="547"/>
      <c r="J269" s="47"/>
      <c r="K269" s="551">
        <f>((29*0.77)+(13*0.77))</f>
        <v>32.340000000000003</v>
      </c>
      <c r="L269" s="552"/>
      <c r="M269" s="551"/>
      <c r="N269" s="552"/>
      <c r="O269" s="551">
        <v>1</v>
      </c>
      <c r="P269" s="552"/>
      <c r="Q269" s="551"/>
      <c r="R269" s="552"/>
      <c r="S269" s="551"/>
      <c r="T269" s="552"/>
      <c r="U269" s="551"/>
      <c r="V269" s="552"/>
      <c r="W269" s="548">
        <f t="shared" si="22"/>
        <v>32.340000000000003</v>
      </c>
      <c r="X269" s="549"/>
      <c r="Y269" s="550"/>
      <c r="Z269" s="548">
        <f t="shared" si="23"/>
        <v>4.9803600000000001</v>
      </c>
      <c r="AA269" s="549"/>
      <c r="AB269" s="550"/>
      <c r="AC269" s="35"/>
      <c r="AD269" s="36"/>
      <c r="AE269" s="37"/>
      <c r="AF269" s="35"/>
      <c r="AG269" s="36"/>
      <c r="AH269" s="38"/>
    </row>
    <row r="270" spans="1:34" ht="15.75">
      <c r="A270" s="507"/>
      <c r="B270" s="508"/>
      <c r="C270" s="509"/>
      <c r="D270" s="545" t="s">
        <v>721</v>
      </c>
      <c r="E270" s="546"/>
      <c r="F270" s="546"/>
      <c r="G270" s="546"/>
      <c r="H270" s="546"/>
      <c r="I270" s="547"/>
      <c r="J270" s="47"/>
      <c r="K270" s="551">
        <f>29*0.77</f>
        <v>22.330000000000002</v>
      </c>
      <c r="L270" s="552"/>
      <c r="M270" s="551"/>
      <c r="N270" s="552"/>
      <c r="O270" s="551">
        <v>1</v>
      </c>
      <c r="P270" s="552"/>
      <c r="Q270" s="551"/>
      <c r="R270" s="552"/>
      <c r="S270" s="551"/>
      <c r="T270" s="552"/>
      <c r="U270" s="551"/>
      <c r="V270" s="552"/>
      <c r="W270" s="548">
        <f t="shared" si="22"/>
        <v>22.330000000000002</v>
      </c>
      <c r="X270" s="549"/>
      <c r="Y270" s="550"/>
      <c r="Z270" s="548">
        <f t="shared" si="23"/>
        <v>3.4388200000000002</v>
      </c>
      <c r="AA270" s="549"/>
      <c r="AB270" s="550"/>
      <c r="AC270" s="35"/>
      <c r="AD270" s="36"/>
      <c r="AE270" s="37"/>
      <c r="AF270" s="35"/>
      <c r="AG270" s="36"/>
      <c r="AH270" s="38"/>
    </row>
    <row r="271" spans="1:34" ht="15.75">
      <c r="A271" s="507"/>
      <c r="B271" s="508"/>
      <c r="C271" s="509"/>
      <c r="D271" s="545" t="s">
        <v>722</v>
      </c>
      <c r="E271" s="546"/>
      <c r="F271" s="546"/>
      <c r="G271" s="546"/>
      <c r="H271" s="546"/>
      <c r="I271" s="547"/>
      <c r="J271" s="47"/>
      <c r="K271" s="551">
        <f>29*0.77</f>
        <v>22.330000000000002</v>
      </c>
      <c r="L271" s="552"/>
      <c r="M271" s="551"/>
      <c r="N271" s="552"/>
      <c r="O271" s="551">
        <v>1</v>
      </c>
      <c r="P271" s="552"/>
      <c r="Q271" s="512"/>
      <c r="R271" s="509"/>
      <c r="S271" s="512"/>
      <c r="T271" s="509"/>
      <c r="U271" s="512"/>
      <c r="V271" s="509"/>
      <c r="W271" s="548">
        <f t="shared" si="22"/>
        <v>22.330000000000002</v>
      </c>
      <c r="X271" s="549"/>
      <c r="Y271" s="550"/>
      <c r="Z271" s="548">
        <f t="shared" si="23"/>
        <v>3.4388200000000002</v>
      </c>
      <c r="AA271" s="549"/>
      <c r="AB271" s="550"/>
      <c r="AC271" s="35"/>
      <c r="AD271" s="36"/>
      <c r="AE271" s="37"/>
      <c r="AF271" s="35"/>
      <c r="AG271" s="36"/>
      <c r="AH271" s="38"/>
    </row>
    <row r="272" spans="1:34" ht="15.75">
      <c r="A272" s="507"/>
      <c r="B272" s="508"/>
      <c r="C272" s="509"/>
      <c r="D272" s="545" t="s">
        <v>723</v>
      </c>
      <c r="E272" s="546"/>
      <c r="F272" s="546"/>
      <c r="G272" s="546"/>
      <c r="H272" s="546"/>
      <c r="I272" s="547"/>
      <c r="J272" s="47"/>
      <c r="K272" s="551">
        <f>29*0.77</f>
        <v>22.330000000000002</v>
      </c>
      <c r="L272" s="552"/>
      <c r="M272" s="551"/>
      <c r="N272" s="552"/>
      <c r="O272" s="551">
        <v>1</v>
      </c>
      <c r="P272" s="552"/>
      <c r="Q272" s="551"/>
      <c r="R272" s="552"/>
      <c r="S272" s="551"/>
      <c r="T272" s="552"/>
      <c r="U272" s="551"/>
      <c r="V272" s="552"/>
      <c r="W272" s="548">
        <f t="shared" si="22"/>
        <v>22.330000000000002</v>
      </c>
      <c r="X272" s="549"/>
      <c r="Y272" s="550"/>
      <c r="Z272" s="548">
        <f t="shared" si="23"/>
        <v>3.4388200000000002</v>
      </c>
      <c r="AA272" s="549"/>
      <c r="AB272" s="550"/>
      <c r="AC272" s="35"/>
      <c r="AD272" s="36"/>
      <c r="AE272" s="37"/>
      <c r="AF272" s="35"/>
      <c r="AG272" s="36"/>
      <c r="AH272" s="38"/>
    </row>
    <row r="273" spans="1:34" ht="15.75">
      <c r="A273" s="507"/>
      <c r="B273" s="508"/>
      <c r="C273" s="509"/>
      <c r="D273" s="545" t="s">
        <v>724</v>
      </c>
      <c r="E273" s="546"/>
      <c r="F273" s="546"/>
      <c r="G273" s="546"/>
      <c r="H273" s="546"/>
      <c r="I273" s="547"/>
      <c r="J273" s="47"/>
      <c r="K273" s="551">
        <f>29*0.77</f>
        <v>22.330000000000002</v>
      </c>
      <c r="L273" s="552"/>
      <c r="M273" s="551"/>
      <c r="N273" s="552"/>
      <c r="O273" s="551">
        <v>1</v>
      </c>
      <c r="P273" s="552"/>
      <c r="Q273" s="551"/>
      <c r="R273" s="552"/>
      <c r="S273" s="551"/>
      <c r="T273" s="552"/>
      <c r="U273" s="551"/>
      <c r="V273" s="552"/>
      <c r="W273" s="548">
        <f t="shared" si="22"/>
        <v>22.330000000000002</v>
      </c>
      <c r="X273" s="549"/>
      <c r="Y273" s="550"/>
      <c r="Z273" s="548">
        <f t="shared" si="23"/>
        <v>3.4388200000000002</v>
      </c>
      <c r="AA273" s="549"/>
      <c r="AB273" s="550"/>
      <c r="AC273" s="35"/>
      <c r="AD273" s="36"/>
      <c r="AE273" s="37"/>
      <c r="AF273" s="35"/>
      <c r="AG273" s="36"/>
      <c r="AH273" s="38"/>
    </row>
    <row r="274" spans="1:34" ht="15.75">
      <c r="A274" s="507"/>
      <c r="B274" s="508"/>
      <c r="C274" s="509"/>
      <c r="D274" s="545" t="s">
        <v>725</v>
      </c>
      <c r="E274" s="546"/>
      <c r="F274" s="546"/>
      <c r="G274" s="546"/>
      <c r="H274" s="546"/>
      <c r="I274" s="547"/>
      <c r="J274" s="47"/>
      <c r="K274" s="551">
        <f>29*0.77</f>
        <v>22.330000000000002</v>
      </c>
      <c r="L274" s="552"/>
      <c r="M274" s="551"/>
      <c r="N274" s="552"/>
      <c r="O274" s="551">
        <v>1</v>
      </c>
      <c r="P274" s="552"/>
      <c r="Q274" s="551"/>
      <c r="R274" s="552"/>
      <c r="S274" s="551"/>
      <c r="T274" s="552"/>
      <c r="U274" s="551"/>
      <c r="V274" s="552"/>
      <c r="W274" s="548">
        <f t="shared" si="22"/>
        <v>22.330000000000002</v>
      </c>
      <c r="X274" s="549"/>
      <c r="Y274" s="550"/>
      <c r="Z274" s="548">
        <f t="shared" si="23"/>
        <v>3.4388200000000002</v>
      </c>
      <c r="AA274" s="549"/>
      <c r="AB274" s="550"/>
      <c r="AC274" s="35"/>
      <c r="AD274" s="36"/>
      <c r="AE274" s="37"/>
      <c r="AF274" s="35"/>
      <c r="AG274" s="36"/>
      <c r="AH274" s="38"/>
    </row>
    <row r="275" spans="1:34" ht="15.75">
      <c r="A275" s="507"/>
      <c r="B275" s="508"/>
      <c r="C275" s="509"/>
      <c r="D275" s="545" t="s">
        <v>726</v>
      </c>
      <c r="E275" s="546"/>
      <c r="F275" s="546"/>
      <c r="G275" s="546"/>
      <c r="H275" s="546"/>
      <c r="I275" s="547"/>
      <c r="J275" s="47"/>
      <c r="K275" s="551">
        <f>23*0.87</f>
        <v>20.010000000000002</v>
      </c>
      <c r="L275" s="552"/>
      <c r="M275" s="551"/>
      <c r="N275" s="552"/>
      <c r="O275" s="551">
        <v>1</v>
      </c>
      <c r="P275" s="552"/>
      <c r="Q275" s="551"/>
      <c r="R275" s="552"/>
      <c r="S275" s="551"/>
      <c r="T275" s="552"/>
      <c r="U275" s="551"/>
      <c r="V275" s="552"/>
      <c r="W275" s="548">
        <f t="shared" ref="W275:W303" si="25">K275*O275</f>
        <v>20.010000000000002</v>
      </c>
      <c r="X275" s="549"/>
      <c r="Y275" s="550"/>
      <c r="Z275" s="548">
        <f t="shared" si="23"/>
        <v>3.0815400000000004</v>
      </c>
      <c r="AA275" s="549"/>
      <c r="AB275" s="550"/>
      <c r="AC275" s="35"/>
      <c r="AD275" s="36"/>
      <c r="AE275" s="37"/>
      <c r="AF275" s="35"/>
      <c r="AG275" s="36"/>
      <c r="AH275" s="38"/>
    </row>
    <row r="276" spans="1:34" ht="15.75">
      <c r="A276" s="507"/>
      <c r="B276" s="508"/>
      <c r="C276" s="509"/>
      <c r="D276" s="545" t="s">
        <v>727</v>
      </c>
      <c r="E276" s="546"/>
      <c r="F276" s="546"/>
      <c r="G276" s="546"/>
      <c r="H276" s="546"/>
      <c r="I276" s="547"/>
      <c r="J276" s="47"/>
      <c r="K276" s="551">
        <f>((23*0.87)+(10*0.87))</f>
        <v>28.71</v>
      </c>
      <c r="L276" s="552"/>
      <c r="M276" s="551"/>
      <c r="N276" s="552"/>
      <c r="O276" s="551">
        <v>1</v>
      </c>
      <c r="P276" s="552"/>
      <c r="Q276" s="551"/>
      <c r="R276" s="552"/>
      <c r="S276" s="551"/>
      <c r="T276" s="552"/>
      <c r="U276" s="551"/>
      <c r="V276" s="552"/>
      <c r="W276" s="548">
        <f t="shared" si="25"/>
        <v>28.71</v>
      </c>
      <c r="X276" s="549"/>
      <c r="Y276" s="550"/>
      <c r="Z276" s="548">
        <f t="shared" ref="Z276:Z303" si="26">W276*0.154</f>
        <v>4.4213399999999998</v>
      </c>
      <c r="AA276" s="549"/>
      <c r="AB276" s="550"/>
      <c r="AC276" s="35"/>
      <c r="AD276" s="36"/>
      <c r="AE276" s="37"/>
      <c r="AF276" s="35"/>
      <c r="AG276" s="36"/>
      <c r="AH276" s="38"/>
    </row>
    <row r="277" spans="1:34" ht="15.75">
      <c r="A277" s="507"/>
      <c r="B277" s="508"/>
      <c r="C277" s="509"/>
      <c r="D277" s="545" t="s">
        <v>728</v>
      </c>
      <c r="E277" s="546"/>
      <c r="F277" s="546"/>
      <c r="G277" s="546"/>
      <c r="H277" s="546"/>
      <c r="I277" s="547"/>
      <c r="J277" s="47"/>
      <c r="K277" s="551">
        <f>((23*0.77)+(10*0.77))</f>
        <v>25.41</v>
      </c>
      <c r="L277" s="552"/>
      <c r="M277" s="551"/>
      <c r="N277" s="552"/>
      <c r="O277" s="551">
        <v>1</v>
      </c>
      <c r="P277" s="552"/>
      <c r="Q277" s="551"/>
      <c r="R277" s="552"/>
      <c r="S277" s="551"/>
      <c r="T277" s="552"/>
      <c r="U277" s="551"/>
      <c r="V277" s="552"/>
      <c r="W277" s="548">
        <f t="shared" si="25"/>
        <v>25.41</v>
      </c>
      <c r="X277" s="549"/>
      <c r="Y277" s="550"/>
      <c r="Z277" s="548">
        <f t="shared" si="26"/>
        <v>3.9131399999999998</v>
      </c>
      <c r="AA277" s="549"/>
      <c r="AB277" s="550"/>
      <c r="AC277" s="35"/>
      <c r="AD277" s="36"/>
      <c r="AE277" s="37"/>
      <c r="AF277" s="35"/>
      <c r="AG277" s="36"/>
      <c r="AH277" s="38"/>
    </row>
    <row r="278" spans="1:34" ht="15.75">
      <c r="A278" s="507"/>
      <c r="B278" s="508"/>
      <c r="C278" s="509"/>
      <c r="D278" s="545" t="s">
        <v>729</v>
      </c>
      <c r="E278" s="546"/>
      <c r="F278" s="546"/>
      <c r="G278" s="546"/>
      <c r="H278" s="546"/>
      <c r="I278" s="547"/>
      <c r="J278" s="47"/>
      <c r="K278" s="551">
        <f>((29*0.77)+(13*0.77))</f>
        <v>32.340000000000003</v>
      </c>
      <c r="L278" s="552"/>
      <c r="M278" s="551"/>
      <c r="N278" s="552"/>
      <c r="O278" s="551">
        <v>1</v>
      </c>
      <c r="P278" s="552"/>
      <c r="Q278" s="551"/>
      <c r="R278" s="552"/>
      <c r="S278" s="551"/>
      <c r="T278" s="552"/>
      <c r="U278" s="551"/>
      <c r="V278" s="552"/>
      <c r="W278" s="548">
        <f t="shared" si="25"/>
        <v>32.340000000000003</v>
      </c>
      <c r="X278" s="549"/>
      <c r="Y278" s="550"/>
      <c r="Z278" s="548">
        <f t="shared" si="26"/>
        <v>4.9803600000000001</v>
      </c>
      <c r="AA278" s="549"/>
      <c r="AB278" s="550"/>
      <c r="AC278" s="35"/>
      <c r="AD278" s="36"/>
      <c r="AE278" s="37"/>
      <c r="AF278" s="35"/>
      <c r="AG278" s="36"/>
      <c r="AH278" s="38"/>
    </row>
    <row r="279" spans="1:34" ht="15.75">
      <c r="A279" s="507"/>
      <c r="B279" s="508"/>
      <c r="C279" s="509"/>
      <c r="D279" s="545" t="s">
        <v>730</v>
      </c>
      <c r="E279" s="546"/>
      <c r="F279" s="546"/>
      <c r="G279" s="546"/>
      <c r="H279" s="546"/>
      <c r="I279" s="547"/>
      <c r="J279" s="47"/>
      <c r="K279" s="551">
        <f>29*0.77</f>
        <v>22.330000000000002</v>
      </c>
      <c r="L279" s="552"/>
      <c r="M279" s="551"/>
      <c r="N279" s="552"/>
      <c r="O279" s="551">
        <v>1</v>
      </c>
      <c r="P279" s="552"/>
      <c r="Q279" s="512"/>
      <c r="R279" s="509"/>
      <c r="S279" s="512"/>
      <c r="T279" s="509"/>
      <c r="U279" s="512"/>
      <c r="V279" s="509"/>
      <c r="W279" s="548">
        <f t="shared" si="25"/>
        <v>22.330000000000002</v>
      </c>
      <c r="X279" s="549"/>
      <c r="Y279" s="550"/>
      <c r="Z279" s="548">
        <f t="shared" si="26"/>
        <v>3.4388200000000002</v>
      </c>
      <c r="AA279" s="549"/>
      <c r="AB279" s="550"/>
      <c r="AC279" s="35"/>
      <c r="AD279" s="36"/>
      <c r="AE279" s="37"/>
      <c r="AF279" s="35"/>
      <c r="AG279" s="36"/>
      <c r="AH279" s="38"/>
    </row>
    <row r="280" spans="1:34" ht="15.75">
      <c r="A280" s="507"/>
      <c r="B280" s="508"/>
      <c r="C280" s="509"/>
      <c r="D280" s="545" t="s">
        <v>731</v>
      </c>
      <c r="E280" s="546"/>
      <c r="F280" s="546"/>
      <c r="G280" s="546"/>
      <c r="H280" s="546"/>
      <c r="I280" s="547"/>
      <c r="J280" s="47"/>
      <c r="K280" s="551">
        <f>29*0.77</f>
        <v>22.330000000000002</v>
      </c>
      <c r="L280" s="552"/>
      <c r="M280" s="551"/>
      <c r="N280" s="552"/>
      <c r="O280" s="551">
        <v>1</v>
      </c>
      <c r="P280" s="552"/>
      <c r="Q280" s="551"/>
      <c r="R280" s="552"/>
      <c r="S280" s="551"/>
      <c r="T280" s="552"/>
      <c r="U280" s="551"/>
      <c r="V280" s="552"/>
      <c r="W280" s="548">
        <f t="shared" si="25"/>
        <v>22.330000000000002</v>
      </c>
      <c r="X280" s="549"/>
      <c r="Y280" s="550"/>
      <c r="Z280" s="548">
        <f t="shared" si="26"/>
        <v>3.4388200000000002</v>
      </c>
      <c r="AA280" s="549"/>
      <c r="AB280" s="550"/>
      <c r="AC280" s="35"/>
      <c r="AD280" s="36"/>
      <c r="AE280" s="37"/>
      <c r="AF280" s="35"/>
      <c r="AG280" s="36"/>
      <c r="AH280" s="38"/>
    </row>
    <row r="281" spans="1:34" ht="15.75">
      <c r="A281" s="507"/>
      <c r="B281" s="508"/>
      <c r="C281" s="509"/>
      <c r="D281" s="545" t="s">
        <v>732</v>
      </c>
      <c r="E281" s="546"/>
      <c r="F281" s="546"/>
      <c r="G281" s="546"/>
      <c r="H281" s="546"/>
      <c r="I281" s="547"/>
      <c r="J281" s="47"/>
      <c r="K281" s="551">
        <f>((29*0.77)+(13*0.77))</f>
        <v>32.340000000000003</v>
      </c>
      <c r="L281" s="552"/>
      <c r="M281" s="551"/>
      <c r="N281" s="552"/>
      <c r="O281" s="551">
        <v>1</v>
      </c>
      <c r="P281" s="552"/>
      <c r="Q281" s="551"/>
      <c r="R281" s="552"/>
      <c r="S281" s="551"/>
      <c r="T281" s="552"/>
      <c r="U281" s="551"/>
      <c r="V281" s="552"/>
      <c r="W281" s="548">
        <f t="shared" si="25"/>
        <v>32.340000000000003</v>
      </c>
      <c r="X281" s="549"/>
      <c r="Y281" s="550"/>
      <c r="Z281" s="548">
        <f t="shared" si="26"/>
        <v>4.9803600000000001</v>
      </c>
      <c r="AA281" s="549"/>
      <c r="AB281" s="550"/>
      <c r="AC281" s="35"/>
      <c r="AD281" s="36"/>
      <c r="AE281" s="37"/>
      <c r="AF281" s="35"/>
      <c r="AG281" s="36"/>
      <c r="AH281" s="38"/>
    </row>
    <row r="282" spans="1:34" ht="15.75">
      <c r="A282" s="507"/>
      <c r="B282" s="508"/>
      <c r="C282" s="509"/>
      <c r="D282" s="545" t="s">
        <v>733</v>
      </c>
      <c r="E282" s="546"/>
      <c r="F282" s="546"/>
      <c r="G282" s="546"/>
      <c r="H282" s="546"/>
      <c r="I282" s="547"/>
      <c r="J282" s="47"/>
      <c r="K282" s="551">
        <f>((29*0.77)+(13*0.77))</f>
        <v>32.340000000000003</v>
      </c>
      <c r="L282" s="552"/>
      <c r="M282" s="551"/>
      <c r="N282" s="552"/>
      <c r="O282" s="551">
        <v>1</v>
      </c>
      <c r="P282" s="552"/>
      <c r="Q282" s="551"/>
      <c r="R282" s="552"/>
      <c r="S282" s="551"/>
      <c r="T282" s="552"/>
      <c r="U282" s="551"/>
      <c r="V282" s="552"/>
      <c r="W282" s="548">
        <f t="shared" si="25"/>
        <v>32.340000000000003</v>
      </c>
      <c r="X282" s="549"/>
      <c r="Y282" s="550"/>
      <c r="Z282" s="548">
        <f t="shared" si="26"/>
        <v>4.9803600000000001</v>
      </c>
      <c r="AA282" s="549"/>
      <c r="AB282" s="550"/>
      <c r="AC282" s="35"/>
      <c r="AD282" s="36"/>
      <c r="AE282" s="37"/>
      <c r="AF282" s="35"/>
      <c r="AG282" s="36"/>
      <c r="AH282" s="38"/>
    </row>
    <row r="283" spans="1:34" ht="15.75">
      <c r="A283" s="507"/>
      <c r="B283" s="508"/>
      <c r="C283" s="509"/>
      <c r="D283" s="545" t="s">
        <v>734</v>
      </c>
      <c r="E283" s="546"/>
      <c r="F283" s="546"/>
      <c r="G283" s="546"/>
      <c r="H283" s="546"/>
      <c r="I283" s="547"/>
      <c r="J283" s="47"/>
      <c r="K283" s="551">
        <f>29*0.77</f>
        <v>22.330000000000002</v>
      </c>
      <c r="L283" s="552"/>
      <c r="M283" s="551"/>
      <c r="N283" s="552"/>
      <c r="O283" s="551">
        <v>1</v>
      </c>
      <c r="P283" s="552"/>
      <c r="Q283" s="551"/>
      <c r="R283" s="552"/>
      <c r="S283" s="551"/>
      <c r="T283" s="552"/>
      <c r="U283" s="551"/>
      <c r="V283" s="552"/>
      <c r="W283" s="548">
        <f t="shared" si="25"/>
        <v>22.330000000000002</v>
      </c>
      <c r="X283" s="549"/>
      <c r="Y283" s="550"/>
      <c r="Z283" s="548">
        <f t="shared" si="26"/>
        <v>3.4388200000000002</v>
      </c>
      <c r="AA283" s="549"/>
      <c r="AB283" s="550"/>
      <c r="AC283" s="35"/>
      <c r="AD283" s="36"/>
      <c r="AE283" s="37"/>
      <c r="AF283" s="35"/>
      <c r="AG283" s="36"/>
      <c r="AH283" s="38"/>
    </row>
    <row r="284" spans="1:34" ht="15.75">
      <c r="A284" s="507"/>
      <c r="B284" s="508"/>
      <c r="C284" s="509"/>
      <c r="D284" s="545" t="s">
        <v>735</v>
      </c>
      <c r="E284" s="546"/>
      <c r="F284" s="546"/>
      <c r="G284" s="546"/>
      <c r="H284" s="546"/>
      <c r="I284" s="547"/>
      <c r="J284" s="47"/>
      <c r="K284" s="551">
        <f>29*0.77</f>
        <v>22.330000000000002</v>
      </c>
      <c r="L284" s="552"/>
      <c r="M284" s="551"/>
      <c r="N284" s="552"/>
      <c r="O284" s="551">
        <v>1</v>
      </c>
      <c r="P284" s="552"/>
      <c r="Q284" s="551"/>
      <c r="R284" s="552"/>
      <c r="S284" s="551"/>
      <c r="T284" s="552"/>
      <c r="U284" s="551"/>
      <c r="V284" s="552"/>
      <c r="W284" s="548">
        <f t="shared" si="25"/>
        <v>22.330000000000002</v>
      </c>
      <c r="X284" s="549"/>
      <c r="Y284" s="550"/>
      <c r="Z284" s="548">
        <f t="shared" si="26"/>
        <v>3.4388200000000002</v>
      </c>
      <c r="AA284" s="549"/>
      <c r="AB284" s="550"/>
      <c r="AC284" s="35"/>
      <c r="AD284" s="36"/>
      <c r="AE284" s="37"/>
      <c r="AF284" s="35"/>
      <c r="AG284" s="36"/>
      <c r="AH284" s="38"/>
    </row>
    <row r="285" spans="1:34" ht="15.75">
      <c r="A285" s="507"/>
      <c r="B285" s="508"/>
      <c r="C285" s="509"/>
      <c r="D285" s="545" t="s">
        <v>736</v>
      </c>
      <c r="E285" s="546"/>
      <c r="F285" s="546"/>
      <c r="G285" s="546"/>
      <c r="H285" s="546"/>
      <c r="I285" s="547"/>
      <c r="J285" s="47"/>
      <c r="K285" s="551">
        <f>29*0.77</f>
        <v>22.330000000000002</v>
      </c>
      <c r="L285" s="552"/>
      <c r="M285" s="551"/>
      <c r="N285" s="552"/>
      <c r="O285" s="551">
        <v>1</v>
      </c>
      <c r="P285" s="552"/>
      <c r="Q285" s="551"/>
      <c r="R285" s="552"/>
      <c r="S285" s="551"/>
      <c r="T285" s="552"/>
      <c r="U285" s="551"/>
      <c r="V285" s="552"/>
      <c r="W285" s="548">
        <f t="shared" si="25"/>
        <v>22.330000000000002</v>
      </c>
      <c r="X285" s="549"/>
      <c r="Y285" s="550"/>
      <c r="Z285" s="548">
        <f t="shared" si="26"/>
        <v>3.4388200000000002</v>
      </c>
      <c r="AA285" s="549"/>
      <c r="AB285" s="550"/>
      <c r="AC285" s="35"/>
      <c r="AD285" s="36"/>
      <c r="AE285" s="37"/>
      <c r="AF285" s="35"/>
      <c r="AG285" s="36"/>
      <c r="AH285" s="38"/>
    </row>
    <row r="286" spans="1:34" ht="15.75">
      <c r="A286" s="507"/>
      <c r="B286" s="508"/>
      <c r="C286" s="509"/>
      <c r="D286" s="545" t="s">
        <v>737</v>
      </c>
      <c r="E286" s="546"/>
      <c r="F286" s="546"/>
      <c r="G286" s="546"/>
      <c r="H286" s="546"/>
      <c r="I286" s="547"/>
      <c r="J286" s="47"/>
      <c r="K286" s="551">
        <f>29*0.77</f>
        <v>22.330000000000002</v>
      </c>
      <c r="L286" s="552"/>
      <c r="M286" s="551"/>
      <c r="N286" s="552"/>
      <c r="O286" s="551">
        <v>1</v>
      </c>
      <c r="P286" s="552"/>
      <c r="Q286" s="551"/>
      <c r="R286" s="552"/>
      <c r="S286" s="551"/>
      <c r="T286" s="552"/>
      <c r="U286" s="551"/>
      <c r="V286" s="552"/>
      <c r="W286" s="548">
        <f t="shared" si="25"/>
        <v>22.330000000000002</v>
      </c>
      <c r="X286" s="549"/>
      <c r="Y286" s="550"/>
      <c r="Z286" s="548">
        <f t="shared" si="26"/>
        <v>3.4388200000000002</v>
      </c>
      <c r="AA286" s="549"/>
      <c r="AB286" s="550"/>
      <c r="AC286" s="35"/>
      <c r="AD286" s="36"/>
      <c r="AE286" s="37"/>
      <c r="AF286" s="35"/>
      <c r="AG286" s="36"/>
      <c r="AH286" s="38"/>
    </row>
    <row r="287" spans="1:34" ht="15.75">
      <c r="A287" s="507"/>
      <c r="B287" s="508"/>
      <c r="C287" s="509"/>
      <c r="D287" s="545" t="s">
        <v>738</v>
      </c>
      <c r="E287" s="546"/>
      <c r="F287" s="546"/>
      <c r="G287" s="546"/>
      <c r="H287" s="546"/>
      <c r="I287" s="547"/>
      <c r="J287" s="47"/>
      <c r="K287" s="551">
        <f>29*0.77</f>
        <v>22.330000000000002</v>
      </c>
      <c r="L287" s="552"/>
      <c r="M287" s="551"/>
      <c r="N287" s="552"/>
      <c r="O287" s="551">
        <v>1</v>
      </c>
      <c r="P287" s="552"/>
      <c r="Q287" s="512"/>
      <c r="R287" s="509"/>
      <c r="S287" s="512"/>
      <c r="T287" s="509"/>
      <c r="U287" s="512"/>
      <c r="V287" s="509"/>
      <c r="W287" s="548">
        <f t="shared" si="25"/>
        <v>22.330000000000002</v>
      </c>
      <c r="X287" s="549"/>
      <c r="Y287" s="550"/>
      <c r="Z287" s="548">
        <f t="shared" si="26"/>
        <v>3.4388200000000002</v>
      </c>
      <c r="AA287" s="549"/>
      <c r="AB287" s="550"/>
      <c r="AC287" s="35"/>
      <c r="AD287" s="36"/>
      <c r="AE287" s="37"/>
      <c r="AF287" s="35"/>
      <c r="AG287" s="36"/>
      <c r="AH287" s="38"/>
    </row>
    <row r="288" spans="1:34" ht="15.75">
      <c r="A288" s="507"/>
      <c r="B288" s="508"/>
      <c r="C288" s="509"/>
      <c r="D288" s="545" t="s">
        <v>739</v>
      </c>
      <c r="E288" s="546"/>
      <c r="F288" s="546"/>
      <c r="G288" s="546"/>
      <c r="H288" s="546"/>
      <c r="I288" s="547"/>
      <c r="J288" s="47"/>
      <c r="K288" s="551">
        <f>((29*0.77)+(13*0.77))</f>
        <v>32.340000000000003</v>
      </c>
      <c r="L288" s="552"/>
      <c r="M288" s="551"/>
      <c r="N288" s="552"/>
      <c r="O288" s="551">
        <v>1</v>
      </c>
      <c r="P288" s="552"/>
      <c r="Q288" s="551"/>
      <c r="R288" s="552"/>
      <c r="S288" s="551"/>
      <c r="T288" s="552"/>
      <c r="U288" s="551"/>
      <c r="V288" s="552"/>
      <c r="W288" s="548">
        <f t="shared" si="25"/>
        <v>32.340000000000003</v>
      </c>
      <c r="X288" s="549"/>
      <c r="Y288" s="550"/>
      <c r="Z288" s="548">
        <f t="shared" si="26"/>
        <v>4.9803600000000001</v>
      </c>
      <c r="AA288" s="549"/>
      <c r="AB288" s="550"/>
      <c r="AC288" s="35"/>
      <c r="AD288" s="36"/>
      <c r="AE288" s="37"/>
      <c r="AF288" s="35"/>
      <c r="AG288" s="36"/>
      <c r="AH288" s="38"/>
    </row>
    <row r="289" spans="1:35" ht="15.75">
      <c r="A289" s="507"/>
      <c r="B289" s="508"/>
      <c r="C289" s="509"/>
      <c r="D289" s="545" t="s">
        <v>740</v>
      </c>
      <c r="E289" s="546"/>
      <c r="F289" s="546"/>
      <c r="G289" s="546"/>
      <c r="H289" s="546"/>
      <c r="I289" s="547"/>
      <c r="J289" s="47"/>
      <c r="K289" s="551">
        <f>29*0.77</f>
        <v>22.330000000000002</v>
      </c>
      <c r="L289" s="552"/>
      <c r="M289" s="551"/>
      <c r="N289" s="552"/>
      <c r="O289" s="551">
        <v>1</v>
      </c>
      <c r="P289" s="552"/>
      <c r="Q289" s="551"/>
      <c r="R289" s="552"/>
      <c r="S289" s="551"/>
      <c r="T289" s="552"/>
      <c r="U289" s="551"/>
      <c r="V289" s="552"/>
      <c r="W289" s="548">
        <f t="shared" si="25"/>
        <v>22.330000000000002</v>
      </c>
      <c r="X289" s="549"/>
      <c r="Y289" s="550"/>
      <c r="Z289" s="548">
        <f t="shared" si="26"/>
        <v>3.4388200000000002</v>
      </c>
      <c r="AA289" s="549"/>
      <c r="AB289" s="550"/>
      <c r="AC289" s="35"/>
      <c r="AD289" s="36"/>
      <c r="AE289" s="37"/>
      <c r="AF289" s="35"/>
      <c r="AG289" s="36"/>
      <c r="AH289" s="38"/>
    </row>
    <row r="290" spans="1:35" ht="15.75">
      <c r="A290" s="507"/>
      <c r="B290" s="508"/>
      <c r="C290" s="509"/>
      <c r="D290" s="545" t="s">
        <v>741</v>
      </c>
      <c r="E290" s="546"/>
      <c r="F290" s="546"/>
      <c r="G290" s="546"/>
      <c r="H290" s="546"/>
      <c r="I290" s="547"/>
      <c r="J290" s="47"/>
      <c r="K290" s="551">
        <f>29*0.77</f>
        <v>22.330000000000002</v>
      </c>
      <c r="L290" s="552"/>
      <c r="M290" s="551"/>
      <c r="N290" s="552"/>
      <c r="O290" s="551">
        <v>1</v>
      </c>
      <c r="P290" s="552"/>
      <c r="Q290" s="551"/>
      <c r="R290" s="552"/>
      <c r="S290" s="551"/>
      <c r="T290" s="552"/>
      <c r="U290" s="551"/>
      <c r="V290" s="552"/>
      <c r="W290" s="548">
        <f t="shared" si="25"/>
        <v>22.330000000000002</v>
      </c>
      <c r="X290" s="549"/>
      <c r="Y290" s="550"/>
      <c r="Z290" s="548">
        <f t="shared" si="26"/>
        <v>3.4388200000000002</v>
      </c>
      <c r="AA290" s="549"/>
      <c r="AB290" s="550"/>
      <c r="AC290" s="35"/>
      <c r="AD290" s="36"/>
      <c r="AE290" s="37"/>
      <c r="AF290" s="35"/>
      <c r="AG290" s="36"/>
      <c r="AH290" s="38"/>
    </row>
    <row r="291" spans="1:35" ht="15.75">
      <c r="A291" s="507"/>
      <c r="B291" s="508"/>
      <c r="C291" s="509"/>
      <c r="D291" s="545" t="s">
        <v>742</v>
      </c>
      <c r="E291" s="546"/>
      <c r="F291" s="546"/>
      <c r="G291" s="546"/>
      <c r="H291" s="546"/>
      <c r="I291" s="547"/>
      <c r="J291" s="47"/>
      <c r="K291" s="551">
        <f>29*0.77</f>
        <v>22.330000000000002</v>
      </c>
      <c r="L291" s="552"/>
      <c r="M291" s="551"/>
      <c r="N291" s="552"/>
      <c r="O291" s="551">
        <v>1</v>
      </c>
      <c r="P291" s="552"/>
      <c r="Q291" s="551"/>
      <c r="R291" s="552"/>
      <c r="S291" s="551"/>
      <c r="T291" s="552"/>
      <c r="U291" s="551"/>
      <c r="V291" s="552"/>
      <c r="W291" s="548">
        <f t="shared" si="25"/>
        <v>22.330000000000002</v>
      </c>
      <c r="X291" s="549"/>
      <c r="Y291" s="550"/>
      <c r="Z291" s="548">
        <f t="shared" si="26"/>
        <v>3.4388200000000002</v>
      </c>
      <c r="AA291" s="549"/>
      <c r="AB291" s="550"/>
      <c r="AC291" s="35"/>
      <c r="AD291" s="36"/>
      <c r="AE291" s="37"/>
      <c r="AF291" s="35"/>
      <c r="AG291" s="36"/>
      <c r="AH291" s="38"/>
    </row>
    <row r="292" spans="1:35" ht="15.75">
      <c r="A292" s="507"/>
      <c r="B292" s="508"/>
      <c r="C292" s="509"/>
      <c r="D292" s="545" t="s">
        <v>743</v>
      </c>
      <c r="E292" s="546"/>
      <c r="F292" s="546"/>
      <c r="G292" s="546"/>
      <c r="H292" s="546"/>
      <c r="I292" s="547"/>
      <c r="J292" s="47"/>
      <c r="K292" s="551">
        <f t="shared" ref="K292:K297" si="27">((29*0.77)+(13*0.77))</f>
        <v>32.340000000000003</v>
      </c>
      <c r="L292" s="552"/>
      <c r="M292" s="551"/>
      <c r="N292" s="552"/>
      <c r="O292" s="551">
        <v>1</v>
      </c>
      <c r="P292" s="552"/>
      <c r="Q292" s="551"/>
      <c r="R292" s="552"/>
      <c r="S292" s="551"/>
      <c r="T292" s="552"/>
      <c r="U292" s="551"/>
      <c r="V292" s="552"/>
      <c r="W292" s="548">
        <f t="shared" si="25"/>
        <v>32.340000000000003</v>
      </c>
      <c r="X292" s="549"/>
      <c r="Y292" s="550"/>
      <c r="Z292" s="548">
        <f t="shared" si="26"/>
        <v>4.9803600000000001</v>
      </c>
      <c r="AA292" s="549"/>
      <c r="AB292" s="550"/>
      <c r="AC292" s="35"/>
      <c r="AD292" s="36"/>
      <c r="AE292" s="37"/>
      <c r="AF292" s="35"/>
      <c r="AG292" s="36"/>
      <c r="AH292" s="38"/>
    </row>
    <row r="293" spans="1:35" ht="15.75">
      <c r="A293" s="507"/>
      <c r="B293" s="508"/>
      <c r="C293" s="509"/>
      <c r="D293" s="545" t="s">
        <v>744</v>
      </c>
      <c r="E293" s="546"/>
      <c r="F293" s="546"/>
      <c r="G293" s="546"/>
      <c r="H293" s="546"/>
      <c r="I293" s="547"/>
      <c r="J293" s="47"/>
      <c r="K293" s="551">
        <f t="shared" si="27"/>
        <v>32.340000000000003</v>
      </c>
      <c r="L293" s="552"/>
      <c r="M293" s="551"/>
      <c r="N293" s="552"/>
      <c r="O293" s="551">
        <v>1</v>
      </c>
      <c r="P293" s="552"/>
      <c r="Q293" s="551"/>
      <c r="R293" s="552"/>
      <c r="S293" s="551"/>
      <c r="T293" s="552"/>
      <c r="U293" s="551"/>
      <c r="V293" s="552"/>
      <c r="W293" s="548">
        <f t="shared" si="25"/>
        <v>32.340000000000003</v>
      </c>
      <c r="X293" s="549"/>
      <c r="Y293" s="550"/>
      <c r="Z293" s="548">
        <f t="shared" si="26"/>
        <v>4.9803600000000001</v>
      </c>
      <c r="AA293" s="549"/>
      <c r="AB293" s="550"/>
      <c r="AC293" s="35"/>
      <c r="AD293" s="36"/>
      <c r="AE293" s="37"/>
      <c r="AF293" s="35"/>
      <c r="AG293" s="36"/>
      <c r="AH293" s="38"/>
    </row>
    <row r="294" spans="1:35" ht="15.75">
      <c r="A294" s="507"/>
      <c r="B294" s="508"/>
      <c r="C294" s="509"/>
      <c r="D294" s="545" t="s">
        <v>745</v>
      </c>
      <c r="E294" s="546"/>
      <c r="F294" s="546"/>
      <c r="G294" s="546"/>
      <c r="H294" s="546"/>
      <c r="I294" s="547"/>
      <c r="J294" s="47"/>
      <c r="K294" s="551">
        <f t="shared" si="27"/>
        <v>32.340000000000003</v>
      </c>
      <c r="L294" s="552"/>
      <c r="M294" s="551"/>
      <c r="N294" s="552"/>
      <c r="O294" s="551">
        <v>1</v>
      </c>
      <c r="P294" s="552"/>
      <c r="Q294" s="551"/>
      <c r="R294" s="552"/>
      <c r="S294" s="551"/>
      <c r="T294" s="552"/>
      <c r="U294" s="551"/>
      <c r="V294" s="552"/>
      <c r="W294" s="548">
        <f t="shared" si="25"/>
        <v>32.340000000000003</v>
      </c>
      <c r="X294" s="549"/>
      <c r="Y294" s="550"/>
      <c r="Z294" s="548">
        <f t="shared" si="26"/>
        <v>4.9803600000000001</v>
      </c>
      <c r="AA294" s="549"/>
      <c r="AB294" s="550"/>
      <c r="AC294" s="35"/>
      <c r="AD294" s="36"/>
      <c r="AE294" s="37"/>
      <c r="AF294" s="35"/>
      <c r="AG294" s="36"/>
      <c r="AH294" s="38"/>
    </row>
    <row r="295" spans="1:35" ht="15.75">
      <c r="A295" s="507"/>
      <c r="B295" s="508"/>
      <c r="C295" s="509"/>
      <c r="D295" s="545" t="s">
        <v>746</v>
      </c>
      <c r="E295" s="546"/>
      <c r="F295" s="546"/>
      <c r="G295" s="546"/>
      <c r="H295" s="546"/>
      <c r="I295" s="547"/>
      <c r="J295" s="47"/>
      <c r="K295" s="551">
        <f t="shared" si="27"/>
        <v>32.340000000000003</v>
      </c>
      <c r="L295" s="552"/>
      <c r="M295" s="551"/>
      <c r="N295" s="552"/>
      <c r="O295" s="551">
        <v>1</v>
      </c>
      <c r="P295" s="552"/>
      <c r="Q295" s="512"/>
      <c r="R295" s="509"/>
      <c r="S295" s="512"/>
      <c r="T295" s="509"/>
      <c r="U295" s="512"/>
      <c r="V295" s="509"/>
      <c r="W295" s="548">
        <f t="shared" si="25"/>
        <v>32.340000000000003</v>
      </c>
      <c r="X295" s="549"/>
      <c r="Y295" s="550"/>
      <c r="Z295" s="548">
        <f t="shared" si="26"/>
        <v>4.9803600000000001</v>
      </c>
      <c r="AA295" s="549"/>
      <c r="AB295" s="550"/>
      <c r="AC295" s="35"/>
      <c r="AD295" s="36"/>
      <c r="AE295" s="37"/>
      <c r="AF295" s="35"/>
      <c r="AG295" s="36"/>
      <c r="AH295" s="38"/>
    </row>
    <row r="296" spans="1:35" ht="15.75">
      <c r="A296" s="507"/>
      <c r="B296" s="508"/>
      <c r="C296" s="509"/>
      <c r="D296" s="545" t="s">
        <v>747</v>
      </c>
      <c r="E296" s="546"/>
      <c r="F296" s="546"/>
      <c r="G296" s="546"/>
      <c r="H296" s="546"/>
      <c r="I296" s="547"/>
      <c r="J296" s="47"/>
      <c r="K296" s="551">
        <f t="shared" si="27"/>
        <v>32.340000000000003</v>
      </c>
      <c r="L296" s="552"/>
      <c r="M296" s="551"/>
      <c r="N296" s="552"/>
      <c r="O296" s="551">
        <v>1</v>
      </c>
      <c r="P296" s="552"/>
      <c r="Q296" s="551"/>
      <c r="R296" s="552"/>
      <c r="S296" s="551"/>
      <c r="T296" s="552"/>
      <c r="U296" s="551"/>
      <c r="V296" s="552"/>
      <c r="W296" s="548">
        <f t="shared" si="25"/>
        <v>32.340000000000003</v>
      </c>
      <c r="X296" s="549"/>
      <c r="Y296" s="550"/>
      <c r="Z296" s="548">
        <f t="shared" si="26"/>
        <v>4.9803600000000001</v>
      </c>
      <c r="AA296" s="549"/>
      <c r="AB296" s="550"/>
      <c r="AC296" s="35"/>
      <c r="AD296" s="36"/>
      <c r="AE296" s="37"/>
      <c r="AF296" s="35"/>
      <c r="AG296" s="36"/>
      <c r="AH296" s="38"/>
    </row>
    <row r="297" spans="1:35" ht="15.75">
      <c r="A297" s="507"/>
      <c r="B297" s="508"/>
      <c r="C297" s="509"/>
      <c r="D297" s="545" t="s">
        <v>748</v>
      </c>
      <c r="E297" s="546"/>
      <c r="F297" s="546"/>
      <c r="G297" s="546"/>
      <c r="H297" s="546"/>
      <c r="I297" s="547"/>
      <c r="J297" s="47"/>
      <c r="K297" s="551">
        <f t="shared" si="27"/>
        <v>32.340000000000003</v>
      </c>
      <c r="L297" s="552"/>
      <c r="M297" s="551"/>
      <c r="N297" s="552"/>
      <c r="O297" s="551">
        <v>1</v>
      </c>
      <c r="P297" s="552"/>
      <c r="Q297" s="551"/>
      <c r="R297" s="552"/>
      <c r="S297" s="551"/>
      <c r="T297" s="552"/>
      <c r="U297" s="551"/>
      <c r="V297" s="552"/>
      <c r="W297" s="548">
        <f t="shared" si="25"/>
        <v>32.340000000000003</v>
      </c>
      <c r="X297" s="549"/>
      <c r="Y297" s="550"/>
      <c r="Z297" s="548">
        <f t="shared" si="26"/>
        <v>4.9803600000000001</v>
      </c>
      <c r="AA297" s="549"/>
      <c r="AB297" s="550"/>
      <c r="AC297" s="35"/>
      <c r="AD297" s="36"/>
      <c r="AE297" s="37"/>
      <c r="AF297" s="35"/>
      <c r="AG297" s="36"/>
      <c r="AH297" s="38"/>
    </row>
    <row r="298" spans="1:35" ht="15.75">
      <c r="A298" s="507"/>
      <c r="B298" s="508"/>
      <c r="C298" s="509"/>
      <c r="D298" s="545" t="s">
        <v>749</v>
      </c>
      <c r="E298" s="546"/>
      <c r="F298" s="546"/>
      <c r="G298" s="546"/>
      <c r="H298" s="546"/>
      <c r="I298" s="547"/>
      <c r="J298" s="47"/>
      <c r="K298" s="551">
        <f>((29*0.29)+(29*0.87)+(13*0.29)+(13*0.87))</f>
        <v>48.72</v>
      </c>
      <c r="L298" s="552"/>
      <c r="M298" s="551"/>
      <c r="N298" s="552"/>
      <c r="O298" s="551">
        <v>1</v>
      </c>
      <c r="P298" s="552"/>
      <c r="Q298" s="551"/>
      <c r="R298" s="552"/>
      <c r="S298" s="551"/>
      <c r="T298" s="552"/>
      <c r="U298" s="551"/>
      <c r="V298" s="552"/>
      <c r="W298" s="548">
        <f t="shared" si="25"/>
        <v>48.72</v>
      </c>
      <c r="X298" s="549"/>
      <c r="Y298" s="550"/>
      <c r="Z298" s="548">
        <f t="shared" si="26"/>
        <v>7.5028799999999993</v>
      </c>
      <c r="AA298" s="549"/>
      <c r="AB298" s="550"/>
      <c r="AC298" s="35"/>
      <c r="AD298" s="36"/>
      <c r="AE298" s="37"/>
      <c r="AF298" s="35"/>
      <c r="AG298" s="36"/>
      <c r="AH298" s="38"/>
    </row>
    <row r="299" spans="1:35" ht="15.75">
      <c r="A299" s="507"/>
      <c r="B299" s="508"/>
      <c r="C299" s="509"/>
      <c r="D299" s="545" t="s">
        <v>750</v>
      </c>
      <c r="E299" s="546"/>
      <c r="F299" s="546"/>
      <c r="G299" s="546"/>
      <c r="H299" s="546"/>
      <c r="I299" s="547"/>
      <c r="J299" s="47"/>
      <c r="K299" s="551">
        <f>((29*0.29)+(29*0.87)+(13*0.29)+(13*0.87))</f>
        <v>48.72</v>
      </c>
      <c r="L299" s="552"/>
      <c r="M299" s="551"/>
      <c r="N299" s="552"/>
      <c r="O299" s="551">
        <v>1</v>
      </c>
      <c r="P299" s="552"/>
      <c r="Q299" s="551"/>
      <c r="R299" s="552"/>
      <c r="S299" s="551"/>
      <c r="T299" s="552"/>
      <c r="U299" s="551"/>
      <c r="V299" s="552"/>
      <c r="W299" s="548">
        <f t="shared" si="25"/>
        <v>48.72</v>
      </c>
      <c r="X299" s="549"/>
      <c r="Y299" s="550"/>
      <c r="Z299" s="548">
        <f t="shared" si="26"/>
        <v>7.5028799999999993</v>
      </c>
      <c r="AA299" s="549"/>
      <c r="AB299" s="550"/>
      <c r="AC299" s="35"/>
      <c r="AD299" s="36"/>
      <c r="AE299" s="37"/>
      <c r="AF299" s="35"/>
      <c r="AG299" s="36"/>
      <c r="AH299" s="38"/>
    </row>
    <row r="300" spans="1:35" ht="15.75">
      <c r="A300" s="507"/>
      <c r="B300" s="508"/>
      <c r="C300" s="509"/>
      <c r="D300" s="545" t="s">
        <v>751</v>
      </c>
      <c r="E300" s="546"/>
      <c r="F300" s="546"/>
      <c r="G300" s="546"/>
      <c r="H300" s="546"/>
      <c r="I300" s="547"/>
      <c r="J300" s="47"/>
      <c r="K300" s="551">
        <f>((29*0.77)+(13*0.77))</f>
        <v>32.340000000000003</v>
      </c>
      <c r="L300" s="552"/>
      <c r="M300" s="551"/>
      <c r="N300" s="552"/>
      <c r="O300" s="551">
        <v>1</v>
      </c>
      <c r="P300" s="552"/>
      <c r="Q300" s="551"/>
      <c r="R300" s="552"/>
      <c r="S300" s="551"/>
      <c r="T300" s="552"/>
      <c r="U300" s="551"/>
      <c r="V300" s="552"/>
      <c r="W300" s="548">
        <f t="shared" si="25"/>
        <v>32.340000000000003</v>
      </c>
      <c r="X300" s="549"/>
      <c r="Y300" s="550"/>
      <c r="Z300" s="548">
        <f t="shared" si="26"/>
        <v>4.9803600000000001</v>
      </c>
      <c r="AA300" s="549"/>
      <c r="AB300" s="550"/>
      <c r="AC300" s="35"/>
      <c r="AD300" s="36"/>
      <c r="AE300" s="37"/>
      <c r="AF300" s="35"/>
      <c r="AG300" s="36"/>
      <c r="AH300" s="38"/>
    </row>
    <row r="301" spans="1:35" ht="15.75">
      <c r="A301" s="507"/>
      <c r="B301" s="508"/>
      <c r="C301" s="509"/>
      <c r="D301" s="545" t="s">
        <v>752</v>
      </c>
      <c r="E301" s="546"/>
      <c r="F301" s="546"/>
      <c r="G301" s="546"/>
      <c r="H301" s="546"/>
      <c r="I301" s="547"/>
      <c r="J301" s="47"/>
      <c r="K301" s="551">
        <f>((29*0.77)+(13*0.77))</f>
        <v>32.340000000000003</v>
      </c>
      <c r="L301" s="552"/>
      <c r="M301" s="551"/>
      <c r="N301" s="552"/>
      <c r="O301" s="551">
        <v>1</v>
      </c>
      <c r="P301" s="552"/>
      <c r="Q301" s="551"/>
      <c r="R301" s="552"/>
      <c r="S301" s="551"/>
      <c r="T301" s="552"/>
      <c r="U301" s="551"/>
      <c r="V301" s="552"/>
      <c r="W301" s="548">
        <f t="shared" si="25"/>
        <v>32.340000000000003</v>
      </c>
      <c r="X301" s="549"/>
      <c r="Y301" s="550"/>
      <c r="Z301" s="548">
        <f t="shared" si="26"/>
        <v>4.9803600000000001</v>
      </c>
      <c r="AA301" s="549"/>
      <c r="AB301" s="550"/>
      <c r="AC301" s="35"/>
      <c r="AD301" s="36"/>
      <c r="AE301" s="37"/>
      <c r="AF301" s="35"/>
      <c r="AG301" s="36"/>
      <c r="AH301" s="38"/>
    </row>
    <row r="302" spans="1:35" ht="15.75">
      <c r="A302" s="507"/>
      <c r="B302" s="508"/>
      <c r="C302" s="509"/>
      <c r="D302" s="545" t="s">
        <v>753</v>
      </c>
      <c r="E302" s="546"/>
      <c r="F302" s="546"/>
      <c r="G302" s="546"/>
      <c r="H302" s="546"/>
      <c r="I302" s="547"/>
      <c r="J302" s="47"/>
      <c r="K302" s="551">
        <f>((29*0.77)+(13*0.77))</f>
        <v>32.340000000000003</v>
      </c>
      <c r="L302" s="552"/>
      <c r="M302" s="551"/>
      <c r="N302" s="552"/>
      <c r="O302" s="551">
        <v>1</v>
      </c>
      <c r="P302" s="552"/>
      <c r="Q302" s="551"/>
      <c r="R302" s="552"/>
      <c r="S302" s="551"/>
      <c r="T302" s="552"/>
      <c r="U302" s="551"/>
      <c r="V302" s="552"/>
      <c r="W302" s="548">
        <f t="shared" si="25"/>
        <v>32.340000000000003</v>
      </c>
      <c r="X302" s="549"/>
      <c r="Y302" s="550"/>
      <c r="Z302" s="548">
        <f t="shared" si="26"/>
        <v>4.9803600000000001</v>
      </c>
      <c r="AA302" s="549"/>
      <c r="AB302" s="550"/>
      <c r="AC302" s="35"/>
      <c r="AD302" s="36"/>
      <c r="AE302" s="37"/>
      <c r="AF302" s="35"/>
      <c r="AG302" s="36"/>
      <c r="AH302" s="38"/>
    </row>
    <row r="303" spans="1:35" ht="15.75">
      <c r="A303" s="507"/>
      <c r="B303" s="508"/>
      <c r="C303" s="509"/>
      <c r="D303" s="545" t="s">
        <v>754</v>
      </c>
      <c r="E303" s="546"/>
      <c r="F303" s="546"/>
      <c r="G303" s="546"/>
      <c r="H303" s="546"/>
      <c r="I303" s="547"/>
      <c r="J303" s="47"/>
      <c r="K303" s="551">
        <f>((29*0.77)+(13*0.77))</f>
        <v>32.340000000000003</v>
      </c>
      <c r="L303" s="552"/>
      <c r="M303" s="551"/>
      <c r="N303" s="552"/>
      <c r="O303" s="551">
        <v>1</v>
      </c>
      <c r="P303" s="552"/>
      <c r="Q303" s="512"/>
      <c r="R303" s="509"/>
      <c r="S303" s="512"/>
      <c r="T303" s="509"/>
      <c r="U303" s="512"/>
      <c r="V303" s="509"/>
      <c r="W303" s="548">
        <f t="shared" si="25"/>
        <v>32.340000000000003</v>
      </c>
      <c r="X303" s="549"/>
      <c r="Y303" s="550"/>
      <c r="Z303" s="548">
        <f t="shared" si="26"/>
        <v>4.9803600000000001</v>
      </c>
      <c r="AA303" s="549"/>
      <c r="AB303" s="550"/>
      <c r="AC303" s="35"/>
      <c r="AD303" s="36"/>
      <c r="AE303" s="37"/>
      <c r="AF303" s="35"/>
      <c r="AG303" s="36"/>
      <c r="AH303" s="38"/>
    </row>
    <row r="304" spans="1:35" ht="15.75">
      <c r="A304" s="519" t="str">
        <f>'MEMORIA BM 03'!A38</f>
        <v>5.6</v>
      </c>
      <c r="B304" s="520"/>
      <c r="C304" s="521"/>
      <c r="D304" s="553" t="str">
        <f>'MEMORIA BM 03'!B38</f>
        <v>CONCRETO FCK = 25MPA, TRAÇO 1:2,3:2,7 (EM MASSA SECA DE CIMENTO/ AREIA MÉDIA/ BRITA 1) - PREPARO MECÂNICO COM BETONEIRA 600 L. AF_05/2021</v>
      </c>
      <c r="E304" s="554"/>
      <c r="F304" s="554"/>
      <c r="G304" s="554"/>
      <c r="H304" s="554"/>
      <c r="I304" s="554"/>
      <c r="J304" s="554"/>
      <c r="K304" s="554"/>
      <c r="L304" s="554"/>
      <c r="M304" s="554"/>
      <c r="N304" s="554"/>
      <c r="O304" s="554"/>
      <c r="P304" s="554"/>
      <c r="Q304" s="554"/>
      <c r="R304" s="554"/>
      <c r="S304" s="554"/>
      <c r="T304" s="554"/>
      <c r="U304" s="554"/>
      <c r="V304" s="554"/>
      <c r="W304" s="554"/>
      <c r="X304" s="554"/>
      <c r="Y304" s="554"/>
      <c r="Z304" s="554"/>
      <c r="AA304" s="554"/>
      <c r="AB304" s="555"/>
      <c r="AC304" s="525">
        <f>SUM(Z305:AB397)</f>
        <v>18.993500000000022</v>
      </c>
      <c r="AD304" s="520"/>
      <c r="AE304" s="521"/>
      <c r="AF304" s="525" t="str">
        <f>'MEMORIA BM 03'!C38</f>
        <v>M3</v>
      </c>
      <c r="AG304" s="520"/>
      <c r="AH304" s="526"/>
      <c r="AI304">
        <v>18.989999999999998</v>
      </c>
    </row>
    <row r="305" spans="1:34" ht="15.75">
      <c r="A305" s="507"/>
      <c r="B305" s="508"/>
      <c r="C305" s="509"/>
      <c r="D305" s="543" t="s">
        <v>662</v>
      </c>
      <c r="E305" s="544"/>
      <c r="F305" s="544"/>
      <c r="G305" s="544"/>
      <c r="H305" s="544"/>
      <c r="I305" s="544"/>
      <c r="J305" s="47"/>
      <c r="K305" s="551">
        <v>0.15</v>
      </c>
      <c r="L305" s="552"/>
      <c r="M305" s="551"/>
      <c r="N305" s="552"/>
      <c r="O305" s="551">
        <v>0.3</v>
      </c>
      <c r="P305" s="552"/>
      <c r="Q305" s="551"/>
      <c r="R305" s="552"/>
      <c r="S305" s="551">
        <f t="shared" ref="S305:S312" si="28">3.4+1.5</f>
        <v>4.9000000000000004</v>
      </c>
      <c r="T305" s="552"/>
      <c r="U305" s="551"/>
      <c r="V305" s="552"/>
      <c r="W305" s="527">
        <f>K305*O305</f>
        <v>4.4999999999999998E-2</v>
      </c>
      <c r="X305" s="528"/>
      <c r="Y305" s="529"/>
      <c r="Z305" s="527">
        <f>W305*S305</f>
        <v>0.2205</v>
      </c>
      <c r="AA305" s="528"/>
      <c r="AB305" s="529"/>
      <c r="AC305" s="35"/>
      <c r="AD305" s="36"/>
      <c r="AE305" s="37"/>
      <c r="AF305" s="35"/>
      <c r="AG305" s="36"/>
      <c r="AH305" s="38"/>
    </row>
    <row r="306" spans="1:34" ht="15.75">
      <c r="A306" s="507"/>
      <c r="B306" s="508"/>
      <c r="C306" s="509"/>
      <c r="D306" s="543" t="s">
        <v>663</v>
      </c>
      <c r="E306" s="544"/>
      <c r="F306" s="544"/>
      <c r="G306" s="544"/>
      <c r="H306" s="544"/>
      <c r="I306" s="544"/>
      <c r="J306" s="47"/>
      <c r="K306" s="551">
        <v>0.2</v>
      </c>
      <c r="L306" s="552"/>
      <c r="M306" s="551"/>
      <c r="N306" s="552"/>
      <c r="O306" s="551">
        <v>0.3</v>
      </c>
      <c r="P306" s="552"/>
      <c r="Q306" s="551"/>
      <c r="R306" s="552"/>
      <c r="S306" s="551">
        <f t="shared" si="28"/>
        <v>4.9000000000000004</v>
      </c>
      <c r="T306" s="552"/>
      <c r="U306" s="551"/>
      <c r="V306" s="552"/>
      <c r="W306" s="548">
        <f t="shared" ref="W306:W368" si="29">K306*O306</f>
        <v>0.06</v>
      </c>
      <c r="X306" s="549"/>
      <c r="Y306" s="550"/>
      <c r="Z306" s="527">
        <f t="shared" ref="Z306:Z369" si="30">W306*S306</f>
        <v>0.29399999999999998</v>
      </c>
      <c r="AA306" s="528"/>
      <c r="AB306" s="529"/>
      <c r="AC306" s="35"/>
      <c r="AD306" s="36"/>
      <c r="AE306" s="37"/>
      <c r="AF306" s="35"/>
      <c r="AG306" s="36"/>
      <c r="AH306" s="38"/>
    </row>
    <row r="307" spans="1:34" ht="15.75">
      <c r="A307" s="507"/>
      <c r="B307" s="508"/>
      <c r="C307" s="509"/>
      <c r="D307" s="543" t="s">
        <v>664</v>
      </c>
      <c r="E307" s="544"/>
      <c r="F307" s="544"/>
      <c r="G307" s="544"/>
      <c r="H307" s="544"/>
      <c r="I307" s="544"/>
      <c r="J307" s="47"/>
      <c r="K307" s="551">
        <v>0.2</v>
      </c>
      <c r="L307" s="552"/>
      <c r="M307" s="551"/>
      <c r="N307" s="552"/>
      <c r="O307" s="551">
        <v>0.3</v>
      </c>
      <c r="P307" s="552"/>
      <c r="Q307" s="551"/>
      <c r="R307" s="552"/>
      <c r="S307" s="551">
        <f t="shared" si="28"/>
        <v>4.9000000000000004</v>
      </c>
      <c r="T307" s="552"/>
      <c r="U307" s="551"/>
      <c r="V307" s="552"/>
      <c r="W307" s="548">
        <f t="shared" si="29"/>
        <v>0.06</v>
      </c>
      <c r="X307" s="549"/>
      <c r="Y307" s="550"/>
      <c r="Z307" s="527">
        <f t="shared" si="30"/>
        <v>0.29399999999999998</v>
      </c>
      <c r="AA307" s="528"/>
      <c r="AB307" s="529"/>
      <c r="AC307" s="35"/>
      <c r="AD307" s="36"/>
      <c r="AE307" s="37"/>
      <c r="AF307" s="35"/>
      <c r="AG307" s="36"/>
      <c r="AH307" s="38"/>
    </row>
    <row r="308" spans="1:34" ht="15.75">
      <c r="A308" s="507"/>
      <c r="B308" s="508"/>
      <c r="C308" s="509"/>
      <c r="D308" s="543" t="s">
        <v>665</v>
      </c>
      <c r="E308" s="544"/>
      <c r="F308" s="544"/>
      <c r="G308" s="544"/>
      <c r="H308" s="544"/>
      <c r="I308" s="544"/>
      <c r="J308" s="47"/>
      <c r="K308" s="551">
        <v>0.2</v>
      </c>
      <c r="L308" s="552"/>
      <c r="M308" s="551"/>
      <c r="N308" s="552"/>
      <c r="O308" s="551">
        <v>0.3</v>
      </c>
      <c r="P308" s="552"/>
      <c r="Q308" s="551"/>
      <c r="R308" s="552"/>
      <c r="S308" s="551">
        <f t="shared" si="28"/>
        <v>4.9000000000000004</v>
      </c>
      <c r="T308" s="552"/>
      <c r="U308" s="551"/>
      <c r="V308" s="552"/>
      <c r="W308" s="548">
        <f t="shared" si="29"/>
        <v>0.06</v>
      </c>
      <c r="X308" s="549"/>
      <c r="Y308" s="550"/>
      <c r="Z308" s="527">
        <f t="shared" si="30"/>
        <v>0.29399999999999998</v>
      </c>
      <c r="AA308" s="528"/>
      <c r="AB308" s="529"/>
      <c r="AC308" s="35"/>
      <c r="AD308" s="36"/>
      <c r="AE308" s="37"/>
      <c r="AF308" s="35"/>
      <c r="AG308" s="36"/>
      <c r="AH308" s="38"/>
    </row>
    <row r="309" spans="1:34" ht="15.75">
      <c r="A309" s="507"/>
      <c r="B309" s="508"/>
      <c r="C309" s="509"/>
      <c r="D309" s="543" t="s">
        <v>666</v>
      </c>
      <c r="E309" s="544"/>
      <c r="F309" s="544"/>
      <c r="G309" s="544"/>
      <c r="H309" s="544"/>
      <c r="I309" s="544"/>
      <c r="J309" s="47"/>
      <c r="K309" s="551">
        <v>0.15</v>
      </c>
      <c r="L309" s="552"/>
      <c r="M309" s="551"/>
      <c r="N309" s="552"/>
      <c r="O309" s="551">
        <v>0.3</v>
      </c>
      <c r="P309" s="552"/>
      <c r="Q309" s="551"/>
      <c r="R309" s="552"/>
      <c r="S309" s="551">
        <f t="shared" si="28"/>
        <v>4.9000000000000004</v>
      </c>
      <c r="T309" s="552"/>
      <c r="U309" s="512"/>
      <c r="V309" s="509"/>
      <c r="W309" s="548">
        <f t="shared" si="29"/>
        <v>4.4999999999999998E-2</v>
      </c>
      <c r="X309" s="549"/>
      <c r="Y309" s="550"/>
      <c r="Z309" s="527">
        <f t="shared" si="30"/>
        <v>0.2205</v>
      </c>
      <c r="AA309" s="528"/>
      <c r="AB309" s="529"/>
      <c r="AC309" s="35"/>
      <c r="AD309" s="36"/>
      <c r="AE309" s="37"/>
      <c r="AF309" s="35"/>
      <c r="AG309" s="36"/>
      <c r="AH309" s="38"/>
    </row>
    <row r="310" spans="1:34" ht="15.75">
      <c r="A310" s="507"/>
      <c r="B310" s="508"/>
      <c r="C310" s="509"/>
      <c r="D310" s="543" t="s">
        <v>667</v>
      </c>
      <c r="E310" s="544"/>
      <c r="F310" s="544"/>
      <c r="G310" s="544"/>
      <c r="H310" s="544"/>
      <c r="I310" s="544"/>
      <c r="J310" s="47"/>
      <c r="K310" s="551">
        <v>0.15</v>
      </c>
      <c r="L310" s="552"/>
      <c r="M310" s="551"/>
      <c r="N310" s="552"/>
      <c r="O310" s="551">
        <v>0.3</v>
      </c>
      <c r="P310" s="552"/>
      <c r="Q310" s="551"/>
      <c r="R310" s="552"/>
      <c r="S310" s="551">
        <f t="shared" si="28"/>
        <v>4.9000000000000004</v>
      </c>
      <c r="T310" s="552"/>
      <c r="U310" s="551"/>
      <c r="V310" s="552"/>
      <c r="W310" s="548">
        <f t="shared" si="29"/>
        <v>4.4999999999999998E-2</v>
      </c>
      <c r="X310" s="549"/>
      <c r="Y310" s="550"/>
      <c r="Z310" s="527">
        <f t="shared" si="30"/>
        <v>0.2205</v>
      </c>
      <c r="AA310" s="528"/>
      <c r="AB310" s="529"/>
      <c r="AC310" s="35"/>
      <c r="AD310" s="36"/>
      <c r="AE310" s="37"/>
      <c r="AF310" s="35"/>
      <c r="AG310" s="36"/>
      <c r="AH310" s="38"/>
    </row>
    <row r="311" spans="1:34" ht="15.75">
      <c r="A311" s="507"/>
      <c r="B311" s="508"/>
      <c r="C311" s="509"/>
      <c r="D311" s="543" t="s">
        <v>668</v>
      </c>
      <c r="E311" s="544"/>
      <c r="F311" s="544"/>
      <c r="G311" s="544"/>
      <c r="H311" s="544"/>
      <c r="I311" s="544"/>
      <c r="J311" s="47"/>
      <c r="K311" s="551">
        <v>0.15</v>
      </c>
      <c r="L311" s="552"/>
      <c r="M311" s="551"/>
      <c r="N311" s="552"/>
      <c r="O311" s="551">
        <v>0.3</v>
      </c>
      <c r="P311" s="552"/>
      <c r="Q311" s="551"/>
      <c r="R311" s="552"/>
      <c r="S311" s="551">
        <f t="shared" si="28"/>
        <v>4.9000000000000004</v>
      </c>
      <c r="T311" s="552"/>
      <c r="U311" s="551"/>
      <c r="V311" s="552"/>
      <c r="W311" s="548">
        <f t="shared" si="29"/>
        <v>4.4999999999999998E-2</v>
      </c>
      <c r="X311" s="549"/>
      <c r="Y311" s="550"/>
      <c r="Z311" s="527">
        <f t="shared" si="30"/>
        <v>0.2205</v>
      </c>
      <c r="AA311" s="528"/>
      <c r="AB311" s="529"/>
      <c r="AC311" s="35"/>
      <c r="AD311" s="36"/>
      <c r="AE311" s="37"/>
      <c r="AF311" s="35"/>
      <c r="AG311" s="36"/>
      <c r="AH311" s="38"/>
    </row>
    <row r="312" spans="1:34" ht="15.75">
      <c r="A312" s="507"/>
      <c r="B312" s="508"/>
      <c r="C312" s="509"/>
      <c r="D312" s="543" t="s">
        <v>669</v>
      </c>
      <c r="E312" s="544"/>
      <c r="F312" s="544"/>
      <c r="G312" s="544"/>
      <c r="H312" s="544"/>
      <c r="I312" s="544"/>
      <c r="J312" s="47"/>
      <c r="K312" s="551">
        <v>0.15</v>
      </c>
      <c r="L312" s="552"/>
      <c r="M312" s="551"/>
      <c r="N312" s="552"/>
      <c r="O312" s="551">
        <v>0.3</v>
      </c>
      <c r="P312" s="552"/>
      <c r="Q312" s="551"/>
      <c r="R312" s="552"/>
      <c r="S312" s="551">
        <f t="shared" si="28"/>
        <v>4.9000000000000004</v>
      </c>
      <c r="T312" s="552"/>
      <c r="U312" s="551"/>
      <c r="V312" s="552"/>
      <c r="W312" s="548">
        <f t="shared" si="29"/>
        <v>4.4999999999999998E-2</v>
      </c>
      <c r="X312" s="549"/>
      <c r="Y312" s="550"/>
      <c r="Z312" s="527">
        <f t="shared" si="30"/>
        <v>0.2205</v>
      </c>
      <c r="AA312" s="528"/>
      <c r="AB312" s="529"/>
      <c r="AC312" s="35"/>
      <c r="AD312" s="36"/>
      <c r="AE312" s="37"/>
      <c r="AF312" s="35"/>
      <c r="AG312" s="36"/>
      <c r="AH312" s="38"/>
    </row>
    <row r="313" spans="1:34" ht="15.75">
      <c r="A313" s="507"/>
      <c r="B313" s="508"/>
      <c r="C313" s="509"/>
      <c r="D313" s="543" t="s">
        <v>670</v>
      </c>
      <c r="E313" s="544"/>
      <c r="F313" s="544"/>
      <c r="G313" s="544"/>
      <c r="H313" s="544"/>
      <c r="I313" s="544"/>
      <c r="J313" s="47"/>
      <c r="K313" s="551">
        <v>0.15</v>
      </c>
      <c r="L313" s="552"/>
      <c r="M313" s="551"/>
      <c r="N313" s="552"/>
      <c r="O313" s="551">
        <v>0.3</v>
      </c>
      <c r="P313" s="552"/>
      <c r="Q313" s="551"/>
      <c r="R313" s="552"/>
      <c r="S313" s="551">
        <v>3.4</v>
      </c>
      <c r="T313" s="552"/>
      <c r="U313" s="551"/>
      <c r="V313" s="552"/>
      <c r="W313" s="548">
        <f t="shared" si="29"/>
        <v>4.4999999999999998E-2</v>
      </c>
      <c r="X313" s="549"/>
      <c r="Y313" s="550"/>
      <c r="Z313" s="527">
        <f t="shared" si="30"/>
        <v>0.153</v>
      </c>
      <c r="AA313" s="528"/>
      <c r="AB313" s="529"/>
      <c r="AC313" s="35"/>
      <c r="AD313" s="36"/>
      <c r="AE313" s="37"/>
      <c r="AF313" s="35"/>
      <c r="AG313" s="36"/>
      <c r="AH313" s="38"/>
    </row>
    <row r="314" spans="1:34" ht="15.75">
      <c r="A314" s="507"/>
      <c r="B314" s="508"/>
      <c r="C314" s="509"/>
      <c r="D314" s="543" t="s">
        <v>671</v>
      </c>
      <c r="E314" s="544"/>
      <c r="F314" s="544"/>
      <c r="G314" s="544"/>
      <c r="H314" s="544"/>
      <c r="I314" s="544"/>
      <c r="J314" s="47"/>
      <c r="K314" s="551">
        <v>0.15</v>
      </c>
      <c r="L314" s="552"/>
      <c r="M314" s="551"/>
      <c r="N314" s="552"/>
      <c r="O314" s="551">
        <v>0.3</v>
      </c>
      <c r="P314" s="552"/>
      <c r="Q314" s="551"/>
      <c r="R314" s="552"/>
      <c r="S314" s="551">
        <v>4.9000000000000004</v>
      </c>
      <c r="T314" s="552"/>
      <c r="U314" s="551"/>
      <c r="V314" s="552"/>
      <c r="W314" s="548">
        <f t="shared" si="29"/>
        <v>4.4999999999999998E-2</v>
      </c>
      <c r="X314" s="549"/>
      <c r="Y314" s="550"/>
      <c r="Z314" s="527">
        <f t="shared" si="30"/>
        <v>0.2205</v>
      </c>
      <c r="AA314" s="528"/>
      <c r="AB314" s="529"/>
      <c r="AC314" s="35"/>
      <c r="AD314" s="36"/>
      <c r="AE314" s="37"/>
      <c r="AF314" s="35"/>
      <c r="AG314" s="36"/>
      <c r="AH314" s="38"/>
    </row>
    <row r="315" spans="1:34" ht="15.75">
      <c r="A315" s="507"/>
      <c r="B315" s="508"/>
      <c r="C315" s="509"/>
      <c r="D315" s="543" t="s">
        <v>672</v>
      </c>
      <c r="E315" s="544"/>
      <c r="F315" s="544"/>
      <c r="G315" s="544"/>
      <c r="H315" s="544"/>
      <c r="I315" s="544"/>
      <c r="J315" s="47"/>
      <c r="K315" s="551">
        <v>0.15</v>
      </c>
      <c r="L315" s="552"/>
      <c r="M315" s="551"/>
      <c r="N315" s="552"/>
      <c r="O315" s="551">
        <v>0.3</v>
      </c>
      <c r="P315" s="552"/>
      <c r="Q315" s="551"/>
      <c r="R315" s="552"/>
      <c r="S315" s="551">
        <v>4.9000000000000004</v>
      </c>
      <c r="T315" s="552"/>
      <c r="U315" s="551"/>
      <c r="V315" s="552"/>
      <c r="W315" s="548">
        <f t="shared" si="29"/>
        <v>4.4999999999999998E-2</v>
      </c>
      <c r="X315" s="549"/>
      <c r="Y315" s="550"/>
      <c r="Z315" s="527">
        <f t="shared" si="30"/>
        <v>0.2205</v>
      </c>
      <c r="AA315" s="528"/>
      <c r="AB315" s="529"/>
      <c r="AC315" s="35"/>
      <c r="AD315" s="36"/>
      <c r="AE315" s="37"/>
      <c r="AF315" s="35"/>
      <c r="AG315" s="36"/>
      <c r="AH315" s="38"/>
    </row>
    <row r="316" spans="1:34" ht="15.75">
      <c r="A316" s="507"/>
      <c r="B316" s="508"/>
      <c r="C316" s="509"/>
      <c r="D316" s="543" t="s">
        <v>673</v>
      </c>
      <c r="E316" s="544"/>
      <c r="F316" s="544"/>
      <c r="G316" s="544"/>
      <c r="H316" s="544"/>
      <c r="I316" s="544"/>
      <c r="J316" s="47"/>
      <c r="K316" s="551">
        <v>0.15</v>
      </c>
      <c r="L316" s="552"/>
      <c r="M316" s="551"/>
      <c r="N316" s="552"/>
      <c r="O316" s="551">
        <v>0.3</v>
      </c>
      <c r="P316" s="552"/>
      <c r="Q316" s="551"/>
      <c r="R316" s="552"/>
      <c r="S316" s="551">
        <v>3.4</v>
      </c>
      <c r="T316" s="552"/>
      <c r="U316" s="551"/>
      <c r="V316" s="552"/>
      <c r="W316" s="548">
        <f t="shared" si="29"/>
        <v>4.4999999999999998E-2</v>
      </c>
      <c r="X316" s="549"/>
      <c r="Y316" s="550"/>
      <c r="Z316" s="527">
        <f t="shared" si="30"/>
        <v>0.153</v>
      </c>
      <c r="AA316" s="528"/>
      <c r="AB316" s="529"/>
      <c r="AC316" s="35"/>
      <c r="AD316" s="36"/>
      <c r="AE316" s="37"/>
      <c r="AF316" s="35"/>
      <c r="AG316" s="36"/>
      <c r="AH316" s="38"/>
    </row>
    <row r="317" spans="1:34" ht="15.75">
      <c r="A317" s="507"/>
      <c r="B317" s="508"/>
      <c r="C317" s="509"/>
      <c r="D317" s="543" t="s">
        <v>674</v>
      </c>
      <c r="E317" s="544"/>
      <c r="F317" s="544"/>
      <c r="G317" s="544"/>
      <c r="H317" s="544"/>
      <c r="I317" s="544"/>
      <c r="J317" s="47"/>
      <c r="K317" s="512">
        <v>0.2</v>
      </c>
      <c r="L317" s="509"/>
      <c r="M317" s="512"/>
      <c r="N317" s="509"/>
      <c r="O317" s="551">
        <v>0.3</v>
      </c>
      <c r="P317" s="552"/>
      <c r="Q317" s="512"/>
      <c r="R317" s="509"/>
      <c r="S317" s="512">
        <v>3.4</v>
      </c>
      <c r="T317" s="509"/>
      <c r="U317" s="512"/>
      <c r="V317" s="509"/>
      <c r="W317" s="548">
        <f t="shared" si="29"/>
        <v>0.06</v>
      </c>
      <c r="X317" s="549"/>
      <c r="Y317" s="550"/>
      <c r="Z317" s="527">
        <f t="shared" si="30"/>
        <v>0.20399999999999999</v>
      </c>
      <c r="AA317" s="528"/>
      <c r="AB317" s="529"/>
      <c r="AC317" s="35"/>
      <c r="AD317" s="36"/>
      <c r="AE317" s="37"/>
      <c r="AF317" s="35"/>
      <c r="AG317" s="36"/>
      <c r="AH317" s="38"/>
    </row>
    <row r="318" spans="1:34" ht="15.75">
      <c r="A318" s="507"/>
      <c r="B318" s="508"/>
      <c r="C318" s="509"/>
      <c r="D318" s="545" t="s">
        <v>675</v>
      </c>
      <c r="E318" s="546"/>
      <c r="F318" s="546"/>
      <c r="G318" s="546"/>
      <c r="H318" s="546"/>
      <c r="I318" s="547"/>
      <c r="J318" s="47"/>
      <c r="K318" s="551">
        <v>0.15</v>
      </c>
      <c r="L318" s="552"/>
      <c r="M318" s="551"/>
      <c r="N318" s="552"/>
      <c r="O318" s="551">
        <v>0.3</v>
      </c>
      <c r="P318" s="552"/>
      <c r="Q318" s="551"/>
      <c r="R318" s="552"/>
      <c r="S318" s="551">
        <v>3.4</v>
      </c>
      <c r="T318" s="552"/>
      <c r="U318" s="551"/>
      <c r="V318" s="552"/>
      <c r="W318" s="548">
        <f t="shared" si="29"/>
        <v>4.4999999999999998E-2</v>
      </c>
      <c r="X318" s="549"/>
      <c r="Y318" s="550"/>
      <c r="Z318" s="527">
        <f t="shared" si="30"/>
        <v>0.153</v>
      </c>
      <c r="AA318" s="528"/>
      <c r="AB318" s="529"/>
      <c r="AC318" s="35"/>
      <c r="AD318" s="36"/>
      <c r="AE318" s="37"/>
      <c r="AF318" s="35"/>
      <c r="AG318" s="36"/>
      <c r="AH318" s="38"/>
    </row>
    <row r="319" spans="1:34" ht="15.75">
      <c r="A319" s="507"/>
      <c r="B319" s="508"/>
      <c r="C319" s="509"/>
      <c r="D319" s="545" t="s">
        <v>677</v>
      </c>
      <c r="E319" s="546"/>
      <c r="F319" s="546"/>
      <c r="G319" s="546"/>
      <c r="H319" s="546"/>
      <c r="I319" s="547"/>
      <c r="J319" s="47"/>
      <c r="K319" s="551">
        <v>0.15</v>
      </c>
      <c r="L319" s="552"/>
      <c r="M319" s="551"/>
      <c r="N319" s="552"/>
      <c r="O319" s="551">
        <v>0.3</v>
      </c>
      <c r="P319" s="552"/>
      <c r="Q319" s="551"/>
      <c r="R319" s="552"/>
      <c r="S319" s="551">
        <v>3.4</v>
      </c>
      <c r="T319" s="552"/>
      <c r="U319" s="551"/>
      <c r="V319" s="552"/>
      <c r="W319" s="548">
        <f t="shared" si="29"/>
        <v>4.4999999999999998E-2</v>
      </c>
      <c r="X319" s="549"/>
      <c r="Y319" s="550"/>
      <c r="Z319" s="527">
        <f t="shared" si="30"/>
        <v>0.153</v>
      </c>
      <c r="AA319" s="528"/>
      <c r="AB319" s="529"/>
      <c r="AC319" s="35"/>
      <c r="AD319" s="36"/>
      <c r="AE319" s="37"/>
      <c r="AF319" s="35"/>
      <c r="AG319" s="36"/>
      <c r="AH319" s="38"/>
    </row>
    <row r="320" spans="1:34" ht="15.75">
      <c r="A320" s="507"/>
      <c r="B320" s="508"/>
      <c r="C320" s="509"/>
      <c r="D320" s="545" t="s">
        <v>678</v>
      </c>
      <c r="E320" s="546"/>
      <c r="F320" s="546"/>
      <c r="G320" s="546"/>
      <c r="H320" s="546"/>
      <c r="I320" s="547"/>
      <c r="J320" s="47"/>
      <c r="K320" s="551">
        <v>0.15</v>
      </c>
      <c r="L320" s="552"/>
      <c r="M320" s="551"/>
      <c r="N320" s="552"/>
      <c r="O320" s="551">
        <v>0.3</v>
      </c>
      <c r="P320" s="552"/>
      <c r="Q320" s="551"/>
      <c r="R320" s="552"/>
      <c r="S320" s="551">
        <v>4.9000000000000004</v>
      </c>
      <c r="T320" s="552"/>
      <c r="U320" s="551"/>
      <c r="V320" s="552"/>
      <c r="W320" s="548">
        <f t="shared" si="29"/>
        <v>4.4999999999999998E-2</v>
      </c>
      <c r="X320" s="549"/>
      <c r="Y320" s="550"/>
      <c r="Z320" s="527">
        <f t="shared" si="30"/>
        <v>0.2205</v>
      </c>
      <c r="AA320" s="528"/>
      <c r="AB320" s="529"/>
      <c r="AC320" s="35"/>
      <c r="AD320" s="36"/>
      <c r="AE320" s="37"/>
      <c r="AF320" s="35"/>
      <c r="AG320" s="36"/>
      <c r="AH320" s="38"/>
    </row>
    <row r="321" spans="1:34" ht="15.75">
      <c r="A321" s="507"/>
      <c r="B321" s="508"/>
      <c r="C321" s="509"/>
      <c r="D321" s="545" t="s">
        <v>679</v>
      </c>
      <c r="E321" s="546"/>
      <c r="F321" s="546"/>
      <c r="G321" s="546"/>
      <c r="H321" s="546"/>
      <c r="I321" s="547"/>
      <c r="J321" s="47"/>
      <c r="K321" s="551">
        <v>0.15</v>
      </c>
      <c r="L321" s="552"/>
      <c r="M321" s="551"/>
      <c r="N321" s="552"/>
      <c r="O321" s="551">
        <v>0.3</v>
      </c>
      <c r="P321" s="552"/>
      <c r="Q321" s="551"/>
      <c r="R321" s="552"/>
      <c r="S321" s="551">
        <v>3.4</v>
      </c>
      <c r="T321" s="552"/>
      <c r="U321" s="551"/>
      <c r="V321" s="552"/>
      <c r="W321" s="548">
        <f t="shared" si="29"/>
        <v>4.4999999999999998E-2</v>
      </c>
      <c r="X321" s="549"/>
      <c r="Y321" s="550"/>
      <c r="Z321" s="527">
        <f t="shared" si="30"/>
        <v>0.153</v>
      </c>
      <c r="AA321" s="528"/>
      <c r="AB321" s="529"/>
      <c r="AC321" s="35"/>
      <c r="AD321" s="36"/>
      <c r="AE321" s="37"/>
      <c r="AF321" s="35"/>
      <c r="AG321" s="36"/>
      <c r="AH321" s="38"/>
    </row>
    <row r="322" spans="1:34" ht="15.75">
      <c r="A322" s="507"/>
      <c r="B322" s="508"/>
      <c r="C322" s="509"/>
      <c r="D322" s="545" t="s">
        <v>680</v>
      </c>
      <c r="E322" s="546"/>
      <c r="F322" s="546"/>
      <c r="G322" s="546"/>
      <c r="H322" s="546"/>
      <c r="I322" s="547"/>
      <c r="J322" s="47"/>
      <c r="K322" s="551">
        <v>0.15</v>
      </c>
      <c r="L322" s="552"/>
      <c r="M322" s="551"/>
      <c r="N322" s="552"/>
      <c r="O322" s="551">
        <v>0.3</v>
      </c>
      <c r="P322" s="552"/>
      <c r="Q322" s="551"/>
      <c r="R322" s="552"/>
      <c r="S322" s="551">
        <v>4.9000000000000004</v>
      </c>
      <c r="T322" s="552"/>
      <c r="U322" s="551"/>
      <c r="V322" s="552"/>
      <c r="W322" s="548">
        <f t="shared" si="29"/>
        <v>4.4999999999999998E-2</v>
      </c>
      <c r="X322" s="549"/>
      <c r="Y322" s="550"/>
      <c r="Z322" s="527">
        <f t="shared" si="30"/>
        <v>0.2205</v>
      </c>
      <c r="AA322" s="528"/>
      <c r="AB322" s="529"/>
      <c r="AC322" s="35"/>
      <c r="AD322" s="36"/>
      <c r="AE322" s="37"/>
      <c r="AF322" s="35"/>
      <c r="AG322" s="36"/>
      <c r="AH322" s="38"/>
    </row>
    <row r="323" spans="1:34" ht="15.75">
      <c r="A323" s="507"/>
      <c r="B323" s="508"/>
      <c r="C323" s="509"/>
      <c r="D323" s="545" t="s">
        <v>676</v>
      </c>
      <c r="E323" s="546"/>
      <c r="F323" s="546"/>
      <c r="G323" s="546"/>
      <c r="H323" s="546"/>
      <c r="I323" s="547"/>
      <c r="J323" s="47"/>
      <c r="K323" s="551">
        <v>0.15</v>
      </c>
      <c r="L323" s="552"/>
      <c r="M323" s="551"/>
      <c r="N323" s="552"/>
      <c r="O323" s="551">
        <v>0.3</v>
      </c>
      <c r="P323" s="552"/>
      <c r="Q323" s="551"/>
      <c r="R323" s="552"/>
      <c r="S323" s="551">
        <v>3.4</v>
      </c>
      <c r="T323" s="552"/>
      <c r="U323" s="551"/>
      <c r="V323" s="552"/>
      <c r="W323" s="548">
        <f t="shared" si="29"/>
        <v>4.4999999999999998E-2</v>
      </c>
      <c r="X323" s="549"/>
      <c r="Y323" s="550"/>
      <c r="Z323" s="527">
        <f t="shared" si="30"/>
        <v>0.153</v>
      </c>
      <c r="AA323" s="528"/>
      <c r="AB323" s="529"/>
      <c r="AC323" s="35"/>
      <c r="AD323" s="36"/>
      <c r="AE323" s="37"/>
      <c r="AF323" s="35"/>
      <c r="AG323" s="36"/>
      <c r="AH323" s="38"/>
    </row>
    <row r="324" spans="1:34" ht="15.75">
      <c r="A324" s="507"/>
      <c r="B324" s="508"/>
      <c r="C324" s="509"/>
      <c r="D324" s="545" t="s">
        <v>681</v>
      </c>
      <c r="E324" s="546"/>
      <c r="F324" s="546"/>
      <c r="G324" s="546"/>
      <c r="H324" s="546"/>
      <c r="I324" s="547"/>
      <c r="J324" s="47"/>
      <c r="K324" s="551">
        <v>0.15</v>
      </c>
      <c r="L324" s="552"/>
      <c r="M324" s="551"/>
      <c r="N324" s="552"/>
      <c r="O324" s="551">
        <v>0.3</v>
      </c>
      <c r="P324" s="552"/>
      <c r="Q324" s="551"/>
      <c r="R324" s="552"/>
      <c r="S324" s="551">
        <v>4.9000000000000004</v>
      </c>
      <c r="T324" s="552"/>
      <c r="U324" s="551"/>
      <c r="V324" s="552"/>
      <c r="W324" s="548">
        <f t="shared" si="29"/>
        <v>4.4999999999999998E-2</v>
      </c>
      <c r="X324" s="549"/>
      <c r="Y324" s="550"/>
      <c r="Z324" s="527">
        <f t="shared" si="30"/>
        <v>0.2205</v>
      </c>
      <c r="AA324" s="528"/>
      <c r="AB324" s="529"/>
      <c r="AC324" s="35"/>
      <c r="AD324" s="36"/>
      <c r="AE324" s="37"/>
      <c r="AF324" s="35"/>
      <c r="AG324" s="36"/>
      <c r="AH324" s="38"/>
    </row>
    <row r="325" spans="1:34" ht="15.75">
      <c r="A325" s="507"/>
      <c r="B325" s="508"/>
      <c r="C325" s="509"/>
      <c r="D325" s="545" t="s">
        <v>682</v>
      </c>
      <c r="E325" s="546"/>
      <c r="F325" s="546"/>
      <c r="G325" s="546"/>
      <c r="H325" s="546"/>
      <c r="I325" s="547"/>
      <c r="J325" s="47"/>
      <c r="K325" s="512">
        <v>0.15</v>
      </c>
      <c r="L325" s="509"/>
      <c r="M325" s="512"/>
      <c r="N325" s="509"/>
      <c r="O325" s="551">
        <v>0.4</v>
      </c>
      <c r="P325" s="552"/>
      <c r="Q325" s="512"/>
      <c r="R325" s="509"/>
      <c r="S325" s="512">
        <v>4.9000000000000004</v>
      </c>
      <c r="T325" s="509"/>
      <c r="U325" s="512"/>
      <c r="V325" s="509"/>
      <c r="W325" s="548">
        <f t="shared" si="29"/>
        <v>0.06</v>
      </c>
      <c r="X325" s="549"/>
      <c r="Y325" s="550"/>
      <c r="Z325" s="527">
        <f t="shared" si="30"/>
        <v>0.29399999999999998</v>
      </c>
      <c r="AA325" s="528"/>
      <c r="AB325" s="529"/>
      <c r="AC325" s="35"/>
      <c r="AD325" s="36"/>
      <c r="AE325" s="37"/>
      <c r="AF325" s="35"/>
      <c r="AG325" s="36"/>
      <c r="AH325" s="38"/>
    </row>
    <row r="326" spans="1:34" ht="15.75">
      <c r="A326" s="507"/>
      <c r="B326" s="508"/>
      <c r="C326" s="509"/>
      <c r="D326" s="545" t="s">
        <v>683</v>
      </c>
      <c r="E326" s="546"/>
      <c r="F326" s="546"/>
      <c r="G326" s="546"/>
      <c r="H326" s="546"/>
      <c r="I326" s="547"/>
      <c r="J326" s="47"/>
      <c r="K326" s="551">
        <v>0.2</v>
      </c>
      <c r="L326" s="552"/>
      <c r="M326" s="551"/>
      <c r="N326" s="552"/>
      <c r="O326" s="551">
        <v>0.4</v>
      </c>
      <c r="P326" s="552"/>
      <c r="Q326" s="551"/>
      <c r="R326" s="552"/>
      <c r="S326" s="551">
        <v>3.4</v>
      </c>
      <c r="T326" s="552"/>
      <c r="U326" s="551"/>
      <c r="V326" s="552"/>
      <c r="W326" s="548">
        <f t="shared" si="29"/>
        <v>8.0000000000000016E-2</v>
      </c>
      <c r="X326" s="549"/>
      <c r="Y326" s="550"/>
      <c r="Z326" s="527">
        <f t="shared" si="30"/>
        <v>0.27200000000000002</v>
      </c>
      <c r="AA326" s="528"/>
      <c r="AB326" s="529"/>
      <c r="AC326" s="35"/>
      <c r="AD326" s="36"/>
      <c r="AE326" s="37"/>
      <c r="AF326" s="35"/>
      <c r="AG326" s="36"/>
      <c r="AH326" s="38"/>
    </row>
    <row r="327" spans="1:34" ht="15.75">
      <c r="A327" s="507"/>
      <c r="B327" s="508"/>
      <c r="C327" s="509"/>
      <c r="D327" s="545" t="s">
        <v>684</v>
      </c>
      <c r="E327" s="546"/>
      <c r="F327" s="546"/>
      <c r="G327" s="546"/>
      <c r="H327" s="546"/>
      <c r="I327" s="547"/>
      <c r="J327" s="47"/>
      <c r="K327" s="551">
        <v>0.15</v>
      </c>
      <c r="L327" s="552"/>
      <c r="M327" s="551"/>
      <c r="N327" s="552"/>
      <c r="O327" s="551">
        <v>0.3</v>
      </c>
      <c r="P327" s="552"/>
      <c r="Q327" s="551"/>
      <c r="R327" s="552"/>
      <c r="S327" s="551">
        <v>4.9000000000000004</v>
      </c>
      <c r="T327" s="552"/>
      <c r="U327" s="551"/>
      <c r="V327" s="552"/>
      <c r="W327" s="548">
        <f t="shared" si="29"/>
        <v>4.4999999999999998E-2</v>
      </c>
      <c r="X327" s="549"/>
      <c r="Y327" s="550"/>
      <c r="Z327" s="527">
        <f t="shared" si="30"/>
        <v>0.2205</v>
      </c>
      <c r="AA327" s="528"/>
      <c r="AB327" s="529"/>
      <c r="AC327" s="35"/>
      <c r="AD327" s="36"/>
      <c r="AE327" s="37"/>
      <c r="AF327" s="35"/>
      <c r="AG327" s="36"/>
      <c r="AH327" s="38"/>
    </row>
    <row r="328" spans="1:34" ht="15.75">
      <c r="A328" s="507"/>
      <c r="B328" s="508"/>
      <c r="C328" s="509"/>
      <c r="D328" s="545" t="s">
        <v>685</v>
      </c>
      <c r="E328" s="546"/>
      <c r="F328" s="546"/>
      <c r="G328" s="546"/>
      <c r="H328" s="546"/>
      <c r="I328" s="547"/>
      <c r="J328" s="47"/>
      <c r="K328" s="551">
        <v>0.15</v>
      </c>
      <c r="L328" s="552"/>
      <c r="M328" s="551"/>
      <c r="N328" s="552"/>
      <c r="O328" s="551">
        <v>0.3</v>
      </c>
      <c r="P328" s="552"/>
      <c r="Q328" s="551"/>
      <c r="R328" s="552"/>
      <c r="S328" s="551">
        <v>4.9000000000000004</v>
      </c>
      <c r="T328" s="552"/>
      <c r="U328" s="551"/>
      <c r="V328" s="552"/>
      <c r="W328" s="548">
        <f t="shared" si="29"/>
        <v>4.4999999999999998E-2</v>
      </c>
      <c r="X328" s="549"/>
      <c r="Y328" s="550"/>
      <c r="Z328" s="527">
        <f t="shared" si="30"/>
        <v>0.2205</v>
      </c>
      <c r="AA328" s="528"/>
      <c r="AB328" s="529"/>
      <c r="AC328" s="35"/>
      <c r="AD328" s="36"/>
      <c r="AE328" s="37"/>
      <c r="AF328" s="35"/>
      <c r="AG328" s="36"/>
      <c r="AH328" s="38"/>
    </row>
    <row r="329" spans="1:34" ht="15.75">
      <c r="A329" s="507"/>
      <c r="B329" s="508"/>
      <c r="C329" s="509"/>
      <c r="D329" s="545" t="s">
        <v>686</v>
      </c>
      <c r="E329" s="546"/>
      <c r="F329" s="546"/>
      <c r="G329" s="546"/>
      <c r="H329" s="546"/>
      <c r="I329" s="547"/>
      <c r="J329" s="47"/>
      <c r="K329" s="551">
        <v>0.15</v>
      </c>
      <c r="L329" s="552"/>
      <c r="M329" s="551"/>
      <c r="N329" s="552"/>
      <c r="O329" s="551">
        <v>0.3</v>
      </c>
      <c r="P329" s="552"/>
      <c r="Q329" s="551"/>
      <c r="R329" s="552"/>
      <c r="S329" s="551">
        <v>4.9000000000000004</v>
      </c>
      <c r="T329" s="552"/>
      <c r="U329" s="551"/>
      <c r="V329" s="552"/>
      <c r="W329" s="548">
        <f t="shared" si="29"/>
        <v>4.4999999999999998E-2</v>
      </c>
      <c r="X329" s="549"/>
      <c r="Y329" s="550"/>
      <c r="Z329" s="527">
        <f t="shared" si="30"/>
        <v>0.2205</v>
      </c>
      <c r="AA329" s="528"/>
      <c r="AB329" s="529"/>
      <c r="AC329" s="35"/>
      <c r="AD329" s="36"/>
      <c r="AE329" s="37"/>
      <c r="AF329" s="35"/>
      <c r="AG329" s="36"/>
      <c r="AH329" s="38"/>
    </row>
    <row r="330" spans="1:34" ht="15.75">
      <c r="A330" s="507"/>
      <c r="B330" s="508"/>
      <c r="C330" s="509"/>
      <c r="D330" s="545" t="s">
        <v>687</v>
      </c>
      <c r="E330" s="546"/>
      <c r="F330" s="546"/>
      <c r="G330" s="546"/>
      <c r="H330" s="546"/>
      <c r="I330" s="547"/>
      <c r="J330" s="47"/>
      <c r="K330" s="551">
        <v>0.15</v>
      </c>
      <c r="L330" s="552"/>
      <c r="M330" s="551"/>
      <c r="N330" s="552"/>
      <c r="O330" s="551">
        <v>0.3</v>
      </c>
      <c r="P330" s="552"/>
      <c r="Q330" s="551"/>
      <c r="R330" s="552"/>
      <c r="S330" s="551">
        <v>4.9000000000000004</v>
      </c>
      <c r="T330" s="552"/>
      <c r="U330" s="551"/>
      <c r="V330" s="552"/>
      <c r="W330" s="548">
        <f t="shared" si="29"/>
        <v>4.4999999999999998E-2</v>
      </c>
      <c r="X330" s="549"/>
      <c r="Y330" s="550"/>
      <c r="Z330" s="527">
        <f t="shared" si="30"/>
        <v>0.2205</v>
      </c>
      <c r="AA330" s="528"/>
      <c r="AB330" s="529"/>
      <c r="AC330" s="35"/>
      <c r="AD330" s="36"/>
      <c r="AE330" s="37"/>
      <c r="AF330" s="35"/>
      <c r="AG330" s="36"/>
      <c r="AH330" s="38"/>
    </row>
    <row r="331" spans="1:34" ht="15.75">
      <c r="A331" s="507"/>
      <c r="B331" s="508"/>
      <c r="C331" s="509"/>
      <c r="D331" s="545" t="s">
        <v>688</v>
      </c>
      <c r="E331" s="546"/>
      <c r="F331" s="546"/>
      <c r="G331" s="546"/>
      <c r="H331" s="546"/>
      <c r="I331" s="547"/>
      <c r="J331" s="47"/>
      <c r="K331" s="551">
        <v>0.15</v>
      </c>
      <c r="L331" s="552"/>
      <c r="M331" s="551"/>
      <c r="N331" s="552"/>
      <c r="O331" s="551">
        <v>0.3</v>
      </c>
      <c r="P331" s="552"/>
      <c r="Q331" s="551"/>
      <c r="R331" s="552"/>
      <c r="S331" s="551">
        <v>4.9000000000000004</v>
      </c>
      <c r="T331" s="552"/>
      <c r="U331" s="551"/>
      <c r="V331" s="552"/>
      <c r="W331" s="548">
        <f t="shared" si="29"/>
        <v>4.4999999999999998E-2</v>
      </c>
      <c r="X331" s="549"/>
      <c r="Y331" s="550"/>
      <c r="Z331" s="527">
        <f t="shared" si="30"/>
        <v>0.2205</v>
      </c>
      <c r="AA331" s="528"/>
      <c r="AB331" s="529"/>
      <c r="AC331" s="35"/>
      <c r="AD331" s="36"/>
      <c r="AE331" s="37"/>
      <c r="AF331" s="35"/>
      <c r="AG331" s="36"/>
      <c r="AH331" s="38"/>
    </row>
    <row r="332" spans="1:34" ht="15.75">
      <c r="A332" s="507"/>
      <c r="B332" s="508"/>
      <c r="C332" s="509"/>
      <c r="D332" s="545" t="s">
        <v>689</v>
      </c>
      <c r="E332" s="546"/>
      <c r="F332" s="546"/>
      <c r="G332" s="546"/>
      <c r="H332" s="546"/>
      <c r="I332" s="547"/>
      <c r="J332" s="47"/>
      <c r="K332" s="551">
        <v>0.15</v>
      </c>
      <c r="L332" s="552"/>
      <c r="M332" s="551"/>
      <c r="N332" s="552"/>
      <c r="O332" s="551">
        <v>0.3</v>
      </c>
      <c r="P332" s="552"/>
      <c r="Q332" s="551"/>
      <c r="R332" s="552"/>
      <c r="S332" s="551">
        <v>4.9000000000000004</v>
      </c>
      <c r="T332" s="552"/>
      <c r="U332" s="551"/>
      <c r="V332" s="552"/>
      <c r="W332" s="548">
        <f t="shared" si="29"/>
        <v>4.4999999999999998E-2</v>
      </c>
      <c r="X332" s="549"/>
      <c r="Y332" s="550"/>
      <c r="Z332" s="527">
        <f t="shared" si="30"/>
        <v>0.2205</v>
      </c>
      <c r="AA332" s="528"/>
      <c r="AB332" s="529"/>
      <c r="AC332" s="35"/>
      <c r="AD332" s="36"/>
      <c r="AE332" s="37"/>
      <c r="AF332" s="35"/>
      <c r="AG332" s="36"/>
      <c r="AH332" s="38"/>
    </row>
    <row r="333" spans="1:34" ht="15.75">
      <c r="A333" s="507"/>
      <c r="B333" s="508"/>
      <c r="C333" s="509"/>
      <c r="D333" s="545" t="s">
        <v>690</v>
      </c>
      <c r="E333" s="546"/>
      <c r="F333" s="546"/>
      <c r="G333" s="546"/>
      <c r="H333" s="546"/>
      <c r="I333" s="547"/>
      <c r="J333" s="47"/>
      <c r="K333" s="551">
        <v>0.15</v>
      </c>
      <c r="L333" s="552"/>
      <c r="M333" s="551"/>
      <c r="N333" s="552"/>
      <c r="O333" s="551">
        <v>0.3</v>
      </c>
      <c r="P333" s="552"/>
      <c r="Q333" s="551"/>
      <c r="R333" s="552"/>
      <c r="S333" s="551">
        <v>4.9000000000000004</v>
      </c>
      <c r="T333" s="552"/>
      <c r="U333" s="512"/>
      <c r="V333" s="509"/>
      <c r="W333" s="548">
        <f t="shared" si="29"/>
        <v>4.4999999999999998E-2</v>
      </c>
      <c r="X333" s="549"/>
      <c r="Y333" s="550"/>
      <c r="Z333" s="527">
        <f t="shared" si="30"/>
        <v>0.2205</v>
      </c>
      <c r="AA333" s="528"/>
      <c r="AB333" s="529"/>
      <c r="AC333" s="35"/>
      <c r="AD333" s="36"/>
      <c r="AE333" s="37"/>
      <c r="AF333" s="35"/>
      <c r="AG333" s="36"/>
      <c r="AH333" s="38"/>
    </row>
    <row r="334" spans="1:34" ht="15.75">
      <c r="A334" s="507"/>
      <c r="B334" s="508"/>
      <c r="C334" s="509"/>
      <c r="D334" s="545" t="s">
        <v>691</v>
      </c>
      <c r="E334" s="546"/>
      <c r="F334" s="546"/>
      <c r="G334" s="546"/>
      <c r="H334" s="546"/>
      <c r="I334" s="547"/>
      <c r="J334" s="47"/>
      <c r="K334" s="551">
        <v>0.15</v>
      </c>
      <c r="L334" s="552"/>
      <c r="M334" s="551"/>
      <c r="N334" s="552"/>
      <c r="O334" s="551">
        <v>0.3</v>
      </c>
      <c r="P334" s="552"/>
      <c r="Q334" s="551"/>
      <c r="R334" s="552"/>
      <c r="S334" s="551">
        <v>4.9000000000000004</v>
      </c>
      <c r="T334" s="552"/>
      <c r="U334" s="551"/>
      <c r="V334" s="552"/>
      <c r="W334" s="548">
        <f t="shared" si="29"/>
        <v>4.4999999999999998E-2</v>
      </c>
      <c r="X334" s="549"/>
      <c r="Y334" s="550"/>
      <c r="Z334" s="527">
        <f t="shared" si="30"/>
        <v>0.2205</v>
      </c>
      <c r="AA334" s="528"/>
      <c r="AB334" s="529"/>
      <c r="AC334" s="35"/>
      <c r="AD334" s="36"/>
      <c r="AE334" s="37"/>
      <c r="AF334" s="35"/>
      <c r="AG334" s="36"/>
      <c r="AH334" s="38"/>
    </row>
    <row r="335" spans="1:34" ht="15.75">
      <c r="A335" s="507"/>
      <c r="B335" s="508"/>
      <c r="C335" s="509"/>
      <c r="D335" s="545" t="s">
        <v>692</v>
      </c>
      <c r="E335" s="546"/>
      <c r="F335" s="546"/>
      <c r="G335" s="546"/>
      <c r="H335" s="546"/>
      <c r="I335" s="547"/>
      <c r="J335" s="47"/>
      <c r="K335" s="551">
        <v>0.15</v>
      </c>
      <c r="L335" s="552"/>
      <c r="M335" s="551"/>
      <c r="N335" s="552"/>
      <c r="O335" s="551">
        <v>0.3</v>
      </c>
      <c r="P335" s="552"/>
      <c r="Q335" s="551"/>
      <c r="R335" s="552"/>
      <c r="S335" s="551">
        <v>4.9000000000000004</v>
      </c>
      <c r="T335" s="552"/>
      <c r="U335" s="551"/>
      <c r="V335" s="552"/>
      <c r="W335" s="548">
        <f t="shared" si="29"/>
        <v>4.4999999999999998E-2</v>
      </c>
      <c r="X335" s="549"/>
      <c r="Y335" s="550"/>
      <c r="Z335" s="527">
        <f t="shared" si="30"/>
        <v>0.2205</v>
      </c>
      <c r="AA335" s="528"/>
      <c r="AB335" s="529"/>
      <c r="AC335" s="35"/>
      <c r="AD335" s="36"/>
      <c r="AE335" s="37"/>
      <c r="AF335" s="35"/>
      <c r="AG335" s="36"/>
      <c r="AH335" s="38"/>
    </row>
    <row r="336" spans="1:34" ht="15.75">
      <c r="A336" s="507"/>
      <c r="B336" s="508"/>
      <c r="C336" s="509"/>
      <c r="D336" s="545" t="s">
        <v>693</v>
      </c>
      <c r="E336" s="546"/>
      <c r="F336" s="546"/>
      <c r="G336" s="546"/>
      <c r="H336" s="546"/>
      <c r="I336" s="547"/>
      <c r="J336" s="47"/>
      <c r="K336" s="551">
        <v>0.15</v>
      </c>
      <c r="L336" s="552"/>
      <c r="M336" s="551"/>
      <c r="N336" s="552"/>
      <c r="O336" s="551">
        <v>0.3</v>
      </c>
      <c r="P336" s="552"/>
      <c r="Q336" s="551"/>
      <c r="R336" s="552"/>
      <c r="S336" s="551">
        <v>4.9000000000000004</v>
      </c>
      <c r="T336" s="552"/>
      <c r="U336" s="551"/>
      <c r="V336" s="552"/>
      <c r="W336" s="548">
        <f t="shared" si="29"/>
        <v>4.4999999999999998E-2</v>
      </c>
      <c r="X336" s="549"/>
      <c r="Y336" s="550"/>
      <c r="Z336" s="527">
        <f t="shared" si="30"/>
        <v>0.2205</v>
      </c>
      <c r="AA336" s="528"/>
      <c r="AB336" s="529"/>
      <c r="AC336" s="35"/>
      <c r="AD336" s="36"/>
      <c r="AE336" s="37"/>
      <c r="AF336" s="35"/>
      <c r="AG336" s="36"/>
      <c r="AH336" s="38"/>
    </row>
    <row r="337" spans="1:34" ht="15.75">
      <c r="A337" s="507"/>
      <c r="B337" s="508"/>
      <c r="C337" s="509"/>
      <c r="D337" s="545" t="s">
        <v>694</v>
      </c>
      <c r="E337" s="546"/>
      <c r="F337" s="546"/>
      <c r="G337" s="546"/>
      <c r="H337" s="546"/>
      <c r="I337" s="547"/>
      <c r="J337" s="47"/>
      <c r="K337" s="551">
        <v>0.15</v>
      </c>
      <c r="L337" s="552"/>
      <c r="M337" s="551"/>
      <c r="N337" s="552"/>
      <c r="O337" s="551">
        <v>0.3</v>
      </c>
      <c r="P337" s="552"/>
      <c r="Q337" s="551"/>
      <c r="R337" s="552"/>
      <c r="S337" s="551">
        <v>4.9000000000000004</v>
      </c>
      <c r="T337" s="552"/>
      <c r="U337" s="551"/>
      <c r="V337" s="552"/>
      <c r="W337" s="548">
        <f t="shared" si="29"/>
        <v>4.4999999999999998E-2</v>
      </c>
      <c r="X337" s="549"/>
      <c r="Y337" s="550"/>
      <c r="Z337" s="527">
        <f t="shared" si="30"/>
        <v>0.2205</v>
      </c>
      <c r="AA337" s="528"/>
      <c r="AB337" s="529"/>
      <c r="AC337" s="35"/>
      <c r="AD337" s="36"/>
      <c r="AE337" s="37"/>
      <c r="AF337" s="35"/>
      <c r="AG337" s="36"/>
      <c r="AH337" s="38"/>
    </row>
    <row r="338" spans="1:34" ht="15.75">
      <c r="A338" s="507"/>
      <c r="B338" s="508"/>
      <c r="C338" s="509"/>
      <c r="D338" s="545" t="s">
        <v>695</v>
      </c>
      <c r="E338" s="546"/>
      <c r="F338" s="546"/>
      <c r="G338" s="546"/>
      <c r="H338" s="546"/>
      <c r="I338" s="547"/>
      <c r="J338" s="47"/>
      <c r="K338" s="551">
        <v>0.15</v>
      </c>
      <c r="L338" s="552"/>
      <c r="M338" s="551"/>
      <c r="N338" s="552"/>
      <c r="O338" s="551">
        <v>0.3</v>
      </c>
      <c r="P338" s="552"/>
      <c r="Q338" s="551"/>
      <c r="R338" s="552"/>
      <c r="S338" s="551">
        <v>4.9000000000000004</v>
      </c>
      <c r="T338" s="552"/>
      <c r="U338" s="551"/>
      <c r="V338" s="552"/>
      <c r="W338" s="548">
        <f t="shared" si="29"/>
        <v>4.4999999999999998E-2</v>
      </c>
      <c r="X338" s="549"/>
      <c r="Y338" s="550"/>
      <c r="Z338" s="527">
        <f t="shared" si="30"/>
        <v>0.2205</v>
      </c>
      <c r="AA338" s="528"/>
      <c r="AB338" s="529"/>
      <c r="AC338" s="35"/>
      <c r="AD338" s="36"/>
      <c r="AE338" s="37"/>
      <c r="AF338" s="35"/>
      <c r="AG338" s="36"/>
      <c r="AH338" s="38"/>
    </row>
    <row r="339" spans="1:34" ht="15.75">
      <c r="A339" s="507"/>
      <c r="B339" s="508"/>
      <c r="C339" s="509"/>
      <c r="D339" s="545" t="s">
        <v>696</v>
      </c>
      <c r="E339" s="546"/>
      <c r="F339" s="546"/>
      <c r="G339" s="546"/>
      <c r="H339" s="546"/>
      <c r="I339" s="547"/>
      <c r="J339" s="47"/>
      <c r="K339" s="551">
        <v>0.15</v>
      </c>
      <c r="L339" s="552"/>
      <c r="M339" s="551"/>
      <c r="N339" s="552"/>
      <c r="O339" s="551">
        <v>0.3</v>
      </c>
      <c r="P339" s="552"/>
      <c r="Q339" s="551"/>
      <c r="R339" s="552"/>
      <c r="S339" s="551">
        <v>4.9000000000000004</v>
      </c>
      <c r="T339" s="552"/>
      <c r="U339" s="551"/>
      <c r="V339" s="552"/>
      <c r="W339" s="548">
        <f t="shared" si="29"/>
        <v>4.4999999999999998E-2</v>
      </c>
      <c r="X339" s="549"/>
      <c r="Y339" s="550"/>
      <c r="Z339" s="527">
        <f t="shared" si="30"/>
        <v>0.2205</v>
      </c>
      <c r="AA339" s="528"/>
      <c r="AB339" s="529"/>
      <c r="AC339" s="35"/>
      <c r="AD339" s="36"/>
      <c r="AE339" s="37"/>
      <c r="AF339" s="35"/>
      <c r="AG339" s="36"/>
      <c r="AH339" s="38"/>
    </row>
    <row r="340" spans="1:34" ht="15.75">
      <c r="A340" s="507"/>
      <c r="B340" s="508"/>
      <c r="C340" s="509"/>
      <c r="D340" s="545" t="s">
        <v>697</v>
      </c>
      <c r="E340" s="546"/>
      <c r="F340" s="546"/>
      <c r="G340" s="546"/>
      <c r="H340" s="546"/>
      <c r="I340" s="547"/>
      <c r="J340" s="47"/>
      <c r="K340" s="551">
        <v>0.15</v>
      </c>
      <c r="L340" s="552"/>
      <c r="M340" s="551"/>
      <c r="N340" s="552"/>
      <c r="O340" s="551">
        <v>0.3</v>
      </c>
      <c r="P340" s="552"/>
      <c r="Q340" s="551"/>
      <c r="R340" s="552"/>
      <c r="S340" s="551">
        <v>4.9000000000000004</v>
      </c>
      <c r="T340" s="552"/>
      <c r="U340" s="551"/>
      <c r="V340" s="552"/>
      <c r="W340" s="548">
        <f t="shared" si="29"/>
        <v>4.4999999999999998E-2</v>
      </c>
      <c r="X340" s="549"/>
      <c r="Y340" s="550"/>
      <c r="Z340" s="527">
        <f t="shared" si="30"/>
        <v>0.2205</v>
      </c>
      <c r="AA340" s="528"/>
      <c r="AB340" s="529"/>
      <c r="AC340" s="35"/>
      <c r="AD340" s="36"/>
      <c r="AE340" s="37"/>
      <c r="AF340" s="35"/>
      <c r="AG340" s="36"/>
      <c r="AH340" s="38"/>
    </row>
    <row r="341" spans="1:34" ht="15.75">
      <c r="A341" s="507"/>
      <c r="B341" s="508"/>
      <c r="C341" s="509"/>
      <c r="D341" s="545" t="s">
        <v>698</v>
      </c>
      <c r="E341" s="546"/>
      <c r="F341" s="546"/>
      <c r="G341" s="546"/>
      <c r="H341" s="546"/>
      <c r="I341" s="547"/>
      <c r="J341" s="47"/>
      <c r="K341" s="551">
        <v>0.15</v>
      </c>
      <c r="L341" s="552"/>
      <c r="M341" s="551"/>
      <c r="N341" s="552"/>
      <c r="O341" s="551">
        <v>0.3</v>
      </c>
      <c r="P341" s="552"/>
      <c r="Q341" s="551"/>
      <c r="R341" s="552"/>
      <c r="S341" s="551">
        <v>4.9000000000000004</v>
      </c>
      <c r="T341" s="552"/>
      <c r="U341" s="512"/>
      <c r="V341" s="509"/>
      <c r="W341" s="548">
        <f t="shared" si="29"/>
        <v>4.4999999999999998E-2</v>
      </c>
      <c r="X341" s="549"/>
      <c r="Y341" s="550"/>
      <c r="Z341" s="527">
        <f t="shared" si="30"/>
        <v>0.2205</v>
      </c>
      <c r="AA341" s="528"/>
      <c r="AB341" s="529"/>
      <c r="AC341" s="35"/>
      <c r="AD341" s="36"/>
      <c r="AE341" s="37"/>
      <c r="AF341" s="35"/>
      <c r="AG341" s="36"/>
      <c r="AH341" s="38"/>
    </row>
    <row r="342" spans="1:34" ht="15.75">
      <c r="A342" s="507"/>
      <c r="B342" s="508"/>
      <c r="C342" s="509"/>
      <c r="D342" s="545" t="s">
        <v>699</v>
      </c>
      <c r="E342" s="546"/>
      <c r="F342" s="546"/>
      <c r="G342" s="546"/>
      <c r="H342" s="546"/>
      <c r="I342" s="547"/>
      <c r="J342" s="47"/>
      <c r="K342" s="551">
        <v>0.15</v>
      </c>
      <c r="L342" s="552"/>
      <c r="M342" s="551"/>
      <c r="N342" s="552"/>
      <c r="O342" s="551">
        <v>0.3</v>
      </c>
      <c r="P342" s="552"/>
      <c r="Q342" s="551"/>
      <c r="R342" s="552"/>
      <c r="S342" s="551">
        <v>4.9000000000000004</v>
      </c>
      <c r="T342" s="552"/>
      <c r="U342" s="551"/>
      <c r="V342" s="552"/>
      <c r="W342" s="548">
        <f t="shared" si="29"/>
        <v>4.4999999999999998E-2</v>
      </c>
      <c r="X342" s="549"/>
      <c r="Y342" s="550"/>
      <c r="Z342" s="527">
        <f t="shared" si="30"/>
        <v>0.2205</v>
      </c>
      <c r="AA342" s="528"/>
      <c r="AB342" s="529"/>
      <c r="AC342" s="35"/>
      <c r="AD342" s="36"/>
      <c r="AE342" s="37"/>
      <c r="AF342" s="35"/>
      <c r="AG342" s="36"/>
      <c r="AH342" s="38"/>
    </row>
    <row r="343" spans="1:34" ht="15.75">
      <c r="A343" s="507"/>
      <c r="B343" s="508"/>
      <c r="C343" s="509"/>
      <c r="D343" s="545" t="s">
        <v>700</v>
      </c>
      <c r="E343" s="546"/>
      <c r="F343" s="546"/>
      <c r="G343" s="546"/>
      <c r="H343" s="546"/>
      <c r="I343" s="547"/>
      <c r="J343" s="47"/>
      <c r="K343" s="551">
        <v>0.15</v>
      </c>
      <c r="L343" s="552"/>
      <c r="M343" s="551"/>
      <c r="N343" s="552"/>
      <c r="O343" s="551">
        <v>0.3</v>
      </c>
      <c r="P343" s="552"/>
      <c r="Q343" s="551"/>
      <c r="R343" s="552"/>
      <c r="S343" s="551">
        <v>4.9000000000000004</v>
      </c>
      <c r="T343" s="552"/>
      <c r="U343" s="551"/>
      <c r="V343" s="552"/>
      <c r="W343" s="548">
        <f t="shared" si="29"/>
        <v>4.4999999999999998E-2</v>
      </c>
      <c r="X343" s="549"/>
      <c r="Y343" s="550"/>
      <c r="Z343" s="527">
        <f t="shared" si="30"/>
        <v>0.2205</v>
      </c>
      <c r="AA343" s="528"/>
      <c r="AB343" s="529"/>
      <c r="AC343" s="35"/>
      <c r="AD343" s="36"/>
      <c r="AE343" s="37"/>
      <c r="AF343" s="35"/>
      <c r="AG343" s="36"/>
      <c r="AH343" s="38"/>
    </row>
    <row r="344" spans="1:34" ht="15.75">
      <c r="A344" s="507"/>
      <c r="B344" s="508"/>
      <c r="C344" s="509"/>
      <c r="D344" s="545" t="s">
        <v>701</v>
      </c>
      <c r="E344" s="546"/>
      <c r="F344" s="546"/>
      <c r="G344" s="546"/>
      <c r="H344" s="546"/>
      <c r="I344" s="547"/>
      <c r="J344" s="47"/>
      <c r="K344" s="551">
        <v>0.15</v>
      </c>
      <c r="L344" s="552"/>
      <c r="M344" s="551"/>
      <c r="N344" s="552"/>
      <c r="O344" s="551">
        <v>0.3</v>
      </c>
      <c r="P344" s="552"/>
      <c r="Q344" s="551"/>
      <c r="R344" s="552"/>
      <c r="S344" s="551">
        <v>3.4</v>
      </c>
      <c r="T344" s="552"/>
      <c r="U344" s="551"/>
      <c r="V344" s="552"/>
      <c r="W344" s="548">
        <f t="shared" si="29"/>
        <v>4.4999999999999998E-2</v>
      </c>
      <c r="X344" s="549"/>
      <c r="Y344" s="550"/>
      <c r="Z344" s="527">
        <f t="shared" si="30"/>
        <v>0.153</v>
      </c>
      <c r="AA344" s="528"/>
      <c r="AB344" s="529"/>
      <c r="AC344" s="35"/>
      <c r="AD344" s="36"/>
      <c r="AE344" s="37"/>
      <c r="AF344" s="35"/>
      <c r="AG344" s="36"/>
      <c r="AH344" s="38"/>
    </row>
    <row r="345" spans="1:34" ht="15.75">
      <c r="A345" s="507"/>
      <c r="B345" s="508"/>
      <c r="C345" s="509"/>
      <c r="D345" s="545" t="s">
        <v>702</v>
      </c>
      <c r="E345" s="546"/>
      <c r="F345" s="546"/>
      <c r="G345" s="546"/>
      <c r="H345" s="546"/>
      <c r="I345" s="547"/>
      <c r="J345" s="47"/>
      <c r="K345" s="551">
        <v>0.15</v>
      </c>
      <c r="L345" s="552"/>
      <c r="M345" s="551"/>
      <c r="N345" s="552"/>
      <c r="O345" s="551">
        <v>0.3</v>
      </c>
      <c r="P345" s="552"/>
      <c r="Q345" s="551"/>
      <c r="R345" s="552"/>
      <c r="S345" s="551">
        <v>3.4</v>
      </c>
      <c r="T345" s="552"/>
      <c r="U345" s="551"/>
      <c r="V345" s="552"/>
      <c r="W345" s="548">
        <f t="shared" si="29"/>
        <v>4.4999999999999998E-2</v>
      </c>
      <c r="X345" s="549"/>
      <c r="Y345" s="550"/>
      <c r="Z345" s="527">
        <f t="shared" si="30"/>
        <v>0.153</v>
      </c>
      <c r="AA345" s="528"/>
      <c r="AB345" s="529"/>
      <c r="AC345" s="35"/>
      <c r="AD345" s="36"/>
      <c r="AE345" s="37"/>
      <c r="AF345" s="35"/>
      <c r="AG345" s="36"/>
      <c r="AH345" s="38"/>
    </row>
    <row r="346" spans="1:34" ht="15.75">
      <c r="A346" s="507"/>
      <c r="B346" s="508"/>
      <c r="C346" s="509"/>
      <c r="D346" s="545" t="s">
        <v>703</v>
      </c>
      <c r="E346" s="546"/>
      <c r="F346" s="546"/>
      <c r="G346" s="546"/>
      <c r="H346" s="546"/>
      <c r="I346" s="547"/>
      <c r="J346" s="47"/>
      <c r="K346" s="551">
        <v>0.15</v>
      </c>
      <c r="L346" s="552"/>
      <c r="M346" s="551"/>
      <c r="N346" s="552"/>
      <c r="O346" s="551">
        <v>0.3</v>
      </c>
      <c r="P346" s="552"/>
      <c r="Q346" s="551"/>
      <c r="R346" s="552"/>
      <c r="S346" s="551">
        <v>3.4</v>
      </c>
      <c r="T346" s="552"/>
      <c r="U346" s="551"/>
      <c r="V346" s="552"/>
      <c r="W346" s="548">
        <f t="shared" si="29"/>
        <v>4.4999999999999998E-2</v>
      </c>
      <c r="X346" s="549"/>
      <c r="Y346" s="550"/>
      <c r="Z346" s="527">
        <f t="shared" si="30"/>
        <v>0.153</v>
      </c>
      <c r="AA346" s="528"/>
      <c r="AB346" s="529"/>
      <c r="AC346" s="35"/>
      <c r="AD346" s="36"/>
      <c r="AE346" s="37"/>
      <c r="AF346" s="35"/>
      <c r="AG346" s="36"/>
      <c r="AH346" s="38"/>
    </row>
    <row r="347" spans="1:34" ht="15.75">
      <c r="A347" s="507"/>
      <c r="B347" s="508"/>
      <c r="C347" s="509"/>
      <c r="D347" s="545" t="s">
        <v>704</v>
      </c>
      <c r="E347" s="546"/>
      <c r="F347" s="546"/>
      <c r="G347" s="546"/>
      <c r="H347" s="546"/>
      <c r="I347" s="547"/>
      <c r="J347" s="47"/>
      <c r="K347" s="551">
        <v>0.15</v>
      </c>
      <c r="L347" s="552"/>
      <c r="M347" s="551"/>
      <c r="N347" s="552"/>
      <c r="O347" s="551">
        <v>0.3</v>
      </c>
      <c r="P347" s="552"/>
      <c r="Q347" s="551"/>
      <c r="R347" s="552"/>
      <c r="S347" s="551">
        <v>3.4</v>
      </c>
      <c r="T347" s="552"/>
      <c r="U347" s="551"/>
      <c r="V347" s="552"/>
      <c r="W347" s="548">
        <f t="shared" si="29"/>
        <v>4.4999999999999998E-2</v>
      </c>
      <c r="X347" s="549"/>
      <c r="Y347" s="550"/>
      <c r="Z347" s="527">
        <f t="shared" si="30"/>
        <v>0.153</v>
      </c>
      <c r="AA347" s="528"/>
      <c r="AB347" s="529"/>
      <c r="AC347" s="35"/>
      <c r="AD347" s="36"/>
      <c r="AE347" s="37"/>
      <c r="AF347" s="35"/>
      <c r="AG347" s="36"/>
      <c r="AH347" s="38"/>
    </row>
    <row r="348" spans="1:34" ht="15.75">
      <c r="A348" s="507"/>
      <c r="B348" s="508"/>
      <c r="C348" s="509"/>
      <c r="D348" s="545" t="s">
        <v>705</v>
      </c>
      <c r="E348" s="546"/>
      <c r="F348" s="546"/>
      <c r="G348" s="546"/>
      <c r="H348" s="546"/>
      <c r="I348" s="547"/>
      <c r="J348" s="47"/>
      <c r="K348" s="551">
        <v>0.15</v>
      </c>
      <c r="L348" s="552"/>
      <c r="M348" s="551"/>
      <c r="N348" s="552"/>
      <c r="O348" s="551">
        <v>0.3</v>
      </c>
      <c r="P348" s="552"/>
      <c r="Q348" s="551"/>
      <c r="R348" s="552"/>
      <c r="S348" s="551">
        <v>3.4</v>
      </c>
      <c r="T348" s="552"/>
      <c r="U348" s="551"/>
      <c r="V348" s="552"/>
      <c r="W348" s="548">
        <f t="shared" si="29"/>
        <v>4.4999999999999998E-2</v>
      </c>
      <c r="X348" s="549"/>
      <c r="Y348" s="550"/>
      <c r="Z348" s="527">
        <f t="shared" si="30"/>
        <v>0.153</v>
      </c>
      <c r="AA348" s="528"/>
      <c r="AB348" s="529"/>
      <c r="AC348" s="35"/>
      <c r="AD348" s="36"/>
      <c r="AE348" s="37"/>
      <c r="AF348" s="35"/>
      <c r="AG348" s="36"/>
      <c r="AH348" s="38"/>
    </row>
    <row r="349" spans="1:34" ht="15.75">
      <c r="A349" s="507"/>
      <c r="B349" s="508"/>
      <c r="C349" s="509"/>
      <c r="D349" s="545" t="s">
        <v>706</v>
      </c>
      <c r="E349" s="546"/>
      <c r="F349" s="546"/>
      <c r="G349" s="546"/>
      <c r="H349" s="546"/>
      <c r="I349" s="547"/>
      <c r="J349" s="47"/>
      <c r="K349" s="551">
        <v>0.25</v>
      </c>
      <c r="L349" s="552"/>
      <c r="M349" s="551"/>
      <c r="N349" s="552"/>
      <c r="O349" s="551">
        <v>0.3</v>
      </c>
      <c r="P349" s="552"/>
      <c r="Q349" s="512"/>
      <c r="R349" s="509"/>
      <c r="S349" s="512">
        <v>3.4</v>
      </c>
      <c r="T349" s="509"/>
      <c r="U349" s="512"/>
      <c r="V349" s="509"/>
      <c r="W349" s="548">
        <f t="shared" si="29"/>
        <v>7.4999999999999997E-2</v>
      </c>
      <c r="X349" s="549"/>
      <c r="Y349" s="550"/>
      <c r="Z349" s="527">
        <f t="shared" si="30"/>
        <v>0.255</v>
      </c>
      <c r="AA349" s="528"/>
      <c r="AB349" s="529"/>
      <c r="AC349" s="35"/>
      <c r="AD349" s="36"/>
      <c r="AE349" s="37"/>
      <c r="AF349" s="35"/>
      <c r="AG349" s="36"/>
      <c r="AH349" s="38"/>
    </row>
    <row r="350" spans="1:34" ht="15.75">
      <c r="A350" s="507"/>
      <c r="B350" s="508"/>
      <c r="C350" s="509"/>
      <c r="D350" s="545" t="s">
        <v>707</v>
      </c>
      <c r="E350" s="546"/>
      <c r="F350" s="546"/>
      <c r="G350" s="546"/>
      <c r="H350" s="546"/>
      <c r="I350" s="547"/>
      <c r="J350" s="47"/>
      <c r="K350" s="551">
        <v>0.25</v>
      </c>
      <c r="L350" s="552"/>
      <c r="M350" s="551"/>
      <c r="N350" s="552"/>
      <c r="O350" s="551">
        <v>0.3</v>
      </c>
      <c r="P350" s="552"/>
      <c r="Q350" s="551"/>
      <c r="R350" s="552"/>
      <c r="S350" s="551">
        <v>4.9000000000000004</v>
      </c>
      <c r="T350" s="552"/>
      <c r="U350" s="551"/>
      <c r="V350" s="552"/>
      <c r="W350" s="548">
        <f t="shared" si="29"/>
        <v>7.4999999999999997E-2</v>
      </c>
      <c r="X350" s="549"/>
      <c r="Y350" s="550"/>
      <c r="Z350" s="527">
        <f t="shared" si="30"/>
        <v>0.36749999999999999</v>
      </c>
      <c r="AA350" s="528"/>
      <c r="AB350" s="529"/>
      <c r="AC350" s="35"/>
      <c r="AD350" s="36"/>
      <c r="AE350" s="37"/>
      <c r="AF350" s="35"/>
      <c r="AG350" s="36"/>
      <c r="AH350" s="38"/>
    </row>
    <row r="351" spans="1:34" ht="15.75">
      <c r="A351" s="507"/>
      <c r="B351" s="508"/>
      <c r="C351" s="509"/>
      <c r="D351" s="545" t="s">
        <v>708</v>
      </c>
      <c r="E351" s="546"/>
      <c r="F351" s="546"/>
      <c r="G351" s="546"/>
      <c r="H351" s="546"/>
      <c r="I351" s="547"/>
      <c r="J351" s="47"/>
      <c r="K351" s="551">
        <v>0.15</v>
      </c>
      <c r="L351" s="552"/>
      <c r="M351" s="551"/>
      <c r="N351" s="552"/>
      <c r="O351" s="551">
        <v>0.3</v>
      </c>
      <c r="P351" s="552"/>
      <c r="Q351" s="551"/>
      <c r="R351" s="552"/>
      <c r="S351" s="551">
        <v>4.9000000000000004</v>
      </c>
      <c r="T351" s="552"/>
      <c r="U351" s="551"/>
      <c r="V351" s="552"/>
      <c r="W351" s="548">
        <f t="shared" si="29"/>
        <v>4.4999999999999998E-2</v>
      </c>
      <c r="X351" s="549"/>
      <c r="Y351" s="550"/>
      <c r="Z351" s="527">
        <f t="shared" si="30"/>
        <v>0.2205</v>
      </c>
      <c r="AA351" s="528"/>
      <c r="AB351" s="529"/>
      <c r="AC351" s="35"/>
      <c r="AD351" s="36"/>
      <c r="AE351" s="37"/>
      <c r="AF351" s="35"/>
      <c r="AG351" s="36"/>
      <c r="AH351" s="38"/>
    </row>
    <row r="352" spans="1:34" ht="15.75">
      <c r="A352" s="507"/>
      <c r="B352" s="508"/>
      <c r="C352" s="509"/>
      <c r="D352" s="545" t="s">
        <v>709</v>
      </c>
      <c r="E352" s="546"/>
      <c r="F352" s="546"/>
      <c r="G352" s="546"/>
      <c r="H352" s="546"/>
      <c r="I352" s="547"/>
      <c r="J352" s="47"/>
      <c r="K352" s="551">
        <v>0.15</v>
      </c>
      <c r="L352" s="552"/>
      <c r="M352" s="551"/>
      <c r="N352" s="552"/>
      <c r="O352" s="551">
        <v>0.3</v>
      </c>
      <c r="P352" s="552"/>
      <c r="Q352" s="551"/>
      <c r="R352" s="552"/>
      <c r="S352" s="551">
        <v>4.9000000000000004</v>
      </c>
      <c r="T352" s="552"/>
      <c r="U352" s="551"/>
      <c r="V352" s="552"/>
      <c r="W352" s="548">
        <f t="shared" si="29"/>
        <v>4.4999999999999998E-2</v>
      </c>
      <c r="X352" s="549"/>
      <c r="Y352" s="550"/>
      <c r="Z352" s="527">
        <f t="shared" si="30"/>
        <v>0.2205</v>
      </c>
      <c r="AA352" s="528"/>
      <c r="AB352" s="529"/>
      <c r="AC352" s="35"/>
      <c r="AD352" s="36"/>
      <c r="AE352" s="37"/>
      <c r="AF352" s="35"/>
      <c r="AG352" s="36"/>
      <c r="AH352" s="38"/>
    </row>
    <row r="353" spans="1:34" ht="15.75">
      <c r="A353" s="507"/>
      <c r="B353" s="508"/>
      <c r="C353" s="509"/>
      <c r="D353" s="545" t="s">
        <v>710</v>
      </c>
      <c r="E353" s="546"/>
      <c r="F353" s="546"/>
      <c r="G353" s="546"/>
      <c r="H353" s="546"/>
      <c r="I353" s="547"/>
      <c r="J353" s="47"/>
      <c r="K353" s="551">
        <v>0.15</v>
      </c>
      <c r="L353" s="552"/>
      <c r="M353" s="551"/>
      <c r="N353" s="552"/>
      <c r="O353" s="551">
        <v>0.3</v>
      </c>
      <c r="P353" s="552"/>
      <c r="Q353" s="551"/>
      <c r="R353" s="552"/>
      <c r="S353" s="551">
        <v>4.9000000000000004</v>
      </c>
      <c r="T353" s="552"/>
      <c r="U353" s="551"/>
      <c r="V353" s="552"/>
      <c r="W353" s="548">
        <f t="shared" si="29"/>
        <v>4.4999999999999998E-2</v>
      </c>
      <c r="X353" s="549"/>
      <c r="Y353" s="550"/>
      <c r="Z353" s="527">
        <f t="shared" si="30"/>
        <v>0.2205</v>
      </c>
      <c r="AA353" s="528"/>
      <c r="AB353" s="529"/>
      <c r="AC353" s="35"/>
      <c r="AD353" s="36"/>
      <c r="AE353" s="37"/>
      <c r="AF353" s="35"/>
      <c r="AG353" s="36"/>
      <c r="AH353" s="38"/>
    </row>
    <row r="354" spans="1:34" ht="15.75">
      <c r="A354" s="507"/>
      <c r="B354" s="508"/>
      <c r="C354" s="509"/>
      <c r="D354" s="545" t="s">
        <v>711</v>
      </c>
      <c r="E354" s="546"/>
      <c r="F354" s="546"/>
      <c r="G354" s="546"/>
      <c r="H354" s="546"/>
      <c r="I354" s="547"/>
      <c r="J354" s="47"/>
      <c r="K354" s="551">
        <v>0.15</v>
      </c>
      <c r="L354" s="552"/>
      <c r="M354" s="551"/>
      <c r="N354" s="552"/>
      <c r="O354" s="551">
        <v>0.3</v>
      </c>
      <c r="P354" s="552"/>
      <c r="Q354" s="551"/>
      <c r="R354" s="552"/>
      <c r="S354" s="551">
        <v>3.4</v>
      </c>
      <c r="T354" s="552"/>
      <c r="U354" s="551"/>
      <c r="V354" s="552"/>
      <c r="W354" s="548">
        <f t="shared" si="29"/>
        <v>4.4999999999999998E-2</v>
      </c>
      <c r="X354" s="549"/>
      <c r="Y354" s="550"/>
      <c r="Z354" s="527">
        <f t="shared" si="30"/>
        <v>0.153</v>
      </c>
      <c r="AA354" s="528"/>
      <c r="AB354" s="529"/>
      <c r="AC354" s="35"/>
      <c r="AD354" s="36"/>
      <c r="AE354" s="37"/>
      <c r="AF354" s="35"/>
      <c r="AG354" s="36"/>
      <c r="AH354" s="38"/>
    </row>
    <row r="355" spans="1:34" ht="15.75">
      <c r="A355" s="507"/>
      <c r="B355" s="508"/>
      <c r="C355" s="509"/>
      <c r="D355" s="545" t="s">
        <v>712</v>
      </c>
      <c r="E355" s="546"/>
      <c r="F355" s="546"/>
      <c r="G355" s="546"/>
      <c r="H355" s="546"/>
      <c r="I355" s="547"/>
      <c r="J355" s="47"/>
      <c r="K355" s="551">
        <v>0.15</v>
      </c>
      <c r="L355" s="552"/>
      <c r="M355" s="551"/>
      <c r="N355" s="552"/>
      <c r="O355" s="551">
        <v>0.3</v>
      </c>
      <c r="P355" s="552"/>
      <c r="Q355" s="551"/>
      <c r="R355" s="552"/>
      <c r="S355" s="551">
        <v>3.4</v>
      </c>
      <c r="T355" s="552"/>
      <c r="U355" s="551"/>
      <c r="V355" s="552"/>
      <c r="W355" s="548">
        <f t="shared" si="29"/>
        <v>4.4999999999999998E-2</v>
      </c>
      <c r="X355" s="549"/>
      <c r="Y355" s="550"/>
      <c r="Z355" s="527">
        <f t="shared" si="30"/>
        <v>0.153</v>
      </c>
      <c r="AA355" s="528"/>
      <c r="AB355" s="529"/>
      <c r="AC355" s="35"/>
      <c r="AD355" s="36"/>
      <c r="AE355" s="37"/>
      <c r="AF355" s="35"/>
      <c r="AG355" s="36"/>
      <c r="AH355" s="38"/>
    </row>
    <row r="356" spans="1:34" ht="15.75">
      <c r="A356" s="507"/>
      <c r="B356" s="508"/>
      <c r="C356" s="509"/>
      <c r="D356" s="545" t="s">
        <v>713</v>
      </c>
      <c r="E356" s="546"/>
      <c r="F356" s="546"/>
      <c r="G356" s="546"/>
      <c r="H356" s="546"/>
      <c r="I356" s="547"/>
      <c r="J356" s="47"/>
      <c r="K356" s="551">
        <v>0.15</v>
      </c>
      <c r="L356" s="552"/>
      <c r="M356" s="551"/>
      <c r="N356" s="552"/>
      <c r="O356" s="551">
        <v>0.3</v>
      </c>
      <c r="P356" s="552"/>
      <c r="Q356" s="551"/>
      <c r="R356" s="552"/>
      <c r="S356" s="551">
        <v>3.4</v>
      </c>
      <c r="T356" s="552"/>
      <c r="U356" s="551"/>
      <c r="V356" s="552"/>
      <c r="W356" s="548">
        <f t="shared" si="29"/>
        <v>4.4999999999999998E-2</v>
      </c>
      <c r="X356" s="549"/>
      <c r="Y356" s="550"/>
      <c r="Z356" s="527">
        <f t="shared" si="30"/>
        <v>0.153</v>
      </c>
      <c r="AA356" s="528"/>
      <c r="AB356" s="529"/>
      <c r="AC356" s="35"/>
      <c r="AD356" s="36"/>
      <c r="AE356" s="37"/>
      <c r="AF356" s="35"/>
      <c r="AG356" s="36"/>
      <c r="AH356" s="38"/>
    </row>
    <row r="357" spans="1:34" ht="15.75">
      <c r="A357" s="507"/>
      <c r="B357" s="508"/>
      <c r="C357" s="509"/>
      <c r="D357" s="545" t="s">
        <v>714</v>
      </c>
      <c r="E357" s="546"/>
      <c r="F357" s="546"/>
      <c r="G357" s="546"/>
      <c r="H357" s="546"/>
      <c r="I357" s="547"/>
      <c r="J357" s="47"/>
      <c r="K357" s="551">
        <v>0.15</v>
      </c>
      <c r="L357" s="552"/>
      <c r="M357" s="551"/>
      <c r="N357" s="552"/>
      <c r="O357" s="551">
        <v>0.3</v>
      </c>
      <c r="P357" s="552"/>
      <c r="Q357" s="551"/>
      <c r="R357" s="552"/>
      <c r="S357" s="551">
        <v>3.4</v>
      </c>
      <c r="T357" s="552"/>
      <c r="U357" s="512"/>
      <c r="V357" s="509"/>
      <c r="W357" s="548">
        <f t="shared" si="29"/>
        <v>4.4999999999999998E-2</v>
      </c>
      <c r="X357" s="549"/>
      <c r="Y357" s="550"/>
      <c r="Z357" s="527">
        <f t="shared" si="30"/>
        <v>0.153</v>
      </c>
      <c r="AA357" s="528"/>
      <c r="AB357" s="529"/>
      <c r="AC357" s="35"/>
      <c r="AD357" s="36"/>
      <c r="AE357" s="37"/>
      <c r="AF357" s="35"/>
      <c r="AG357" s="36"/>
      <c r="AH357" s="38"/>
    </row>
    <row r="358" spans="1:34" ht="15.75">
      <c r="A358" s="507"/>
      <c r="B358" s="508"/>
      <c r="C358" s="509"/>
      <c r="D358" s="545" t="s">
        <v>715</v>
      </c>
      <c r="E358" s="546"/>
      <c r="F358" s="546"/>
      <c r="G358" s="546"/>
      <c r="H358" s="546"/>
      <c r="I358" s="547"/>
      <c r="J358" s="47"/>
      <c r="K358" s="551">
        <v>0.15</v>
      </c>
      <c r="L358" s="552"/>
      <c r="M358" s="551"/>
      <c r="N358" s="552"/>
      <c r="O358" s="551">
        <v>0.3</v>
      </c>
      <c r="P358" s="552"/>
      <c r="Q358" s="551"/>
      <c r="R358" s="552"/>
      <c r="S358" s="551">
        <v>3.4</v>
      </c>
      <c r="T358" s="552"/>
      <c r="U358" s="551"/>
      <c r="V358" s="552"/>
      <c r="W358" s="548">
        <f t="shared" si="29"/>
        <v>4.4999999999999998E-2</v>
      </c>
      <c r="X358" s="549"/>
      <c r="Y358" s="550"/>
      <c r="Z358" s="527">
        <f t="shared" si="30"/>
        <v>0.153</v>
      </c>
      <c r="AA358" s="528"/>
      <c r="AB358" s="529"/>
      <c r="AC358" s="35"/>
      <c r="AD358" s="36"/>
      <c r="AE358" s="37"/>
      <c r="AF358" s="35"/>
      <c r="AG358" s="36"/>
      <c r="AH358" s="38"/>
    </row>
    <row r="359" spans="1:34" ht="15.75">
      <c r="A359" s="507"/>
      <c r="B359" s="508"/>
      <c r="C359" s="509"/>
      <c r="D359" s="545" t="s">
        <v>716</v>
      </c>
      <c r="E359" s="546"/>
      <c r="F359" s="546"/>
      <c r="G359" s="546"/>
      <c r="H359" s="546"/>
      <c r="I359" s="547"/>
      <c r="J359" s="47"/>
      <c r="K359" s="551">
        <v>0.15</v>
      </c>
      <c r="L359" s="552"/>
      <c r="M359" s="551"/>
      <c r="N359" s="552"/>
      <c r="O359" s="551">
        <v>0.3</v>
      </c>
      <c r="P359" s="552"/>
      <c r="Q359" s="551"/>
      <c r="R359" s="552"/>
      <c r="S359" s="551">
        <v>3.4</v>
      </c>
      <c r="T359" s="552"/>
      <c r="U359" s="551"/>
      <c r="V359" s="552"/>
      <c r="W359" s="548">
        <f t="shared" si="29"/>
        <v>4.4999999999999998E-2</v>
      </c>
      <c r="X359" s="549"/>
      <c r="Y359" s="550"/>
      <c r="Z359" s="527">
        <f t="shared" si="30"/>
        <v>0.153</v>
      </c>
      <c r="AA359" s="528"/>
      <c r="AB359" s="529"/>
      <c r="AC359" s="35"/>
      <c r="AD359" s="36"/>
      <c r="AE359" s="37"/>
      <c r="AF359" s="35"/>
      <c r="AG359" s="36"/>
      <c r="AH359" s="38"/>
    </row>
    <row r="360" spans="1:34" ht="15.75">
      <c r="A360" s="507"/>
      <c r="B360" s="508"/>
      <c r="C360" s="509"/>
      <c r="D360" s="545" t="s">
        <v>717</v>
      </c>
      <c r="E360" s="546"/>
      <c r="F360" s="546"/>
      <c r="G360" s="546"/>
      <c r="H360" s="546"/>
      <c r="I360" s="547"/>
      <c r="J360" s="47"/>
      <c r="K360" s="551">
        <v>0.15</v>
      </c>
      <c r="L360" s="552"/>
      <c r="M360" s="551"/>
      <c r="N360" s="552"/>
      <c r="O360" s="551">
        <v>0.3</v>
      </c>
      <c r="P360" s="552"/>
      <c r="Q360" s="551"/>
      <c r="R360" s="552"/>
      <c r="S360" s="551">
        <v>4.9000000000000004</v>
      </c>
      <c r="T360" s="552"/>
      <c r="U360" s="551"/>
      <c r="V360" s="552"/>
      <c r="W360" s="548">
        <f t="shared" si="29"/>
        <v>4.4999999999999998E-2</v>
      </c>
      <c r="X360" s="549"/>
      <c r="Y360" s="550"/>
      <c r="Z360" s="527">
        <f t="shared" si="30"/>
        <v>0.2205</v>
      </c>
      <c r="AA360" s="528"/>
      <c r="AB360" s="529"/>
      <c r="AC360" s="35"/>
      <c r="AD360" s="36"/>
      <c r="AE360" s="37"/>
      <c r="AF360" s="35"/>
      <c r="AG360" s="36"/>
      <c r="AH360" s="38"/>
    </row>
    <row r="361" spans="1:34" ht="15.75">
      <c r="A361" s="507"/>
      <c r="B361" s="508"/>
      <c r="C361" s="509"/>
      <c r="D361" s="545" t="s">
        <v>718</v>
      </c>
      <c r="E361" s="546"/>
      <c r="F361" s="546"/>
      <c r="G361" s="546"/>
      <c r="H361" s="546"/>
      <c r="I361" s="547"/>
      <c r="J361" s="47"/>
      <c r="K361" s="551">
        <v>0.15</v>
      </c>
      <c r="L361" s="552"/>
      <c r="M361" s="551"/>
      <c r="N361" s="552"/>
      <c r="O361" s="551">
        <v>0.3</v>
      </c>
      <c r="P361" s="552"/>
      <c r="Q361" s="551"/>
      <c r="R361" s="552"/>
      <c r="S361" s="551">
        <v>3.4</v>
      </c>
      <c r="T361" s="552"/>
      <c r="U361" s="551"/>
      <c r="V361" s="552"/>
      <c r="W361" s="548">
        <f t="shared" si="29"/>
        <v>4.4999999999999998E-2</v>
      </c>
      <c r="X361" s="549"/>
      <c r="Y361" s="550"/>
      <c r="Z361" s="527">
        <f t="shared" si="30"/>
        <v>0.153</v>
      </c>
      <c r="AA361" s="528"/>
      <c r="AB361" s="529"/>
      <c r="AC361" s="35"/>
      <c r="AD361" s="36"/>
      <c r="AE361" s="37"/>
      <c r="AF361" s="35"/>
      <c r="AG361" s="36"/>
      <c r="AH361" s="38"/>
    </row>
    <row r="362" spans="1:34" ht="15.75">
      <c r="A362" s="507"/>
      <c r="B362" s="508"/>
      <c r="C362" s="509"/>
      <c r="D362" s="545" t="s">
        <v>719</v>
      </c>
      <c r="E362" s="546"/>
      <c r="F362" s="546"/>
      <c r="G362" s="546"/>
      <c r="H362" s="546"/>
      <c r="I362" s="547"/>
      <c r="J362" s="47"/>
      <c r="K362" s="551">
        <v>0.15</v>
      </c>
      <c r="L362" s="552"/>
      <c r="M362" s="551"/>
      <c r="N362" s="552"/>
      <c r="O362" s="551">
        <v>0.3</v>
      </c>
      <c r="P362" s="552"/>
      <c r="Q362" s="551"/>
      <c r="R362" s="552"/>
      <c r="S362" s="551">
        <v>4.9000000000000004</v>
      </c>
      <c r="T362" s="552"/>
      <c r="U362" s="551"/>
      <c r="V362" s="552"/>
      <c r="W362" s="548">
        <f t="shared" si="29"/>
        <v>4.4999999999999998E-2</v>
      </c>
      <c r="X362" s="549"/>
      <c r="Y362" s="550"/>
      <c r="Z362" s="527">
        <f t="shared" si="30"/>
        <v>0.2205</v>
      </c>
      <c r="AA362" s="528"/>
      <c r="AB362" s="529"/>
      <c r="AC362" s="35"/>
      <c r="AD362" s="36"/>
      <c r="AE362" s="37"/>
      <c r="AF362" s="35"/>
      <c r="AG362" s="36"/>
      <c r="AH362" s="38"/>
    </row>
    <row r="363" spans="1:34" ht="15.75">
      <c r="A363" s="507"/>
      <c r="B363" s="508"/>
      <c r="C363" s="509"/>
      <c r="D363" s="545" t="s">
        <v>720</v>
      </c>
      <c r="E363" s="546"/>
      <c r="F363" s="546"/>
      <c r="G363" s="546"/>
      <c r="H363" s="546"/>
      <c r="I363" s="547"/>
      <c r="J363" s="47"/>
      <c r="K363" s="551">
        <v>0.15</v>
      </c>
      <c r="L363" s="552"/>
      <c r="M363" s="551"/>
      <c r="N363" s="552"/>
      <c r="O363" s="551">
        <v>0.3</v>
      </c>
      <c r="P363" s="552"/>
      <c r="Q363" s="551"/>
      <c r="R363" s="552"/>
      <c r="S363" s="551">
        <v>4.9000000000000004</v>
      </c>
      <c r="T363" s="552"/>
      <c r="U363" s="551"/>
      <c r="V363" s="552"/>
      <c r="W363" s="548">
        <f t="shared" si="29"/>
        <v>4.4999999999999998E-2</v>
      </c>
      <c r="X363" s="549"/>
      <c r="Y363" s="550"/>
      <c r="Z363" s="527">
        <f t="shared" si="30"/>
        <v>0.2205</v>
      </c>
      <c r="AA363" s="528"/>
      <c r="AB363" s="529"/>
      <c r="AC363" s="35"/>
      <c r="AD363" s="36"/>
      <c r="AE363" s="37"/>
      <c r="AF363" s="35"/>
      <c r="AG363" s="36"/>
      <c r="AH363" s="38"/>
    </row>
    <row r="364" spans="1:34" ht="15.75">
      <c r="A364" s="507"/>
      <c r="B364" s="508"/>
      <c r="C364" s="509"/>
      <c r="D364" s="545" t="s">
        <v>721</v>
      </c>
      <c r="E364" s="546"/>
      <c r="F364" s="546"/>
      <c r="G364" s="546"/>
      <c r="H364" s="546"/>
      <c r="I364" s="547"/>
      <c r="J364" s="47"/>
      <c r="K364" s="551">
        <v>0.15</v>
      </c>
      <c r="L364" s="552"/>
      <c r="M364" s="551"/>
      <c r="N364" s="552"/>
      <c r="O364" s="551">
        <v>0.3</v>
      </c>
      <c r="P364" s="552"/>
      <c r="Q364" s="551"/>
      <c r="R364" s="552"/>
      <c r="S364" s="551">
        <v>3.4</v>
      </c>
      <c r="T364" s="552"/>
      <c r="U364" s="551"/>
      <c r="V364" s="552"/>
      <c r="W364" s="548">
        <f t="shared" si="29"/>
        <v>4.4999999999999998E-2</v>
      </c>
      <c r="X364" s="549"/>
      <c r="Y364" s="550"/>
      <c r="Z364" s="527">
        <f t="shared" si="30"/>
        <v>0.153</v>
      </c>
      <c r="AA364" s="528"/>
      <c r="AB364" s="529"/>
      <c r="AC364" s="35"/>
      <c r="AD364" s="36"/>
      <c r="AE364" s="37"/>
      <c r="AF364" s="35"/>
      <c r="AG364" s="36"/>
      <c r="AH364" s="38"/>
    </row>
    <row r="365" spans="1:34" ht="15.75">
      <c r="A365" s="507"/>
      <c r="B365" s="508"/>
      <c r="C365" s="509"/>
      <c r="D365" s="545" t="s">
        <v>722</v>
      </c>
      <c r="E365" s="546"/>
      <c r="F365" s="546"/>
      <c r="G365" s="546"/>
      <c r="H365" s="546"/>
      <c r="I365" s="547"/>
      <c r="J365" s="47"/>
      <c r="K365" s="551">
        <v>0.15</v>
      </c>
      <c r="L365" s="552"/>
      <c r="M365" s="551"/>
      <c r="N365" s="552"/>
      <c r="O365" s="551">
        <v>0.3</v>
      </c>
      <c r="P365" s="552"/>
      <c r="Q365" s="551"/>
      <c r="R365" s="552"/>
      <c r="S365" s="551">
        <v>3.4</v>
      </c>
      <c r="T365" s="552"/>
      <c r="U365" s="512"/>
      <c r="V365" s="509"/>
      <c r="W365" s="548">
        <f t="shared" si="29"/>
        <v>4.4999999999999998E-2</v>
      </c>
      <c r="X365" s="549"/>
      <c r="Y365" s="550"/>
      <c r="Z365" s="527">
        <f t="shared" si="30"/>
        <v>0.153</v>
      </c>
      <c r="AA365" s="528"/>
      <c r="AB365" s="529"/>
      <c r="AC365" s="35"/>
      <c r="AD365" s="36"/>
      <c r="AE365" s="37"/>
      <c r="AF365" s="35"/>
      <c r="AG365" s="36"/>
      <c r="AH365" s="38"/>
    </row>
    <row r="366" spans="1:34" ht="15.75">
      <c r="A366" s="507"/>
      <c r="B366" s="508"/>
      <c r="C366" s="509"/>
      <c r="D366" s="545" t="s">
        <v>723</v>
      </c>
      <c r="E366" s="546"/>
      <c r="F366" s="546"/>
      <c r="G366" s="546"/>
      <c r="H366" s="546"/>
      <c r="I366" s="547"/>
      <c r="J366" s="47"/>
      <c r="K366" s="551">
        <v>0.15</v>
      </c>
      <c r="L366" s="552"/>
      <c r="M366" s="551"/>
      <c r="N366" s="552"/>
      <c r="O366" s="551">
        <v>0.3</v>
      </c>
      <c r="P366" s="552"/>
      <c r="Q366" s="551"/>
      <c r="R366" s="552"/>
      <c r="S366" s="551">
        <v>3.4</v>
      </c>
      <c r="T366" s="552"/>
      <c r="U366" s="551"/>
      <c r="V366" s="552"/>
      <c r="W366" s="548">
        <f t="shared" si="29"/>
        <v>4.4999999999999998E-2</v>
      </c>
      <c r="X366" s="549"/>
      <c r="Y366" s="550"/>
      <c r="Z366" s="527">
        <f t="shared" si="30"/>
        <v>0.153</v>
      </c>
      <c r="AA366" s="528"/>
      <c r="AB366" s="529"/>
      <c r="AC366" s="35"/>
      <c r="AD366" s="36"/>
      <c r="AE366" s="37"/>
      <c r="AF366" s="35"/>
      <c r="AG366" s="36"/>
      <c r="AH366" s="38"/>
    </row>
    <row r="367" spans="1:34" ht="15.75">
      <c r="A367" s="507"/>
      <c r="B367" s="508"/>
      <c r="C367" s="509"/>
      <c r="D367" s="545" t="s">
        <v>724</v>
      </c>
      <c r="E367" s="546"/>
      <c r="F367" s="546"/>
      <c r="G367" s="546"/>
      <c r="H367" s="546"/>
      <c r="I367" s="547"/>
      <c r="J367" s="47"/>
      <c r="K367" s="551">
        <v>0.15</v>
      </c>
      <c r="L367" s="552"/>
      <c r="M367" s="551"/>
      <c r="N367" s="552"/>
      <c r="O367" s="551">
        <v>0.3</v>
      </c>
      <c r="P367" s="552"/>
      <c r="Q367" s="551"/>
      <c r="R367" s="552"/>
      <c r="S367" s="551">
        <v>3.4</v>
      </c>
      <c r="T367" s="552"/>
      <c r="U367" s="551"/>
      <c r="V367" s="552"/>
      <c r="W367" s="548">
        <f t="shared" si="29"/>
        <v>4.4999999999999998E-2</v>
      </c>
      <c r="X367" s="549"/>
      <c r="Y367" s="550"/>
      <c r="Z367" s="527">
        <f t="shared" si="30"/>
        <v>0.153</v>
      </c>
      <c r="AA367" s="528"/>
      <c r="AB367" s="529"/>
      <c r="AC367" s="35"/>
      <c r="AD367" s="36"/>
      <c r="AE367" s="37"/>
      <c r="AF367" s="35"/>
      <c r="AG367" s="36"/>
      <c r="AH367" s="38"/>
    </row>
    <row r="368" spans="1:34" ht="15.75">
      <c r="A368" s="507"/>
      <c r="B368" s="508"/>
      <c r="C368" s="509"/>
      <c r="D368" s="545" t="s">
        <v>725</v>
      </c>
      <c r="E368" s="546"/>
      <c r="F368" s="546"/>
      <c r="G368" s="546"/>
      <c r="H368" s="546"/>
      <c r="I368" s="547"/>
      <c r="J368" s="47"/>
      <c r="K368" s="551">
        <v>0.15</v>
      </c>
      <c r="L368" s="552"/>
      <c r="M368" s="551"/>
      <c r="N368" s="552"/>
      <c r="O368" s="551">
        <v>0.3</v>
      </c>
      <c r="P368" s="552"/>
      <c r="Q368" s="551"/>
      <c r="R368" s="552"/>
      <c r="S368" s="551">
        <v>3.4</v>
      </c>
      <c r="T368" s="552"/>
      <c r="U368" s="551"/>
      <c r="V368" s="552"/>
      <c r="W368" s="548">
        <f t="shared" si="29"/>
        <v>4.4999999999999998E-2</v>
      </c>
      <c r="X368" s="549"/>
      <c r="Y368" s="550"/>
      <c r="Z368" s="527">
        <f t="shared" si="30"/>
        <v>0.153</v>
      </c>
      <c r="AA368" s="528"/>
      <c r="AB368" s="529"/>
      <c r="AC368" s="35"/>
      <c r="AD368" s="36"/>
      <c r="AE368" s="37"/>
      <c r="AF368" s="35"/>
      <c r="AG368" s="36"/>
      <c r="AH368" s="38"/>
    </row>
    <row r="369" spans="1:34" ht="15.75">
      <c r="A369" s="507"/>
      <c r="B369" s="508"/>
      <c r="C369" s="509"/>
      <c r="D369" s="545" t="s">
        <v>726</v>
      </c>
      <c r="E369" s="546"/>
      <c r="F369" s="546"/>
      <c r="G369" s="546"/>
      <c r="H369" s="546"/>
      <c r="I369" s="547"/>
      <c r="J369" s="47"/>
      <c r="K369" s="551">
        <v>0.2</v>
      </c>
      <c r="L369" s="552"/>
      <c r="M369" s="551"/>
      <c r="N369" s="552"/>
      <c r="O369" s="551">
        <v>0.3</v>
      </c>
      <c r="P369" s="552"/>
      <c r="Q369" s="551"/>
      <c r="R369" s="552"/>
      <c r="S369" s="551">
        <v>3.4</v>
      </c>
      <c r="T369" s="552"/>
      <c r="U369" s="551"/>
      <c r="V369" s="552"/>
      <c r="W369" s="548">
        <f t="shared" ref="W369:W397" si="31">K369*O369</f>
        <v>0.06</v>
      </c>
      <c r="X369" s="549"/>
      <c r="Y369" s="550"/>
      <c r="Z369" s="527">
        <f t="shared" si="30"/>
        <v>0.20399999999999999</v>
      </c>
      <c r="AA369" s="528"/>
      <c r="AB369" s="529"/>
      <c r="AC369" s="35"/>
      <c r="AD369" s="36"/>
      <c r="AE369" s="37"/>
      <c r="AF369" s="35"/>
      <c r="AG369" s="36"/>
      <c r="AH369" s="38"/>
    </row>
    <row r="370" spans="1:34" ht="15.75">
      <c r="A370" s="507"/>
      <c r="B370" s="508"/>
      <c r="C370" s="509"/>
      <c r="D370" s="545" t="s">
        <v>727</v>
      </c>
      <c r="E370" s="546"/>
      <c r="F370" s="546"/>
      <c r="G370" s="546"/>
      <c r="H370" s="546"/>
      <c r="I370" s="547"/>
      <c r="J370" s="47"/>
      <c r="K370" s="551">
        <v>0.2</v>
      </c>
      <c r="L370" s="552"/>
      <c r="M370" s="551"/>
      <c r="N370" s="552"/>
      <c r="O370" s="551">
        <v>0.3</v>
      </c>
      <c r="P370" s="552"/>
      <c r="Q370" s="551"/>
      <c r="R370" s="552"/>
      <c r="S370" s="551">
        <v>4.9000000000000004</v>
      </c>
      <c r="T370" s="552"/>
      <c r="U370" s="551"/>
      <c r="V370" s="552"/>
      <c r="W370" s="548">
        <f t="shared" si="31"/>
        <v>0.06</v>
      </c>
      <c r="X370" s="549"/>
      <c r="Y370" s="550"/>
      <c r="Z370" s="527">
        <f t="shared" ref="Z370:Z397" si="32">W370*S370</f>
        <v>0.29399999999999998</v>
      </c>
      <c r="AA370" s="528"/>
      <c r="AB370" s="529"/>
      <c r="AC370" s="35"/>
      <c r="AD370" s="36"/>
      <c r="AE370" s="37"/>
      <c r="AF370" s="35"/>
      <c r="AG370" s="36"/>
      <c r="AH370" s="38"/>
    </row>
    <row r="371" spans="1:34" ht="15.75">
      <c r="A371" s="507"/>
      <c r="B371" s="508"/>
      <c r="C371" s="509"/>
      <c r="D371" s="545" t="s">
        <v>728</v>
      </c>
      <c r="E371" s="546"/>
      <c r="F371" s="546"/>
      <c r="G371" s="546"/>
      <c r="H371" s="546"/>
      <c r="I371" s="547"/>
      <c r="J371" s="47"/>
      <c r="K371" s="551">
        <v>0.15</v>
      </c>
      <c r="L371" s="552"/>
      <c r="M371" s="551"/>
      <c r="N371" s="552"/>
      <c r="O371" s="551">
        <v>0.3</v>
      </c>
      <c r="P371" s="552"/>
      <c r="Q371" s="551"/>
      <c r="R371" s="552"/>
      <c r="S371" s="551">
        <v>4.9000000000000004</v>
      </c>
      <c r="T371" s="552"/>
      <c r="U371" s="551"/>
      <c r="V371" s="552"/>
      <c r="W371" s="548">
        <f t="shared" si="31"/>
        <v>4.4999999999999998E-2</v>
      </c>
      <c r="X371" s="549"/>
      <c r="Y371" s="550"/>
      <c r="Z371" s="527">
        <f t="shared" si="32"/>
        <v>0.2205</v>
      </c>
      <c r="AA371" s="528"/>
      <c r="AB371" s="529"/>
      <c r="AC371" s="35"/>
      <c r="AD371" s="36"/>
      <c r="AE371" s="37"/>
      <c r="AF371" s="35"/>
      <c r="AG371" s="36"/>
      <c r="AH371" s="38"/>
    </row>
    <row r="372" spans="1:34" ht="15.75">
      <c r="A372" s="507"/>
      <c r="B372" s="508"/>
      <c r="C372" s="509"/>
      <c r="D372" s="545" t="s">
        <v>729</v>
      </c>
      <c r="E372" s="546"/>
      <c r="F372" s="546"/>
      <c r="G372" s="546"/>
      <c r="H372" s="546"/>
      <c r="I372" s="547"/>
      <c r="J372" s="47"/>
      <c r="K372" s="551">
        <v>0.15</v>
      </c>
      <c r="L372" s="552"/>
      <c r="M372" s="551"/>
      <c r="N372" s="552"/>
      <c r="O372" s="551">
        <v>0.3</v>
      </c>
      <c r="P372" s="552"/>
      <c r="Q372" s="551"/>
      <c r="R372" s="552"/>
      <c r="S372" s="551">
        <v>4.9000000000000004</v>
      </c>
      <c r="T372" s="552"/>
      <c r="U372" s="551"/>
      <c r="V372" s="552"/>
      <c r="W372" s="548">
        <f t="shared" si="31"/>
        <v>4.4999999999999998E-2</v>
      </c>
      <c r="X372" s="549"/>
      <c r="Y372" s="550"/>
      <c r="Z372" s="527">
        <f t="shared" si="32"/>
        <v>0.2205</v>
      </c>
      <c r="AA372" s="528"/>
      <c r="AB372" s="529"/>
      <c r="AC372" s="35"/>
      <c r="AD372" s="36"/>
      <c r="AE372" s="37"/>
      <c r="AF372" s="35"/>
      <c r="AG372" s="36"/>
      <c r="AH372" s="38"/>
    </row>
    <row r="373" spans="1:34" ht="15.75">
      <c r="A373" s="507"/>
      <c r="B373" s="508"/>
      <c r="C373" s="509"/>
      <c r="D373" s="545" t="s">
        <v>730</v>
      </c>
      <c r="E373" s="546"/>
      <c r="F373" s="546"/>
      <c r="G373" s="546"/>
      <c r="H373" s="546"/>
      <c r="I373" s="547"/>
      <c r="J373" s="47"/>
      <c r="K373" s="551">
        <v>0.15</v>
      </c>
      <c r="L373" s="552"/>
      <c r="M373" s="551"/>
      <c r="N373" s="552"/>
      <c r="O373" s="551">
        <v>0.3</v>
      </c>
      <c r="P373" s="552"/>
      <c r="Q373" s="551"/>
      <c r="R373" s="552"/>
      <c r="S373" s="551">
        <v>3.4</v>
      </c>
      <c r="T373" s="552"/>
      <c r="U373" s="512"/>
      <c r="V373" s="509"/>
      <c r="W373" s="548">
        <f t="shared" si="31"/>
        <v>4.4999999999999998E-2</v>
      </c>
      <c r="X373" s="549"/>
      <c r="Y373" s="550"/>
      <c r="Z373" s="527">
        <f t="shared" si="32"/>
        <v>0.153</v>
      </c>
      <c r="AA373" s="528"/>
      <c r="AB373" s="529"/>
      <c r="AC373" s="35"/>
      <c r="AD373" s="36"/>
      <c r="AE373" s="37"/>
      <c r="AF373" s="35"/>
      <c r="AG373" s="36"/>
      <c r="AH373" s="38"/>
    </row>
    <row r="374" spans="1:34" ht="15.75">
      <c r="A374" s="507"/>
      <c r="B374" s="508"/>
      <c r="C374" s="509"/>
      <c r="D374" s="545" t="s">
        <v>731</v>
      </c>
      <c r="E374" s="546"/>
      <c r="F374" s="546"/>
      <c r="G374" s="546"/>
      <c r="H374" s="546"/>
      <c r="I374" s="547"/>
      <c r="J374" s="47"/>
      <c r="K374" s="551">
        <v>0.15</v>
      </c>
      <c r="L374" s="552"/>
      <c r="M374" s="551"/>
      <c r="N374" s="552"/>
      <c r="O374" s="551">
        <v>0.3</v>
      </c>
      <c r="P374" s="552"/>
      <c r="Q374" s="551"/>
      <c r="R374" s="552"/>
      <c r="S374" s="551">
        <v>3.4</v>
      </c>
      <c r="T374" s="552"/>
      <c r="U374" s="551"/>
      <c r="V374" s="552"/>
      <c r="W374" s="548">
        <f t="shared" si="31"/>
        <v>4.4999999999999998E-2</v>
      </c>
      <c r="X374" s="549"/>
      <c r="Y374" s="550"/>
      <c r="Z374" s="527">
        <f t="shared" si="32"/>
        <v>0.153</v>
      </c>
      <c r="AA374" s="528"/>
      <c r="AB374" s="529"/>
      <c r="AC374" s="35"/>
      <c r="AD374" s="36"/>
      <c r="AE374" s="37"/>
      <c r="AF374" s="35"/>
      <c r="AG374" s="36"/>
      <c r="AH374" s="38"/>
    </row>
    <row r="375" spans="1:34" ht="15.75">
      <c r="A375" s="507"/>
      <c r="B375" s="508"/>
      <c r="C375" s="509"/>
      <c r="D375" s="545" t="s">
        <v>732</v>
      </c>
      <c r="E375" s="546"/>
      <c r="F375" s="546"/>
      <c r="G375" s="546"/>
      <c r="H375" s="546"/>
      <c r="I375" s="547"/>
      <c r="J375" s="47"/>
      <c r="K375" s="551">
        <v>0.15</v>
      </c>
      <c r="L375" s="552"/>
      <c r="M375" s="551"/>
      <c r="N375" s="552"/>
      <c r="O375" s="551">
        <v>0.3</v>
      </c>
      <c r="P375" s="552"/>
      <c r="Q375" s="551"/>
      <c r="R375" s="552"/>
      <c r="S375" s="551">
        <v>4.9000000000000004</v>
      </c>
      <c r="T375" s="552"/>
      <c r="U375" s="551"/>
      <c r="V375" s="552"/>
      <c r="W375" s="548">
        <f t="shared" si="31"/>
        <v>4.4999999999999998E-2</v>
      </c>
      <c r="X375" s="549"/>
      <c r="Y375" s="550"/>
      <c r="Z375" s="527">
        <f t="shared" si="32"/>
        <v>0.2205</v>
      </c>
      <c r="AA375" s="528"/>
      <c r="AB375" s="529"/>
      <c r="AC375" s="35"/>
      <c r="AD375" s="36"/>
      <c r="AE375" s="37"/>
      <c r="AF375" s="35"/>
      <c r="AG375" s="36"/>
      <c r="AH375" s="38"/>
    </row>
    <row r="376" spans="1:34" ht="15.75">
      <c r="A376" s="507"/>
      <c r="B376" s="508"/>
      <c r="C376" s="509"/>
      <c r="D376" s="545" t="s">
        <v>733</v>
      </c>
      <c r="E376" s="546"/>
      <c r="F376" s="546"/>
      <c r="G376" s="546"/>
      <c r="H376" s="546"/>
      <c r="I376" s="547"/>
      <c r="J376" s="47"/>
      <c r="K376" s="551">
        <v>0.15</v>
      </c>
      <c r="L376" s="552"/>
      <c r="M376" s="551"/>
      <c r="N376" s="552"/>
      <c r="O376" s="551">
        <v>0.3</v>
      </c>
      <c r="P376" s="552"/>
      <c r="Q376" s="551"/>
      <c r="R376" s="552"/>
      <c r="S376" s="551">
        <v>4.9000000000000004</v>
      </c>
      <c r="T376" s="552"/>
      <c r="U376" s="551"/>
      <c r="V376" s="552"/>
      <c r="W376" s="548">
        <f t="shared" si="31"/>
        <v>4.4999999999999998E-2</v>
      </c>
      <c r="X376" s="549"/>
      <c r="Y376" s="550"/>
      <c r="Z376" s="527">
        <f t="shared" si="32"/>
        <v>0.2205</v>
      </c>
      <c r="AA376" s="528"/>
      <c r="AB376" s="529"/>
      <c r="AC376" s="35"/>
      <c r="AD376" s="36"/>
      <c r="AE376" s="37"/>
      <c r="AF376" s="35"/>
      <c r="AG376" s="36"/>
      <c r="AH376" s="38"/>
    </row>
    <row r="377" spans="1:34" ht="15.75">
      <c r="A377" s="507"/>
      <c r="B377" s="508"/>
      <c r="C377" s="509"/>
      <c r="D377" s="545" t="s">
        <v>734</v>
      </c>
      <c r="E377" s="546"/>
      <c r="F377" s="546"/>
      <c r="G377" s="546"/>
      <c r="H377" s="546"/>
      <c r="I377" s="547"/>
      <c r="J377" s="47"/>
      <c r="K377" s="551">
        <v>0.15</v>
      </c>
      <c r="L377" s="552"/>
      <c r="M377" s="551"/>
      <c r="N377" s="552"/>
      <c r="O377" s="551">
        <v>0.3</v>
      </c>
      <c r="P377" s="552"/>
      <c r="Q377" s="551"/>
      <c r="R377" s="552"/>
      <c r="S377" s="551">
        <v>3.4</v>
      </c>
      <c r="T377" s="552"/>
      <c r="U377" s="551"/>
      <c r="V377" s="552"/>
      <c r="W377" s="548">
        <f t="shared" si="31"/>
        <v>4.4999999999999998E-2</v>
      </c>
      <c r="X377" s="549"/>
      <c r="Y377" s="550"/>
      <c r="Z377" s="527">
        <f t="shared" si="32"/>
        <v>0.153</v>
      </c>
      <c r="AA377" s="528"/>
      <c r="AB377" s="529"/>
      <c r="AC377" s="35"/>
      <c r="AD377" s="36"/>
      <c r="AE377" s="37"/>
      <c r="AF377" s="35"/>
      <c r="AG377" s="36"/>
      <c r="AH377" s="38"/>
    </row>
    <row r="378" spans="1:34" ht="15.75">
      <c r="A378" s="507"/>
      <c r="B378" s="508"/>
      <c r="C378" s="509"/>
      <c r="D378" s="545" t="s">
        <v>735</v>
      </c>
      <c r="E378" s="546"/>
      <c r="F378" s="546"/>
      <c r="G378" s="546"/>
      <c r="H378" s="546"/>
      <c r="I378" s="547"/>
      <c r="J378" s="47"/>
      <c r="K378" s="551">
        <v>0.15</v>
      </c>
      <c r="L378" s="552"/>
      <c r="M378" s="551"/>
      <c r="N378" s="552"/>
      <c r="O378" s="551">
        <v>0.3</v>
      </c>
      <c r="P378" s="552"/>
      <c r="Q378" s="551"/>
      <c r="R378" s="552"/>
      <c r="S378" s="551">
        <v>3.4</v>
      </c>
      <c r="T378" s="552"/>
      <c r="U378" s="551"/>
      <c r="V378" s="552"/>
      <c r="W378" s="548">
        <f t="shared" si="31"/>
        <v>4.4999999999999998E-2</v>
      </c>
      <c r="X378" s="549"/>
      <c r="Y378" s="550"/>
      <c r="Z378" s="527">
        <f t="shared" si="32"/>
        <v>0.153</v>
      </c>
      <c r="AA378" s="528"/>
      <c r="AB378" s="529"/>
      <c r="AC378" s="35"/>
      <c r="AD378" s="36"/>
      <c r="AE378" s="37"/>
      <c r="AF378" s="35"/>
      <c r="AG378" s="36"/>
      <c r="AH378" s="38"/>
    </row>
    <row r="379" spans="1:34" ht="15.75">
      <c r="A379" s="507"/>
      <c r="B379" s="508"/>
      <c r="C379" s="509"/>
      <c r="D379" s="545" t="s">
        <v>736</v>
      </c>
      <c r="E379" s="546"/>
      <c r="F379" s="546"/>
      <c r="G379" s="546"/>
      <c r="H379" s="546"/>
      <c r="I379" s="547"/>
      <c r="J379" s="47"/>
      <c r="K379" s="551">
        <v>0.15</v>
      </c>
      <c r="L379" s="552"/>
      <c r="M379" s="551"/>
      <c r="N379" s="552"/>
      <c r="O379" s="551">
        <v>0.3</v>
      </c>
      <c r="P379" s="552"/>
      <c r="Q379" s="551"/>
      <c r="R379" s="552"/>
      <c r="S379" s="551">
        <v>3.4</v>
      </c>
      <c r="T379" s="552"/>
      <c r="U379" s="551"/>
      <c r="V379" s="552"/>
      <c r="W379" s="548">
        <f t="shared" si="31"/>
        <v>4.4999999999999998E-2</v>
      </c>
      <c r="X379" s="549"/>
      <c r="Y379" s="550"/>
      <c r="Z379" s="527">
        <f t="shared" si="32"/>
        <v>0.153</v>
      </c>
      <c r="AA379" s="528"/>
      <c r="AB379" s="529"/>
      <c r="AC379" s="35"/>
      <c r="AD379" s="36"/>
      <c r="AE379" s="37"/>
      <c r="AF379" s="35"/>
      <c r="AG379" s="36"/>
      <c r="AH379" s="38"/>
    </row>
    <row r="380" spans="1:34" ht="15.75">
      <c r="A380" s="507"/>
      <c r="B380" s="508"/>
      <c r="C380" s="509"/>
      <c r="D380" s="545" t="s">
        <v>737</v>
      </c>
      <c r="E380" s="546"/>
      <c r="F380" s="546"/>
      <c r="G380" s="546"/>
      <c r="H380" s="546"/>
      <c r="I380" s="547"/>
      <c r="J380" s="47"/>
      <c r="K380" s="551">
        <v>0.15</v>
      </c>
      <c r="L380" s="552"/>
      <c r="M380" s="551"/>
      <c r="N380" s="552"/>
      <c r="O380" s="551">
        <v>0.3</v>
      </c>
      <c r="P380" s="552"/>
      <c r="Q380" s="551"/>
      <c r="R380" s="552"/>
      <c r="S380" s="551">
        <v>3.4</v>
      </c>
      <c r="T380" s="552"/>
      <c r="U380" s="551"/>
      <c r="V380" s="552"/>
      <c r="W380" s="548">
        <f t="shared" si="31"/>
        <v>4.4999999999999998E-2</v>
      </c>
      <c r="X380" s="549"/>
      <c r="Y380" s="550"/>
      <c r="Z380" s="527">
        <f t="shared" si="32"/>
        <v>0.153</v>
      </c>
      <c r="AA380" s="528"/>
      <c r="AB380" s="529"/>
      <c r="AC380" s="35"/>
      <c r="AD380" s="36"/>
      <c r="AE380" s="37"/>
      <c r="AF380" s="35"/>
      <c r="AG380" s="36"/>
      <c r="AH380" s="38"/>
    </row>
    <row r="381" spans="1:34" ht="15.75">
      <c r="A381" s="507"/>
      <c r="B381" s="508"/>
      <c r="C381" s="509"/>
      <c r="D381" s="545" t="s">
        <v>738</v>
      </c>
      <c r="E381" s="546"/>
      <c r="F381" s="546"/>
      <c r="G381" s="546"/>
      <c r="H381" s="546"/>
      <c r="I381" s="547"/>
      <c r="J381" s="47"/>
      <c r="K381" s="551">
        <v>0.15</v>
      </c>
      <c r="L381" s="552"/>
      <c r="M381" s="551"/>
      <c r="N381" s="552"/>
      <c r="O381" s="551">
        <v>0.3</v>
      </c>
      <c r="P381" s="552"/>
      <c r="Q381" s="551"/>
      <c r="R381" s="552"/>
      <c r="S381" s="551">
        <v>3.4</v>
      </c>
      <c r="T381" s="552"/>
      <c r="U381" s="512"/>
      <c r="V381" s="509"/>
      <c r="W381" s="548">
        <f t="shared" si="31"/>
        <v>4.4999999999999998E-2</v>
      </c>
      <c r="X381" s="549"/>
      <c r="Y381" s="550"/>
      <c r="Z381" s="527">
        <f t="shared" si="32"/>
        <v>0.153</v>
      </c>
      <c r="AA381" s="528"/>
      <c r="AB381" s="529"/>
      <c r="AC381" s="35"/>
      <c r="AD381" s="36"/>
      <c r="AE381" s="37"/>
      <c r="AF381" s="35"/>
      <c r="AG381" s="36"/>
      <c r="AH381" s="38"/>
    </row>
    <row r="382" spans="1:34" ht="15.75">
      <c r="A382" s="507"/>
      <c r="B382" s="508"/>
      <c r="C382" s="509"/>
      <c r="D382" s="545" t="s">
        <v>739</v>
      </c>
      <c r="E382" s="546"/>
      <c r="F382" s="546"/>
      <c r="G382" s="546"/>
      <c r="H382" s="546"/>
      <c r="I382" s="547"/>
      <c r="J382" s="47"/>
      <c r="K382" s="551">
        <v>0.15</v>
      </c>
      <c r="L382" s="552"/>
      <c r="M382" s="551"/>
      <c r="N382" s="552"/>
      <c r="O382" s="551">
        <v>0.3</v>
      </c>
      <c r="P382" s="552"/>
      <c r="Q382" s="551"/>
      <c r="R382" s="552"/>
      <c r="S382" s="551">
        <v>4.9000000000000004</v>
      </c>
      <c r="T382" s="552"/>
      <c r="U382" s="551"/>
      <c r="V382" s="552"/>
      <c r="W382" s="548">
        <f t="shared" si="31"/>
        <v>4.4999999999999998E-2</v>
      </c>
      <c r="X382" s="549"/>
      <c r="Y382" s="550"/>
      <c r="Z382" s="527">
        <f t="shared" si="32"/>
        <v>0.2205</v>
      </c>
      <c r="AA382" s="528"/>
      <c r="AB382" s="529"/>
      <c r="AC382" s="35"/>
      <c r="AD382" s="36"/>
      <c r="AE382" s="37"/>
      <c r="AF382" s="35"/>
      <c r="AG382" s="36"/>
      <c r="AH382" s="38"/>
    </row>
    <row r="383" spans="1:34" ht="15.75">
      <c r="A383" s="507"/>
      <c r="B383" s="508"/>
      <c r="C383" s="509"/>
      <c r="D383" s="545" t="s">
        <v>740</v>
      </c>
      <c r="E383" s="546"/>
      <c r="F383" s="546"/>
      <c r="G383" s="546"/>
      <c r="H383" s="546"/>
      <c r="I383" s="547"/>
      <c r="J383" s="47"/>
      <c r="K383" s="551">
        <v>0.15</v>
      </c>
      <c r="L383" s="552"/>
      <c r="M383" s="551"/>
      <c r="N383" s="552"/>
      <c r="O383" s="551">
        <v>0.3</v>
      </c>
      <c r="P383" s="552"/>
      <c r="Q383" s="551"/>
      <c r="R383" s="552"/>
      <c r="S383" s="551">
        <v>3.4</v>
      </c>
      <c r="T383" s="552"/>
      <c r="U383" s="551"/>
      <c r="V383" s="552"/>
      <c r="W383" s="548">
        <f t="shared" si="31"/>
        <v>4.4999999999999998E-2</v>
      </c>
      <c r="X383" s="549"/>
      <c r="Y383" s="550"/>
      <c r="Z383" s="527">
        <f t="shared" si="32"/>
        <v>0.153</v>
      </c>
      <c r="AA383" s="528"/>
      <c r="AB383" s="529"/>
      <c r="AC383" s="35"/>
      <c r="AD383" s="36"/>
      <c r="AE383" s="37"/>
      <c r="AF383" s="35"/>
      <c r="AG383" s="36"/>
      <c r="AH383" s="38"/>
    </row>
    <row r="384" spans="1:34" ht="15.75">
      <c r="A384" s="507"/>
      <c r="B384" s="508"/>
      <c r="C384" s="509"/>
      <c r="D384" s="545" t="s">
        <v>741</v>
      </c>
      <c r="E384" s="546"/>
      <c r="F384" s="546"/>
      <c r="G384" s="546"/>
      <c r="H384" s="546"/>
      <c r="I384" s="547"/>
      <c r="J384" s="47"/>
      <c r="K384" s="551">
        <v>0.15</v>
      </c>
      <c r="L384" s="552"/>
      <c r="M384" s="551"/>
      <c r="N384" s="552"/>
      <c r="O384" s="551">
        <v>0.3</v>
      </c>
      <c r="P384" s="552"/>
      <c r="Q384" s="551"/>
      <c r="R384" s="552"/>
      <c r="S384" s="551">
        <v>3.4</v>
      </c>
      <c r="T384" s="552"/>
      <c r="U384" s="551"/>
      <c r="V384" s="552"/>
      <c r="W384" s="548">
        <f t="shared" si="31"/>
        <v>4.4999999999999998E-2</v>
      </c>
      <c r="X384" s="549"/>
      <c r="Y384" s="550"/>
      <c r="Z384" s="527">
        <f t="shared" si="32"/>
        <v>0.153</v>
      </c>
      <c r="AA384" s="528"/>
      <c r="AB384" s="529"/>
      <c r="AC384" s="35"/>
      <c r="AD384" s="36"/>
      <c r="AE384" s="37"/>
      <c r="AF384" s="35"/>
      <c r="AG384" s="36"/>
      <c r="AH384" s="38"/>
    </row>
    <row r="385" spans="1:35" ht="15.75">
      <c r="A385" s="507"/>
      <c r="B385" s="508"/>
      <c r="C385" s="509"/>
      <c r="D385" s="545" t="s">
        <v>742</v>
      </c>
      <c r="E385" s="546"/>
      <c r="F385" s="546"/>
      <c r="G385" s="546"/>
      <c r="H385" s="546"/>
      <c r="I385" s="547"/>
      <c r="J385" s="47"/>
      <c r="K385" s="551">
        <v>0.15</v>
      </c>
      <c r="L385" s="552"/>
      <c r="M385" s="551"/>
      <c r="N385" s="552"/>
      <c r="O385" s="551">
        <v>0.3</v>
      </c>
      <c r="P385" s="552"/>
      <c r="Q385" s="551"/>
      <c r="R385" s="552"/>
      <c r="S385" s="551">
        <v>3.4</v>
      </c>
      <c r="T385" s="552"/>
      <c r="U385" s="551"/>
      <c r="V385" s="552"/>
      <c r="W385" s="548">
        <f t="shared" si="31"/>
        <v>4.4999999999999998E-2</v>
      </c>
      <c r="X385" s="549"/>
      <c r="Y385" s="550"/>
      <c r="Z385" s="527">
        <f t="shared" si="32"/>
        <v>0.153</v>
      </c>
      <c r="AA385" s="528"/>
      <c r="AB385" s="529"/>
      <c r="AC385" s="35"/>
      <c r="AD385" s="36"/>
      <c r="AE385" s="37"/>
      <c r="AF385" s="35"/>
      <c r="AG385" s="36"/>
      <c r="AH385" s="38"/>
    </row>
    <row r="386" spans="1:35" ht="15.75">
      <c r="A386" s="507"/>
      <c r="B386" s="508"/>
      <c r="C386" s="509"/>
      <c r="D386" s="545" t="s">
        <v>743</v>
      </c>
      <c r="E386" s="546"/>
      <c r="F386" s="546"/>
      <c r="G386" s="546"/>
      <c r="H386" s="546"/>
      <c r="I386" s="547"/>
      <c r="J386" s="47"/>
      <c r="K386" s="551">
        <v>0.15</v>
      </c>
      <c r="L386" s="552"/>
      <c r="M386" s="551"/>
      <c r="N386" s="552"/>
      <c r="O386" s="551">
        <v>0.3</v>
      </c>
      <c r="P386" s="552"/>
      <c r="Q386" s="551"/>
      <c r="R386" s="552"/>
      <c r="S386" s="551">
        <v>4.9000000000000004</v>
      </c>
      <c r="T386" s="552"/>
      <c r="U386" s="551"/>
      <c r="V386" s="552"/>
      <c r="W386" s="548">
        <f t="shared" si="31"/>
        <v>4.4999999999999998E-2</v>
      </c>
      <c r="X386" s="549"/>
      <c r="Y386" s="550"/>
      <c r="Z386" s="527">
        <f t="shared" si="32"/>
        <v>0.2205</v>
      </c>
      <c r="AA386" s="528"/>
      <c r="AB386" s="529"/>
      <c r="AC386" s="35"/>
      <c r="AD386" s="36"/>
      <c r="AE386" s="37"/>
      <c r="AF386" s="35"/>
      <c r="AG386" s="36"/>
      <c r="AH386" s="38"/>
    </row>
    <row r="387" spans="1:35" ht="15.75">
      <c r="A387" s="507"/>
      <c r="B387" s="508"/>
      <c r="C387" s="509"/>
      <c r="D387" s="545" t="s">
        <v>744</v>
      </c>
      <c r="E387" s="546"/>
      <c r="F387" s="546"/>
      <c r="G387" s="546"/>
      <c r="H387" s="546"/>
      <c r="I387" s="547"/>
      <c r="J387" s="47"/>
      <c r="K387" s="551">
        <v>0.15</v>
      </c>
      <c r="L387" s="552"/>
      <c r="M387" s="551"/>
      <c r="N387" s="552"/>
      <c r="O387" s="551">
        <v>0.3</v>
      </c>
      <c r="P387" s="552"/>
      <c r="Q387" s="551"/>
      <c r="R387" s="552"/>
      <c r="S387" s="551">
        <v>4.9000000000000004</v>
      </c>
      <c r="T387" s="552"/>
      <c r="U387" s="551"/>
      <c r="V387" s="552"/>
      <c r="W387" s="548">
        <f t="shared" si="31"/>
        <v>4.4999999999999998E-2</v>
      </c>
      <c r="X387" s="549"/>
      <c r="Y387" s="550"/>
      <c r="Z387" s="527">
        <f t="shared" si="32"/>
        <v>0.2205</v>
      </c>
      <c r="AA387" s="528"/>
      <c r="AB387" s="529"/>
      <c r="AC387" s="35"/>
      <c r="AD387" s="36"/>
      <c r="AE387" s="37"/>
      <c r="AF387" s="35"/>
      <c r="AG387" s="36"/>
      <c r="AH387" s="38"/>
    </row>
    <row r="388" spans="1:35" ht="15.75">
      <c r="A388" s="507"/>
      <c r="B388" s="508"/>
      <c r="C388" s="509"/>
      <c r="D388" s="545" t="s">
        <v>745</v>
      </c>
      <c r="E388" s="546"/>
      <c r="F388" s="546"/>
      <c r="G388" s="546"/>
      <c r="H388" s="546"/>
      <c r="I388" s="547"/>
      <c r="J388" s="47"/>
      <c r="K388" s="551">
        <v>0.15</v>
      </c>
      <c r="L388" s="552"/>
      <c r="M388" s="551"/>
      <c r="N388" s="552"/>
      <c r="O388" s="551">
        <v>0.3</v>
      </c>
      <c r="P388" s="552"/>
      <c r="Q388" s="551"/>
      <c r="R388" s="552"/>
      <c r="S388" s="551">
        <v>4.9000000000000004</v>
      </c>
      <c r="T388" s="552"/>
      <c r="U388" s="551"/>
      <c r="V388" s="552"/>
      <c r="W388" s="548">
        <f t="shared" si="31"/>
        <v>4.4999999999999998E-2</v>
      </c>
      <c r="X388" s="549"/>
      <c r="Y388" s="550"/>
      <c r="Z388" s="527">
        <f t="shared" si="32"/>
        <v>0.2205</v>
      </c>
      <c r="AA388" s="528"/>
      <c r="AB388" s="529"/>
      <c r="AC388" s="35"/>
      <c r="AD388" s="36"/>
      <c r="AE388" s="37"/>
      <c r="AF388" s="35"/>
      <c r="AG388" s="36"/>
      <c r="AH388" s="38"/>
    </row>
    <row r="389" spans="1:35" ht="15.75">
      <c r="A389" s="507"/>
      <c r="B389" s="508"/>
      <c r="C389" s="509"/>
      <c r="D389" s="545" t="s">
        <v>746</v>
      </c>
      <c r="E389" s="546"/>
      <c r="F389" s="546"/>
      <c r="G389" s="546"/>
      <c r="H389" s="546"/>
      <c r="I389" s="547"/>
      <c r="J389" s="47"/>
      <c r="K389" s="551">
        <v>0.15</v>
      </c>
      <c r="L389" s="552"/>
      <c r="M389" s="551"/>
      <c r="N389" s="552"/>
      <c r="O389" s="551">
        <v>0.3</v>
      </c>
      <c r="P389" s="552"/>
      <c r="Q389" s="551"/>
      <c r="R389" s="552"/>
      <c r="S389" s="551">
        <v>4.9000000000000004</v>
      </c>
      <c r="T389" s="552"/>
      <c r="U389" s="512"/>
      <c r="V389" s="509"/>
      <c r="W389" s="548">
        <f t="shared" si="31"/>
        <v>4.4999999999999998E-2</v>
      </c>
      <c r="X389" s="549"/>
      <c r="Y389" s="550"/>
      <c r="Z389" s="527">
        <f t="shared" si="32"/>
        <v>0.2205</v>
      </c>
      <c r="AA389" s="528"/>
      <c r="AB389" s="529"/>
      <c r="AC389" s="35"/>
      <c r="AD389" s="36"/>
      <c r="AE389" s="37"/>
      <c r="AF389" s="35"/>
      <c r="AG389" s="36"/>
      <c r="AH389" s="38"/>
    </row>
    <row r="390" spans="1:35" ht="15.75">
      <c r="A390" s="507"/>
      <c r="B390" s="508"/>
      <c r="C390" s="509"/>
      <c r="D390" s="545" t="s">
        <v>747</v>
      </c>
      <c r="E390" s="546"/>
      <c r="F390" s="546"/>
      <c r="G390" s="546"/>
      <c r="H390" s="546"/>
      <c r="I390" s="547"/>
      <c r="J390" s="47"/>
      <c r="K390" s="551">
        <v>0.15</v>
      </c>
      <c r="L390" s="552"/>
      <c r="M390" s="551"/>
      <c r="N390" s="552"/>
      <c r="O390" s="551">
        <v>0.3</v>
      </c>
      <c r="P390" s="552"/>
      <c r="Q390" s="551"/>
      <c r="R390" s="552"/>
      <c r="S390" s="551">
        <v>4.9000000000000004</v>
      </c>
      <c r="T390" s="552"/>
      <c r="U390" s="551"/>
      <c r="V390" s="552"/>
      <c r="W390" s="548">
        <f t="shared" si="31"/>
        <v>4.4999999999999998E-2</v>
      </c>
      <c r="X390" s="549"/>
      <c r="Y390" s="550"/>
      <c r="Z390" s="527">
        <f t="shared" si="32"/>
        <v>0.2205</v>
      </c>
      <c r="AA390" s="528"/>
      <c r="AB390" s="529"/>
      <c r="AC390" s="35"/>
      <c r="AD390" s="36"/>
      <c r="AE390" s="37"/>
      <c r="AF390" s="35"/>
      <c r="AG390" s="36"/>
      <c r="AH390" s="38"/>
    </row>
    <row r="391" spans="1:35" ht="15.75">
      <c r="A391" s="507"/>
      <c r="B391" s="508"/>
      <c r="C391" s="509"/>
      <c r="D391" s="545" t="s">
        <v>748</v>
      </c>
      <c r="E391" s="546"/>
      <c r="F391" s="546"/>
      <c r="G391" s="546"/>
      <c r="H391" s="546"/>
      <c r="I391" s="547"/>
      <c r="J391" s="47"/>
      <c r="K391" s="551">
        <v>0.15</v>
      </c>
      <c r="L391" s="552"/>
      <c r="M391" s="551"/>
      <c r="N391" s="552"/>
      <c r="O391" s="551">
        <v>0.3</v>
      </c>
      <c r="P391" s="552"/>
      <c r="Q391" s="551"/>
      <c r="R391" s="552"/>
      <c r="S391" s="551">
        <v>4.9000000000000004</v>
      </c>
      <c r="T391" s="552"/>
      <c r="U391" s="551"/>
      <c r="V391" s="552"/>
      <c r="W391" s="548">
        <f t="shared" si="31"/>
        <v>4.4999999999999998E-2</v>
      </c>
      <c r="X391" s="549"/>
      <c r="Y391" s="550"/>
      <c r="Z391" s="527">
        <f t="shared" si="32"/>
        <v>0.2205</v>
      </c>
      <c r="AA391" s="528"/>
      <c r="AB391" s="529"/>
      <c r="AC391" s="35"/>
      <c r="AD391" s="36"/>
      <c r="AE391" s="37"/>
      <c r="AF391" s="35"/>
      <c r="AG391" s="36"/>
      <c r="AH391" s="38"/>
    </row>
    <row r="392" spans="1:35" ht="15.75">
      <c r="A392" s="507"/>
      <c r="B392" s="508"/>
      <c r="C392" s="509"/>
      <c r="D392" s="545" t="s">
        <v>749</v>
      </c>
      <c r="E392" s="546"/>
      <c r="F392" s="546"/>
      <c r="G392" s="546"/>
      <c r="H392" s="546"/>
      <c r="I392" s="547"/>
      <c r="J392" s="47"/>
      <c r="K392" s="551">
        <v>0.2</v>
      </c>
      <c r="L392" s="552"/>
      <c r="M392" s="551"/>
      <c r="N392" s="552"/>
      <c r="O392" s="551">
        <v>0.3</v>
      </c>
      <c r="P392" s="552"/>
      <c r="Q392" s="551"/>
      <c r="R392" s="552"/>
      <c r="S392" s="551">
        <v>4.9000000000000004</v>
      </c>
      <c r="T392" s="552"/>
      <c r="U392" s="551"/>
      <c r="V392" s="552"/>
      <c r="W392" s="548">
        <f t="shared" si="31"/>
        <v>0.06</v>
      </c>
      <c r="X392" s="549"/>
      <c r="Y392" s="550"/>
      <c r="Z392" s="527">
        <f t="shared" si="32"/>
        <v>0.29399999999999998</v>
      </c>
      <c r="AA392" s="528"/>
      <c r="AB392" s="529"/>
      <c r="AC392" s="35"/>
      <c r="AD392" s="36"/>
      <c r="AE392" s="37"/>
      <c r="AF392" s="35"/>
      <c r="AG392" s="36"/>
      <c r="AH392" s="38"/>
    </row>
    <row r="393" spans="1:35" ht="15.75">
      <c r="A393" s="507"/>
      <c r="B393" s="508"/>
      <c r="C393" s="509"/>
      <c r="D393" s="545" t="s">
        <v>750</v>
      </c>
      <c r="E393" s="546"/>
      <c r="F393" s="546"/>
      <c r="G393" s="546"/>
      <c r="H393" s="546"/>
      <c r="I393" s="547"/>
      <c r="J393" s="47"/>
      <c r="K393" s="551">
        <v>0.2</v>
      </c>
      <c r="L393" s="552"/>
      <c r="M393" s="551"/>
      <c r="N393" s="552"/>
      <c r="O393" s="551">
        <v>0.3</v>
      </c>
      <c r="P393" s="552"/>
      <c r="Q393" s="551"/>
      <c r="R393" s="552"/>
      <c r="S393" s="551">
        <v>4.9000000000000004</v>
      </c>
      <c r="T393" s="552"/>
      <c r="U393" s="551"/>
      <c r="V393" s="552"/>
      <c r="W393" s="548">
        <f t="shared" si="31"/>
        <v>0.06</v>
      </c>
      <c r="X393" s="549"/>
      <c r="Y393" s="550"/>
      <c r="Z393" s="527">
        <f t="shared" si="32"/>
        <v>0.29399999999999998</v>
      </c>
      <c r="AA393" s="528"/>
      <c r="AB393" s="529"/>
      <c r="AC393" s="35"/>
      <c r="AD393" s="36"/>
      <c r="AE393" s="37"/>
      <c r="AF393" s="35"/>
      <c r="AG393" s="36"/>
      <c r="AH393" s="38"/>
    </row>
    <row r="394" spans="1:35" ht="15.75">
      <c r="A394" s="507"/>
      <c r="B394" s="508"/>
      <c r="C394" s="509"/>
      <c r="D394" s="545" t="s">
        <v>751</v>
      </c>
      <c r="E394" s="546"/>
      <c r="F394" s="546"/>
      <c r="G394" s="546"/>
      <c r="H394" s="546"/>
      <c r="I394" s="547"/>
      <c r="J394" s="47"/>
      <c r="K394" s="551">
        <v>0.15</v>
      </c>
      <c r="L394" s="552"/>
      <c r="M394" s="551"/>
      <c r="N394" s="552"/>
      <c r="O394" s="551">
        <v>0.3</v>
      </c>
      <c r="P394" s="552"/>
      <c r="Q394" s="551"/>
      <c r="R394" s="552"/>
      <c r="S394" s="551">
        <v>4.9000000000000004</v>
      </c>
      <c r="T394" s="552"/>
      <c r="U394" s="551"/>
      <c r="V394" s="552"/>
      <c r="W394" s="548">
        <f t="shared" si="31"/>
        <v>4.4999999999999998E-2</v>
      </c>
      <c r="X394" s="549"/>
      <c r="Y394" s="550"/>
      <c r="Z394" s="527">
        <f t="shared" si="32"/>
        <v>0.2205</v>
      </c>
      <c r="AA394" s="528"/>
      <c r="AB394" s="529"/>
      <c r="AC394" s="35"/>
      <c r="AD394" s="36"/>
      <c r="AE394" s="37"/>
      <c r="AF394" s="35"/>
      <c r="AG394" s="36"/>
      <c r="AH394" s="38"/>
    </row>
    <row r="395" spans="1:35" ht="15.75">
      <c r="A395" s="507"/>
      <c r="B395" s="508"/>
      <c r="C395" s="509"/>
      <c r="D395" s="545" t="s">
        <v>752</v>
      </c>
      <c r="E395" s="546"/>
      <c r="F395" s="546"/>
      <c r="G395" s="546"/>
      <c r="H395" s="546"/>
      <c r="I395" s="547"/>
      <c r="J395" s="47"/>
      <c r="K395" s="551">
        <v>0.15</v>
      </c>
      <c r="L395" s="552"/>
      <c r="M395" s="551"/>
      <c r="N395" s="552"/>
      <c r="O395" s="551">
        <v>0.3</v>
      </c>
      <c r="P395" s="552"/>
      <c r="Q395" s="551"/>
      <c r="R395" s="552"/>
      <c r="S395" s="551">
        <v>4.9000000000000004</v>
      </c>
      <c r="T395" s="552"/>
      <c r="U395" s="551"/>
      <c r="V395" s="552"/>
      <c r="W395" s="548">
        <f t="shared" si="31"/>
        <v>4.4999999999999998E-2</v>
      </c>
      <c r="X395" s="549"/>
      <c r="Y395" s="550"/>
      <c r="Z395" s="527">
        <f t="shared" si="32"/>
        <v>0.2205</v>
      </c>
      <c r="AA395" s="528"/>
      <c r="AB395" s="529"/>
      <c r="AC395" s="35"/>
      <c r="AD395" s="36"/>
      <c r="AE395" s="37"/>
      <c r="AF395" s="35"/>
      <c r="AG395" s="36"/>
      <c r="AH395" s="38"/>
    </row>
    <row r="396" spans="1:35" ht="15.75">
      <c r="A396" s="507"/>
      <c r="B396" s="508"/>
      <c r="C396" s="509"/>
      <c r="D396" s="545" t="s">
        <v>753</v>
      </c>
      <c r="E396" s="546"/>
      <c r="F396" s="546"/>
      <c r="G396" s="546"/>
      <c r="H396" s="546"/>
      <c r="I396" s="547"/>
      <c r="J396" s="47"/>
      <c r="K396" s="551">
        <v>0.15</v>
      </c>
      <c r="L396" s="552"/>
      <c r="M396" s="551"/>
      <c r="N396" s="552"/>
      <c r="O396" s="551">
        <v>0.3</v>
      </c>
      <c r="P396" s="552"/>
      <c r="Q396" s="551"/>
      <c r="R396" s="552"/>
      <c r="S396" s="551">
        <v>4.9000000000000004</v>
      </c>
      <c r="T396" s="552"/>
      <c r="U396" s="551"/>
      <c r="V396" s="552"/>
      <c r="W396" s="548">
        <f t="shared" si="31"/>
        <v>4.4999999999999998E-2</v>
      </c>
      <c r="X396" s="549"/>
      <c r="Y396" s="550"/>
      <c r="Z396" s="527">
        <f t="shared" si="32"/>
        <v>0.2205</v>
      </c>
      <c r="AA396" s="528"/>
      <c r="AB396" s="529"/>
      <c r="AC396" s="35"/>
      <c r="AD396" s="36"/>
      <c r="AE396" s="37"/>
      <c r="AF396" s="35"/>
      <c r="AG396" s="36"/>
      <c r="AH396" s="38"/>
    </row>
    <row r="397" spans="1:35" ht="15.75">
      <c r="A397" s="507"/>
      <c r="B397" s="508"/>
      <c r="C397" s="509"/>
      <c r="D397" s="545" t="s">
        <v>754</v>
      </c>
      <c r="E397" s="546"/>
      <c r="F397" s="546"/>
      <c r="G397" s="546"/>
      <c r="H397" s="546"/>
      <c r="I397" s="547"/>
      <c r="J397" s="47"/>
      <c r="K397" s="551">
        <v>0.15</v>
      </c>
      <c r="L397" s="552"/>
      <c r="M397" s="551"/>
      <c r="N397" s="552"/>
      <c r="O397" s="551">
        <v>0.3</v>
      </c>
      <c r="P397" s="552"/>
      <c r="Q397" s="551"/>
      <c r="R397" s="552"/>
      <c r="S397" s="551">
        <v>4.9000000000000004</v>
      </c>
      <c r="T397" s="552"/>
      <c r="U397" s="512"/>
      <c r="V397" s="509"/>
      <c r="W397" s="548">
        <f t="shared" si="31"/>
        <v>4.4999999999999998E-2</v>
      </c>
      <c r="X397" s="549"/>
      <c r="Y397" s="550"/>
      <c r="Z397" s="527">
        <f t="shared" si="32"/>
        <v>0.2205</v>
      </c>
      <c r="AA397" s="528"/>
      <c r="AB397" s="529"/>
      <c r="AC397" s="35"/>
      <c r="AD397" s="36"/>
      <c r="AE397" s="37"/>
      <c r="AF397" s="35"/>
      <c r="AG397" s="36"/>
      <c r="AH397" s="38"/>
    </row>
    <row r="398" spans="1:35" ht="15.75">
      <c r="A398" s="519" t="str">
        <f>'MEMORIA BM 03'!A39</f>
        <v>5.7</v>
      </c>
      <c r="B398" s="520"/>
      <c r="C398" s="521"/>
      <c r="D398" s="553" t="str">
        <f>'MEMORIA BM 03'!B39</f>
        <v>LANÇAMENTO COM USO DE BOMBA, ADENSAMENTO E ACABAMENTO DE CONCRETO EM ESTRUTURAS. AF_12/2015</v>
      </c>
      <c r="E398" s="554"/>
      <c r="F398" s="554"/>
      <c r="G398" s="554"/>
      <c r="H398" s="554"/>
      <c r="I398" s="554"/>
      <c r="J398" s="554"/>
      <c r="K398" s="554"/>
      <c r="L398" s="554"/>
      <c r="M398" s="554"/>
      <c r="N398" s="554"/>
      <c r="O398" s="554"/>
      <c r="P398" s="554"/>
      <c r="Q398" s="554"/>
      <c r="R398" s="554"/>
      <c r="S398" s="554"/>
      <c r="T398" s="554"/>
      <c r="U398" s="554"/>
      <c r="V398" s="554"/>
      <c r="W398" s="554"/>
      <c r="X398" s="554"/>
      <c r="Y398" s="554"/>
      <c r="Z398" s="554"/>
      <c r="AA398" s="554"/>
      <c r="AB398" s="555"/>
      <c r="AC398" s="525">
        <f>SUM(Z399:AB491)</f>
        <v>18.993500000000022</v>
      </c>
      <c r="AD398" s="520"/>
      <c r="AE398" s="521"/>
      <c r="AF398" s="525" t="str">
        <f>'MEMORIA BM 03'!C39</f>
        <v>M3</v>
      </c>
      <c r="AG398" s="520"/>
      <c r="AH398" s="526"/>
      <c r="AI398">
        <v>18.989999999999998</v>
      </c>
    </row>
    <row r="399" spans="1:35" ht="15.75">
      <c r="A399" s="507"/>
      <c r="B399" s="508"/>
      <c r="C399" s="509"/>
      <c r="D399" s="543" t="s">
        <v>662</v>
      </c>
      <c r="E399" s="544"/>
      <c r="F399" s="544"/>
      <c r="G399" s="544"/>
      <c r="H399" s="544"/>
      <c r="I399" s="544"/>
      <c r="J399" s="47"/>
      <c r="K399" s="551">
        <v>0.15</v>
      </c>
      <c r="L399" s="552"/>
      <c r="M399" s="551"/>
      <c r="N399" s="552"/>
      <c r="O399" s="551">
        <v>0.3</v>
      </c>
      <c r="P399" s="552"/>
      <c r="Q399" s="551"/>
      <c r="R399" s="552"/>
      <c r="S399" s="551">
        <f t="shared" ref="S399:S406" si="33">3.4+1.5</f>
        <v>4.9000000000000004</v>
      </c>
      <c r="T399" s="552"/>
      <c r="U399" s="551"/>
      <c r="V399" s="552"/>
      <c r="W399" s="527">
        <f>K399*O399</f>
        <v>4.4999999999999998E-2</v>
      </c>
      <c r="X399" s="528"/>
      <c r="Y399" s="529"/>
      <c r="Z399" s="527">
        <f>W399*S399</f>
        <v>0.2205</v>
      </c>
      <c r="AA399" s="528"/>
      <c r="AB399" s="529"/>
      <c r="AC399" s="35"/>
      <c r="AD399" s="36"/>
      <c r="AE399" s="37"/>
      <c r="AF399" s="35"/>
      <c r="AG399" s="36"/>
      <c r="AH399" s="38"/>
    </row>
    <row r="400" spans="1:35" ht="15.75">
      <c r="A400" s="507"/>
      <c r="B400" s="508"/>
      <c r="C400" s="509"/>
      <c r="D400" s="543" t="s">
        <v>663</v>
      </c>
      <c r="E400" s="544"/>
      <c r="F400" s="544"/>
      <c r="G400" s="544"/>
      <c r="H400" s="544"/>
      <c r="I400" s="544"/>
      <c r="J400" s="47"/>
      <c r="K400" s="551">
        <v>0.2</v>
      </c>
      <c r="L400" s="552"/>
      <c r="M400" s="551"/>
      <c r="N400" s="552"/>
      <c r="O400" s="551">
        <v>0.3</v>
      </c>
      <c r="P400" s="552"/>
      <c r="Q400" s="551"/>
      <c r="R400" s="552"/>
      <c r="S400" s="551">
        <f t="shared" si="33"/>
        <v>4.9000000000000004</v>
      </c>
      <c r="T400" s="552"/>
      <c r="U400" s="551"/>
      <c r="V400" s="552"/>
      <c r="W400" s="548">
        <f t="shared" ref="W400:W463" si="34">K400*O400</f>
        <v>0.06</v>
      </c>
      <c r="X400" s="549"/>
      <c r="Y400" s="550"/>
      <c r="Z400" s="527">
        <f t="shared" ref="Z400:Z463" si="35">W400*S400</f>
        <v>0.29399999999999998</v>
      </c>
      <c r="AA400" s="528"/>
      <c r="AB400" s="529"/>
      <c r="AC400" s="35"/>
      <c r="AD400" s="36"/>
      <c r="AE400" s="37"/>
      <c r="AF400" s="35"/>
      <c r="AG400" s="36"/>
      <c r="AH400" s="38"/>
    </row>
    <row r="401" spans="1:34" ht="15.75">
      <c r="A401" s="507"/>
      <c r="B401" s="508"/>
      <c r="C401" s="509"/>
      <c r="D401" s="543" t="s">
        <v>664</v>
      </c>
      <c r="E401" s="544"/>
      <c r="F401" s="544"/>
      <c r="G401" s="544"/>
      <c r="H401" s="544"/>
      <c r="I401" s="544"/>
      <c r="J401" s="47"/>
      <c r="K401" s="551">
        <v>0.2</v>
      </c>
      <c r="L401" s="552"/>
      <c r="M401" s="551"/>
      <c r="N401" s="552"/>
      <c r="O401" s="551">
        <v>0.3</v>
      </c>
      <c r="P401" s="552"/>
      <c r="Q401" s="551"/>
      <c r="R401" s="552"/>
      <c r="S401" s="551">
        <f t="shared" si="33"/>
        <v>4.9000000000000004</v>
      </c>
      <c r="T401" s="552"/>
      <c r="U401" s="551"/>
      <c r="V401" s="552"/>
      <c r="W401" s="548">
        <f t="shared" si="34"/>
        <v>0.06</v>
      </c>
      <c r="X401" s="549"/>
      <c r="Y401" s="550"/>
      <c r="Z401" s="527">
        <f t="shared" si="35"/>
        <v>0.29399999999999998</v>
      </c>
      <c r="AA401" s="528"/>
      <c r="AB401" s="529"/>
      <c r="AC401" s="35"/>
      <c r="AD401" s="36"/>
      <c r="AE401" s="37"/>
      <c r="AF401" s="35"/>
      <c r="AG401" s="36"/>
      <c r="AH401" s="38"/>
    </row>
    <row r="402" spans="1:34" ht="15.75">
      <c r="A402" s="507"/>
      <c r="B402" s="508"/>
      <c r="C402" s="509"/>
      <c r="D402" s="543" t="s">
        <v>665</v>
      </c>
      <c r="E402" s="544"/>
      <c r="F402" s="544"/>
      <c r="G402" s="544"/>
      <c r="H402" s="544"/>
      <c r="I402" s="544"/>
      <c r="J402" s="47"/>
      <c r="K402" s="551">
        <v>0.2</v>
      </c>
      <c r="L402" s="552"/>
      <c r="M402" s="551"/>
      <c r="N402" s="552"/>
      <c r="O402" s="551">
        <v>0.3</v>
      </c>
      <c r="P402" s="552"/>
      <c r="Q402" s="551"/>
      <c r="R402" s="552"/>
      <c r="S402" s="551">
        <f t="shared" si="33"/>
        <v>4.9000000000000004</v>
      </c>
      <c r="T402" s="552"/>
      <c r="U402" s="551"/>
      <c r="V402" s="552"/>
      <c r="W402" s="548">
        <f t="shared" si="34"/>
        <v>0.06</v>
      </c>
      <c r="X402" s="549"/>
      <c r="Y402" s="550"/>
      <c r="Z402" s="527">
        <f t="shared" si="35"/>
        <v>0.29399999999999998</v>
      </c>
      <c r="AA402" s="528"/>
      <c r="AB402" s="529"/>
      <c r="AC402" s="35"/>
      <c r="AD402" s="36"/>
      <c r="AE402" s="37"/>
      <c r="AF402" s="35"/>
      <c r="AG402" s="36"/>
      <c r="AH402" s="38"/>
    </row>
    <row r="403" spans="1:34" ht="15.75">
      <c r="A403" s="507"/>
      <c r="B403" s="508"/>
      <c r="C403" s="509"/>
      <c r="D403" s="543" t="s">
        <v>666</v>
      </c>
      <c r="E403" s="544"/>
      <c r="F403" s="544"/>
      <c r="G403" s="544"/>
      <c r="H403" s="544"/>
      <c r="I403" s="544"/>
      <c r="J403" s="47"/>
      <c r="K403" s="551">
        <v>0.15</v>
      </c>
      <c r="L403" s="552"/>
      <c r="M403" s="551"/>
      <c r="N403" s="552"/>
      <c r="O403" s="551">
        <v>0.3</v>
      </c>
      <c r="P403" s="552"/>
      <c r="Q403" s="551"/>
      <c r="R403" s="552"/>
      <c r="S403" s="551">
        <f t="shared" si="33"/>
        <v>4.9000000000000004</v>
      </c>
      <c r="T403" s="552"/>
      <c r="U403" s="512"/>
      <c r="V403" s="509"/>
      <c r="W403" s="548">
        <f t="shared" si="34"/>
        <v>4.4999999999999998E-2</v>
      </c>
      <c r="X403" s="549"/>
      <c r="Y403" s="550"/>
      <c r="Z403" s="527">
        <f t="shared" si="35"/>
        <v>0.2205</v>
      </c>
      <c r="AA403" s="528"/>
      <c r="AB403" s="529"/>
      <c r="AC403" s="35"/>
      <c r="AD403" s="36"/>
      <c r="AE403" s="37"/>
      <c r="AF403" s="35"/>
      <c r="AG403" s="36"/>
      <c r="AH403" s="38"/>
    </row>
    <row r="404" spans="1:34" ht="15.75">
      <c r="A404" s="507"/>
      <c r="B404" s="508"/>
      <c r="C404" s="509"/>
      <c r="D404" s="543" t="s">
        <v>667</v>
      </c>
      <c r="E404" s="544"/>
      <c r="F404" s="544"/>
      <c r="G404" s="544"/>
      <c r="H404" s="544"/>
      <c r="I404" s="544"/>
      <c r="J404" s="47"/>
      <c r="K404" s="551">
        <v>0.15</v>
      </c>
      <c r="L404" s="552"/>
      <c r="M404" s="551"/>
      <c r="N404" s="552"/>
      <c r="O404" s="551">
        <v>0.3</v>
      </c>
      <c r="P404" s="552"/>
      <c r="Q404" s="551"/>
      <c r="R404" s="552"/>
      <c r="S404" s="551">
        <f t="shared" si="33"/>
        <v>4.9000000000000004</v>
      </c>
      <c r="T404" s="552"/>
      <c r="U404" s="551"/>
      <c r="V404" s="552"/>
      <c r="W404" s="548">
        <f t="shared" si="34"/>
        <v>4.4999999999999998E-2</v>
      </c>
      <c r="X404" s="549"/>
      <c r="Y404" s="550"/>
      <c r="Z404" s="527">
        <f t="shared" si="35"/>
        <v>0.2205</v>
      </c>
      <c r="AA404" s="528"/>
      <c r="AB404" s="529"/>
      <c r="AC404" s="35"/>
      <c r="AD404" s="36"/>
      <c r="AE404" s="37"/>
      <c r="AF404" s="35"/>
      <c r="AG404" s="36"/>
      <c r="AH404" s="38"/>
    </row>
    <row r="405" spans="1:34" ht="15.75">
      <c r="A405" s="507"/>
      <c r="B405" s="508"/>
      <c r="C405" s="509"/>
      <c r="D405" s="543" t="s">
        <v>668</v>
      </c>
      <c r="E405" s="544"/>
      <c r="F405" s="544"/>
      <c r="G405" s="544"/>
      <c r="H405" s="544"/>
      <c r="I405" s="544"/>
      <c r="J405" s="47"/>
      <c r="K405" s="551">
        <v>0.15</v>
      </c>
      <c r="L405" s="552"/>
      <c r="M405" s="551"/>
      <c r="N405" s="552"/>
      <c r="O405" s="551">
        <v>0.3</v>
      </c>
      <c r="P405" s="552"/>
      <c r="Q405" s="551"/>
      <c r="R405" s="552"/>
      <c r="S405" s="551">
        <f t="shared" si="33"/>
        <v>4.9000000000000004</v>
      </c>
      <c r="T405" s="552"/>
      <c r="U405" s="551"/>
      <c r="V405" s="552"/>
      <c r="W405" s="548">
        <f t="shared" si="34"/>
        <v>4.4999999999999998E-2</v>
      </c>
      <c r="X405" s="549"/>
      <c r="Y405" s="550"/>
      <c r="Z405" s="527">
        <f t="shared" si="35"/>
        <v>0.2205</v>
      </c>
      <c r="AA405" s="528"/>
      <c r="AB405" s="529"/>
      <c r="AC405" s="35"/>
      <c r="AD405" s="36"/>
      <c r="AE405" s="37"/>
      <c r="AF405" s="35"/>
      <c r="AG405" s="36"/>
      <c r="AH405" s="38"/>
    </row>
    <row r="406" spans="1:34" ht="15.75">
      <c r="A406" s="507"/>
      <c r="B406" s="508"/>
      <c r="C406" s="509"/>
      <c r="D406" s="543" t="s">
        <v>669</v>
      </c>
      <c r="E406" s="544"/>
      <c r="F406" s="544"/>
      <c r="G406" s="544"/>
      <c r="H406" s="544"/>
      <c r="I406" s="544"/>
      <c r="J406" s="47"/>
      <c r="K406" s="551">
        <v>0.15</v>
      </c>
      <c r="L406" s="552"/>
      <c r="M406" s="551"/>
      <c r="N406" s="552"/>
      <c r="O406" s="551">
        <v>0.3</v>
      </c>
      <c r="P406" s="552"/>
      <c r="Q406" s="551"/>
      <c r="R406" s="552"/>
      <c r="S406" s="551">
        <f t="shared" si="33"/>
        <v>4.9000000000000004</v>
      </c>
      <c r="T406" s="552"/>
      <c r="U406" s="551"/>
      <c r="V406" s="552"/>
      <c r="W406" s="548">
        <f t="shared" si="34"/>
        <v>4.4999999999999998E-2</v>
      </c>
      <c r="X406" s="549"/>
      <c r="Y406" s="550"/>
      <c r="Z406" s="527">
        <f t="shared" si="35"/>
        <v>0.2205</v>
      </c>
      <c r="AA406" s="528"/>
      <c r="AB406" s="529"/>
      <c r="AC406" s="35"/>
      <c r="AD406" s="36"/>
      <c r="AE406" s="37"/>
      <c r="AF406" s="35"/>
      <c r="AG406" s="36"/>
      <c r="AH406" s="38"/>
    </row>
    <row r="407" spans="1:34" ht="15.75">
      <c r="A407" s="507"/>
      <c r="B407" s="508"/>
      <c r="C407" s="509"/>
      <c r="D407" s="543" t="s">
        <v>670</v>
      </c>
      <c r="E407" s="544"/>
      <c r="F407" s="544"/>
      <c r="G407" s="544"/>
      <c r="H407" s="544"/>
      <c r="I407" s="544"/>
      <c r="J407" s="47"/>
      <c r="K407" s="551">
        <v>0.15</v>
      </c>
      <c r="L407" s="552"/>
      <c r="M407" s="551"/>
      <c r="N407" s="552"/>
      <c r="O407" s="551">
        <v>0.3</v>
      </c>
      <c r="P407" s="552"/>
      <c r="Q407" s="551"/>
      <c r="R407" s="552"/>
      <c r="S407" s="551">
        <v>3.4</v>
      </c>
      <c r="T407" s="552"/>
      <c r="U407" s="551"/>
      <c r="V407" s="552"/>
      <c r="W407" s="548">
        <f t="shared" si="34"/>
        <v>4.4999999999999998E-2</v>
      </c>
      <c r="X407" s="549"/>
      <c r="Y407" s="550"/>
      <c r="Z407" s="527">
        <f t="shared" si="35"/>
        <v>0.153</v>
      </c>
      <c r="AA407" s="528"/>
      <c r="AB407" s="529"/>
      <c r="AC407" s="35"/>
      <c r="AD407" s="36"/>
      <c r="AE407" s="37"/>
      <c r="AF407" s="35"/>
      <c r="AG407" s="36"/>
      <c r="AH407" s="38"/>
    </row>
    <row r="408" spans="1:34" ht="15.75">
      <c r="A408" s="507"/>
      <c r="B408" s="508"/>
      <c r="C408" s="509"/>
      <c r="D408" s="543" t="s">
        <v>671</v>
      </c>
      <c r="E408" s="544"/>
      <c r="F408" s="544"/>
      <c r="G408" s="544"/>
      <c r="H408" s="544"/>
      <c r="I408" s="544"/>
      <c r="J408" s="47"/>
      <c r="K408" s="551">
        <v>0.15</v>
      </c>
      <c r="L408" s="552"/>
      <c r="M408" s="551"/>
      <c r="N408" s="552"/>
      <c r="O408" s="551">
        <v>0.3</v>
      </c>
      <c r="P408" s="552"/>
      <c r="Q408" s="551"/>
      <c r="R408" s="552"/>
      <c r="S408" s="551">
        <v>4.9000000000000004</v>
      </c>
      <c r="T408" s="552"/>
      <c r="U408" s="551"/>
      <c r="V408" s="552"/>
      <c r="W408" s="548">
        <f t="shared" si="34"/>
        <v>4.4999999999999998E-2</v>
      </c>
      <c r="X408" s="549"/>
      <c r="Y408" s="550"/>
      <c r="Z408" s="527">
        <f t="shared" si="35"/>
        <v>0.2205</v>
      </c>
      <c r="AA408" s="528"/>
      <c r="AB408" s="529"/>
      <c r="AC408" s="35"/>
      <c r="AD408" s="36"/>
      <c r="AE408" s="37"/>
      <c r="AF408" s="35"/>
      <c r="AG408" s="36"/>
      <c r="AH408" s="38"/>
    </row>
    <row r="409" spans="1:34" ht="15.75">
      <c r="A409" s="507"/>
      <c r="B409" s="508"/>
      <c r="C409" s="509"/>
      <c r="D409" s="543" t="s">
        <v>672</v>
      </c>
      <c r="E409" s="544"/>
      <c r="F409" s="544"/>
      <c r="G409" s="544"/>
      <c r="H409" s="544"/>
      <c r="I409" s="544"/>
      <c r="J409" s="47"/>
      <c r="K409" s="551">
        <v>0.15</v>
      </c>
      <c r="L409" s="552"/>
      <c r="M409" s="551"/>
      <c r="N409" s="552"/>
      <c r="O409" s="551">
        <v>0.3</v>
      </c>
      <c r="P409" s="552"/>
      <c r="Q409" s="551"/>
      <c r="R409" s="552"/>
      <c r="S409" s="551">
        <v>4.9000000000000004</v>
      </c>
      <c r="T409" s="552"/>
      <c r="U409" s="551"/>
      <c r="V409" s="552"/>
      <c r="W409" s="548">
        <f t="shared" si="34"/>
        <v>4.4999999999999998E-2</v>
      </c>
      <c r="X409" s="549"/>
      <c r="Y409" s="550"/>
      <c r="Z409" s="527">
        <f t="shared" si="35"/>
        <v>0.2205</v>
      </c>
      <c r="AA409" s="528"/>
      <c r="AB409" s="529"/>
      <c r="AC409" s="35"/>
      <c r="AD409" s="36"/>
      <c r="AE409" s="37"/>
      <c r="AF409" s="35"/>
      <c r="AG409" s="36"/>
      <c r="AH409" s="38"/>
    </row>
    <row r="410" spans="1:34" ht="15.75">
      <c r="A410" s="507"/>
      <c r="B410" s="508"/>
      <c r="C410" s="509"/>
      <c r="D410" s="543" t="s">
        <v>673</v>
      </c>
      <c r="E410" s="544"/>
      <c r="F410" s="544"/>
      <c r="G410" s="544"/>
      <c r="H410" s="544"/>
      <c r="I410" s="544"/>
      <c r="J410" s="47"/>
      <c r="K410" s="551">
        <v>0.15</v>
      </c>
      <c r="L410" s="552"/>
      <c r="M410" s="551"/>
      <c r="N410" s="552"/>
      <c r="O410" s="551">
        <v>0.3</v>
      </c>
      <c r="P410" s="552"/>
      <c r="Q410" s="551"/>
      <c r="R410" s="552"/>
      <c r="S410" s="551">
        <v>3.4</v>
      </c>
      <c r="T410" s="552"/>
      <c r="U410" s="551"/>
      <c r="V410" s="552"/>
      <c r="W410" s="548">
        <f t="shared" si="34"/>
        <v>4.4999999999999998E-2</v>
      </c>
      <c r="X410" s="549"/>
      <c r="Y410" s="550"/>
      <c r="Z410" s="527">
        <f t="shared" si="35"/>
        <v>0.153</v>
      </c>
      <c r="AA410" s="528"/>
      <c r="AB410" s="529"/>
      <c r="AC410" s="35"/>
      <c r="AD410" s="36"/>
      <c r="AE410" s="37"/>
      <c r="AF410" s="35"/>
      <c r="AG410" s="36"/>
      <c r="AH410" s="38"/>
    </row>
    <row r="411" spans="1:34" ht="15.75">
      <c r="A411" s="507"/>
      <c r="B411" s="508"/>
      <c r="C411" s="509"/>
      <c r="D411" s="543" t="s">
        <v>674</v>
      </c>
      <c r="E411" s="544"/>
      <c r="F411" s="544"/>
      <c r="G411" s="544"/>
      <c r="H411" s="544"/>
      <c r="I411" s="544"/>
      <c r="J411" s="47"/>
      <c r="K411" s="512">
        <v>0.2</v>
      </c>
      <c r="L411" s="509"/>
      <c r="M411" s="512"/>
      <c r="N411" s="509"/>
      <c r="O411" s="551">
        <v>0.3</v>
      </c>
      <c r="P411" s="552"/>
      <c r="Q411" s="512"/>
      <c r="R411" s="509"/>
      <c r="S411" s="512">
        <v>3.4</v>
      </c>
      <c r="T411" s="509"/>
      <c r="U411" s="512"/>
      <c r="V411" s="509"/>
      <c r="W411" s="548">
        <f t="shared" si="34"/>
        <v>0.06</v>
      </c>
      <c r="X411" s="549"/>
      <c r="Y411" s="550"/>
      <c r="Z411" s="527">
        <f t="shared" si="35"/>
        <v>0.20399999999999999</v>
      </c>
      <c r="AA411" s="528"/>
      <c r="AB411" s="529"/>
      <c r="AC411" s="35"/>
      <c r="AD411" s="36"/>
      <c r="AE411" s="37"/>
      <c r="AF411" s="35"/>
      <c r="AG411" s="36"/>
      <c r="AH411" s="38"/>
    </row>
    <row r="412" spans="1:34" ht="15.75">
      <c r="A412" s="507"/>
      <c r="B412" s="508"/>
      <c r="C412" s="509"/>
      <c r="D412" s="545" t="s">
        <v>675</v>
      </c>
      <c r="E412" s="546"/>
      <c r="F412" s="546"/>
      <c r="G412" s="546"/>
      <c r="H412" s="546"/>
      <c r="I412" s="547"/>
      <c r="J412" s="47"/>
      <c r="K412" s="551">
        <v>0.15</v>
      </c>
      <c r="L412" s="552"/>
      <c r="M412" s="551"/>
      <c r="N412" s="552"/>
      <c r="O412" s="551">
        <v>0.3</v>
      </c>
      <c r="P412" s="552"/>
      <c r="Q412" s="551"/>
      <c r="R412" s="552"/>
      <c r="S412" s="551">
        <v>3.4</v>
      </c>
      <c r="T412" s="552"/>
      <c r="U412" s="551"/>
      <c r="V412" s="552"/>
      <c r="W412" s="548">
        <f t="shared" si="34"/>
        <v>4.4999999999999998E-2</v>
      </c>
      <c r="X412" s="549"/>
      <c r="Y412" s="550"/>
      <c r="Z412" s="527">
        <f t="shared" si="35"/>
        <v>0.153</v>
      </c>
      <c r="AA412" s="528"/>
      <c r="AB412" s="529"/>
      <c r="AC412" s="35"/>
      <c r="AD412" s="36"/>
      <c r="AE412" s="37"/>
      <c r="AF412" s="35"/>
      <c r="AG412" s="36"/>
      <c r="AH412" s="38"/>
    </row>
    <row r="413" spans="1:34" ht="15.75">
      <c r="A413" s="507"/>
      <c r="B413" s="508"/>
      <c r="C413" s="509"/>
      <c r="D413" s="545" t="s">
        <v>677</v>
      </c>
      <c r="E413" s="546"/>
      <c r="F413" s="546"/>
      <c r="G413" s="546"/>
      <c r="H413" s="546"/>
      <c r="I413" s="547"/>
      <c r="J413" s="47"/>
      <c r="K413" s="551">
        <v>0.15</v>
      </c>
      <c r="L413" s="552"/>
      <c r="M413" s="551"/>
      <c r="N413" s="552"/>
      <c r="O413" s="551">
        <v>0.3</v>
      </c>
      <c r="P413" s="552"/>
      <c r="Q413" s="551"/>
      <c r="R413" s="552"/>
      <c r="S413" s="551">
        <v>3.4</v>
      </c>
      <c r="T413" s="552"/>
      <c r="U413" s="551"/>
      <c r="V413" s="552"/>
      <c r="W413" s="548">
        <f t="shared" si="34"/>
        <v>4.4999999999999998E-2</v>
      </c>
      <c r="X413" s="549"/>
      <c r="Y413" s="550"/>
      <c r="Z413" s="527">
        <f t="shared" si="35"/>
        <v>0.153</v>
      </c>
      <c r="AA413" s="528"/>
      <c r="AB413" s="529"/>
      <c r="AC413" s="35"/>
      <c r="AD413" s="36"/>
      <c r="AE413" s="37"/>
      <c r="AF413" s="35"/>
      <c r="AG413" s="36"/>
      <c r="AH413" s="38"/>
    </row>
    <row r="414" spans="1:34" ht="15.75">
      <c r="A414" s="507"/>
      <c r="B414" s="508"/>
      <c r="C414" s="509"/>
      <c r="D414" s="545" t="s">
        <v>678</v>
      </c>
      <c r="E414" s="546"/>
      <c r="F414" s="546"/>
      <c r="G414" s="546"/>
      <c r="H414" s="546"/>
      <c r="I414" s="547"/>
      <c r="J414" s="47"/>
      <c r="K414" s="551">
        <v>0.15</v>
      </c>
      <c r="L414" s="552"/>
      <c r="M414" s="551"/>
      <c r="N414" s="552"/>
      <c r="O414" s="551">
        <v>0.3</v>
      </c>
      <c r="P414" s="552"/>
      <c r="Q414" s="551"/>
      <c r="R414" s="552"/>
      <c r="S414" s="551">
        <v>4.9000000000000004</v>
      </c>
      <c r="T414" s="552"/>
      <c r="U414" s="551"/>
      <c r="V414" s="552"/>
      <c r="W414" s="548">
        <f t="shared" si="34"/>
        <v>4.4999999999999998E-2</v>
      </c>
      <c r="X414" s="549"/>
      <c r="Y414" s="550"/>
      <c r="Z414" s="527">
        <f t="shared" si="35"/>
        <v>0.2205</v>
      </c>
      <c r="AA414" s="528"/>
      <c r="AB414" s="529"/>
      <c r="AC414" s="35"/>
      <c r="AD414" s="36"/>
      <c r="AE414" s="37"/>
      <c r="AF414" s="35"/>
      <c r="AG414" s="36"/>
      <c r="AH414" s="38"/>
    </row>
    <row r="415" spans="1:34" ht="15.75">
      <c r="A415" s="507"/>
      <c r="B415" s="508"/>
      <c r="C415" s="509"/>
      <c r="D415" s="545" t="s">
        <v>679</v>
      </c>
      <c r="E415" s="546"/>
      <c r="F415" s="546"/>
      <c r="G415" s="546"/>
      <c r="H415" s="546"/>
      <c r="I415" s="547"/>
      <c r="J415" s="47"/>
      <c r="K415" s="551">
        <v>0.15</v>
      </c>
      <c r="L415" s="552"/>
      <c r="M415" s="551"/>
      <c r="N415" s="552"/>
      <c r="O415" s="551">
        <v>0.3</v>
      </c>
      <c r="P415" s="552"/>
      <c r="Q415" s="551"/>
      <c r="R415" s="552"/>
      <c r="S415" s="551">
        <v>3.4</v>
      </c>
      <c r="T415" s="552"/>
      <c r="U415" s="551"/>
      <c r="V415" s="552"/>
      <c r="W415" s="548">
        <f t="shared" si="34"/>
        <v>4.4999999999999998E-2</v>
      </c>
      <c r="X415" s="549"/>
      <c r="Y415" s="550"/>
      <c r="Z415" s="527">
        <f t="shared" si="35"/>
        <v>0.153</v>
      </c>
      <c r="AA415" s="528"/>
      <c r="AB415" s="529"/>
      <c r="AC415" s="35"/>
      <c r="AD415" s="36"/>
      <c r="AE415" s="37"/>
      <c r="AF415" s="35"/>
      <c r="AG415" s="36"/>
      <c r="AH415" s="38"/>
    </row>
    <row r="416" spans="1:34" ht="15.75">
      <c r="A416" s="507"/>
      <c r="B416" s="508"/>
      <c r="C416" s="509"/>
      <c r="D416" s="545" t="s">
        <v>680</v>
      </c>
      <c r="E416" s="546"/>
      <c r="F416" s="546"/>
      <c r="G416" s="546"/>
      <c r="H416" s="546"/>
      <c r="I416" s="547"/>
      <c r="J416" s="47"/>
      <c r="K416" s="551">
        <v>0.15</v>
      </c>
      <c r="L416" s="552"/>
      <c r="M416" s="551"/>
      <c r="N416" s="552"/>
      <c r="O416" s="551">
        <v>0.3</v>
      </c>
      <c r="P416" s="552"/>
      <c r="Q416" s="551"/>
      <c r="R416" s="552"/>
      <c r="S416" s="551">
        <v>4.9000000000000004</v>
      </c>
      <c r="T416" s="552"/>
      <c r="U416" s="551"/>
      <c r="V416" s="552"/>
      <c r="W416" s="548">
        <f t="shared" si="34"/>
        <v>4.4999999999999998E-2</v>
      </c>
      <c r="X416" s="549"/>
      <c r="Y416" s="550"/>
      <c r="Z416" s="527">
        <f t="shared" si="35"/>
        <v>0.2205</v>
      </c>
      <c r="AA416" s="528"/>
      <c r="AB416" s="529"/>
      <c r="AC416" s="35"/>
      <c r="AD416" s="36"/>
      <c r="AE416" s="37"/>
      <c r="AF416" s="35"/>
      <c r="AG416" s="36"/>
      <c r="AH416" s="38"/>
    </row>
    <row r="417" spans="1:34" ht="15.75">
      <c r="A417" s="507"/>
      <c r="B417" s="508"/>
      <c r="C417" s="509"/>
      <c r="D417" s="545" t="s">
        <v>676</v>
      </c>
      <c r="E417" s="546"/>
      <c r="F417" s="546"/>
      <c r="G417" s="546"/>
      <c r="H417" s="546"/>
      <c r="I417" s="547"/>
      <c r="J417" s="47"/>
      <c r="K417" s="551">
        <v>0.15</v>
      </c>
      <c r="L417" s="552"/>
      <c r="M417" s="551"/>
      <c r="N417" s="552"/>
      <c r="O417" s="551">
        <v>0.3</v>
      </c>
      <c r="P417" s="552"/>
      <c r="Q417" s="551"/>
      <c r="R417" s="552"/>
      <c r="S417" s="551">
        <v>3.4</v>
      </c>
      <c r="T417" s="552"/>
      <c r="U417" s="551"/>
      <c r="V417" s="552"/>
      <c r="W417" s="548">
        <f t="shared" si="34"/>
        <v>4.4999999999999998E-2</v>
      </c>
      <c r="X417" s="549"/>
      <c r="Y417" s="550"/>
      <c r="Z417" s="527">
        <f t="shared" si="35"/>
        <v>0.153</v>
      </c>
      <c r="AA417" s="528"/>
      <c r="AB417" s="529"/>
      <c r="AC417" s="35"/>
      <c r="AD417" s="36"/>
      <c r="AE417" s="37"/>
      <c r="AF417" s="35"/>
      <c r="AG417" s="36"/>
      <c r="AH417" s="38"/>
    </row>
    <row r="418" spans="1:34" ht="15.75">
      <c r="A418" s="507"/>
      <c r="B418" s="508"/>
      <c r="C418" s="509"/>
      <c r="D418" s="545" t="s">
        <v>681</v>
      </c>
      <c r="E418" s="546"/>
      <c r="F418" s="546"/>
      <c r="G418" s="546"/>
      <c r="H418" s="546"/>
      <c r="I418" s="547"/>
      <c r="J418" s="47"/>
      <c r="K418" s="551">
        <v>0.15</v>
      </c>
      <c r="L418" s="552"/>
      <c r="M418" s="551"/>
      <c r="N418" s="552"/>
      <c r="O418" s="551">
        <v>0.3</v>
      </c>
      <c r="P418" s="552"/>
      <c r="Q418" s="551"/>
      <c r="R418" s="552"/>
      <c r="S418" s="551">
        <v>4.9000000000000004</v>
      </c>
      <c r="T418" s="552"/>
      <c r="U418" s="551"/>
      <c r="V418" s="552"/>
      <c r="W418" s="548">
        <f t="shared" si="34"/>
        <v>4.4999999999999998E-2</v>
      </c>
      <c r="X418" s="549"/>
      <c r="Y418" s="550"/>
      <c r="Z418" s="527">
        <f t="shared" si="35"/>
        <v>0.2205</v>
      </c>
      <c r="AA418" s="528"/>
      <c r="AB418" s="529"/>
      <c r="AC418" s="35"/>
      <c r="AD418" s="36"/>
      <c r="AE418" s="37"/>
      <c r="AF418" s="35"/>
      <c r="AG418" s="36"/>
      <c r="AH418" s="38"/>
    </row>
    <row r="419" spans="1:34" ht="15.75">
      <c r="A419" s="507"/>
      <c r="B419" s="508"/>
      <c r="C419" s="509"/>
      <c r="D419" s="545" t="s">
        <v>682</v>
      </c>
      <c r="E419" s="546"/>
      <c r="F419" s="546"/>
      <c r="G419" s="546"/>
      <c r="H419" s="546"/>
      <c r="I419" s="547"/>
      <c r="J419" s="47"/>
      <c r="K419" s="512">
        <v>0.15</v>
      </c>
      <c r="L419" s="509"/>
      <c r="M419" s="512"/>
      <c r="N419" s="509"/>
      <c r="O419" s="551">
        <v>0.4</v>
      </c>
      <c r="P419" s="552"/>
      <c r="Q419" s="512"/>
      <c r="R419" s="509"/>
      <c r="S419" s="512">
        <v>4.9000000000000004</v>
      </c>
      <c r="T419" s="509"/>
      <c r="U419" s="512"/>
      <c r="V419" s="509"/>
      <c r="W419" s="548">
        <f t="shared" si="34"/>
        <v>0.06</v>
      </c>
      <c r="X419" s="549"/>
      <c r="Y419" s="550"/>
      <c r="Z419" s="527">
        <f t="shared" si="35"/>
        <v>0.29399999999999998</v>
      </c>
      <c r="AA419" s="528"/>
      <c r="AB419" s="529"/>
      <c r="AC419" s="35"/>
      <c r="AD419" s="36"/>
      <c r="AE419" s="37"/>
      <c r="AF419" s="35"/>
      <c r="AG419" s="36"/>
      <c r="AH419" s="38"/>
    </row>
    <row r="420" spans="1:34" ht="15.75">
      <c r="A420" s="507"/>
      <c r="B420" s="508"/>
      <c r="C420" s="509"/>
      <c r="D420" s="545" t="s">
        <v>683</v>
      </c>
      <c r="E420" s="546"/>
      <c r="F420" s="546"/>
      <c r="G420" s="546"/>
      <c r="H420" s="546"/>
      <c r="I420" s="547"/>
      <c r="J420" s="47"/>
      <c r="K420" s="551">
        <v>0.2</v>
      </c>
      <c r="L420" s="552"/>
      <c r="M420" s="551"/>
      <c r="N420" s="552"/>
      <c r="O420" s="551">
        <v>0.4</v>
      </c>
      <c r="P420" s="552"/>
      <c r="Q420" s="551"/>
      <c r="R420" s="552"/>
      <c r="S420" s="551">
        <v>3.4</v>
      </c>
      <c r="T420" s="552"/>
      <c r="U420" s="551"/>
      <c r="V420" s="552"/>
      <c r="W420" s="548">
        <f t="shared" si="34"/>
        <v>8.0000000000000016E-2</v>
      </c>
      <c r="X420" s="549"/>
      <c r="Y420" s="550"/>
      <c r="Z420" s="527">
        <f t="shared" si="35"/>
        <v>0.27200000000000002</v>
      </c>
      <c r="AA420" s="528"/>
      <c r="AB420" s="529"/>
      <c r="AC420" s="35"/>
      <c r="AD420" s="36"/>
      <c r="AE420" s="37"/>
      <c r="AF420" s="35"/>
      <c r="AG420" s="36"/>
      <c r="AH420" s="38"/>
    </row>
    <row r="421" spans="1:34" ht="15.75">
      <c r="A421" s="507"/>
      <c r="B421" s="508"/>
      <c r="C421" s="509"/>
      <c r="D421" s="545" t="s">
        <v>684</v>
      </c>
      <c r="E421" s="546"/>
      <c r="F421" s="546"/>
      <c r="G421" s="546"/>
      <c r="H421" s="546"/>
      <c r="I421" s="547"/>
      <c r="J421" s="47"/>
      <c r="K421" s="551">
        <v>0.15</v>
      </c>
      <c r="L421" s="552"/>
      <c r="M421" s="551"/>
      <c r="N421" s="552"/>
      <c r="O421" s="551">
        <v>0.3</v>
      </c>
      <c r="P421" s="552"/>
      <c r="Q421" s="551"/>
      <c r="R421" s="552"/>
      <c r="S421" s="551">
        <v>4.9000000000000004</v>
      </c>
      <c r="T421" s="552"/>
      <c r="U421" s="551"/>
      <c r="V421" s="552"/>
      <c r="W421" s="548">
        <f t="shared" si="34"/>
        <v>4.4999999999999998E-2</v>
      </c>
      <c r="X421" s="549"/>
      <c r="Y421" s="550"/>
      <c r="Z421" s="527">
        <f t="shared" si="35"/>
        <v>0.2205</v>
      </c>
      <c r="AA421" s="528"/>
      <c r="AB421" s="529"/>
      <c r="AC421" s="35"/>
      <c r="AD421" s="36"/>
      <c r="AE421" s="37"/>
      <c r="AF421" s="35"/>
      <c r="AG421" s="36"/>
      <c r="AH421" s="38"/>
    </row>
    <row r="422" spans="1:34" ht="15.75">
      <c r="A422" s="507"/>
      <c r="B422" s="508"/>
      <c r="C422" s="509"/>
      <c r="D422" s="545" t="s">
        <v>685</v>
      </c>
      <c r="E422" s="546"/>
      <c r="F422" s="546"/>
      <c r="G422" s="546"/>
      <c r="H422" s="546"/>
      <c r="I422" s="547"/>
      <c r="J422" s="47"/>
      <c r="K422" s="551">
        <v>0.15</v>
      </c>
      <c r="L422" s="552"/>
      <c r="M422" s="551"/>
      <c r="N422" s="552"/>
      <c r="O422" s="551">
        <v>0.3</v>
      </c>
      <c r="P422" s="552"/>
      <c r="Q422" s="551"/>
      <c r="R422" s="552"/>
      <c r="S422" s="551">
        <v>4.9000000000000004</v>
      </c>
      <c r="T422" s="552"/>
      <c r="U422" s="551"/>
      <c r="V422" s="552"/>
      <c r="W422" s="548">
        <f t="shared" si="34"/>
        <v>4.4999999999999998E-2</v>
      </c>
      <c r="X422" s="549"/>
      <c r="Y422" s="550"/>
      <c r="Z422" s="527">
        <f t="shared" si="35"/>
        <v>0.2205</v>
      </c>
      <c r="AA422" s="528"/>
      <c r="AB422" s="529"/>
      <c r="AC422" s="35"/>
      <c r="AD422" s="36"/>
      <c r="AE422" s="37"/>
      <c r="AF422" s="35"/>
      <c r="AG422" s="36"/>
      <c r="AH422" s="38"/>
    </row>
    <row r="423" spans="1:34" ht="15.75">
      <c r="A423" s="507"/>
      <c r="B423" s="508"/>
      <c r="C423" s="509"/>
      <c r="D423" s="545" t="s">
        <v>686</v>
      </c>
      <c r="E423" s="546"/>
      <c r="F423" s="546"/>
      <c r="G423" s="546"/>
      <c r="H423" s="546"/>
      <c r="I423" s="547"/>
      <c r="J423" s="47"/>
      <c r="K423" s="551">
        <v>0.15</v>
      </c>
      <c r="L423" s="552"/>
      <c r="M423" s="551"/>
      <c r="N423" s="552"/>
      <c r="O423" s="551">
        <v>0.3</v>
      </c>
      <c r="P423" s="552"/>
      <c r="Q423" s="551"/>
      <c r="R423" s="552"/>
      <c r="S423" s="551">
        <v>4.9000000000000004</v>
      </c>
      <c r="T423" s="552"/>
      <c r="U423" s="551"/>
      <c r="V423" s="552"/>
      <c r="W423" s="548">
        <f t="shared" si="34"/>
        <v>4.4999999999999998E-2</v>
      </c>
      <c r="X423" s="549"/>
      <c r="Y423" s="550"/>
      <c r="Z423" s="527">
        <f t="shared" si="35"/>
        <v>0.2205</v>
      </c>
      <c r="AA423" s="528"/>
      <c r="AB423" s="529"/>
      <c r="AC423" s="35"/>
      <c r="AD423" s="36"/>
      <c r="AE423" s="37"/>
      <c r="AF423" s="35"/>
      <c r="AG423" s="36"/>
      <c r="AH423" s="38"/>
    </row>
    <row r="424" spans="1:34" ht="15.75">
      <c r="A424" s="507"/>
      <c r="B424" s="508"/>
      <c r="C424" s="509"/>
      <c r="D424" s="545" t="s">
        <v>687</v>
      </c>
      <c r="E424" s="546"/>
      <c r="F424" s="546"/>
      <c r="G424" s="546"/>
      <c r="H424" s="546"/>
      <c r="I424" s="547"/>
      <c r="J424" s="47"/>
      <c r="K424" s="551">
        <v>0.15</v>
      </c>
      <c r="L424" s="552"/>
      <c r="M424" s="551"/>
      <c r="N424" s="552"/>
      <c r="O424" s="551">
        <v>0.3</v>
      </c>
      <c r="P424" s="552"/>
      <c r="Q424" s="551"/>
      <c r="R424" s="552"/>
      <c r="S424" s="551">
        <v>4.9000000000000004</v>
      </c>
      <c r="T424" s="552"/>
      <c r="U424" s="551"/>
      <c r="V424" s="552"/>
      <c r="W424" s="548">
        <f t="shared" si="34"/>
        <v>4.4999999999999998E-2</v>
      </c>
      <c r="X424" s="549"/>
      <c r="Y424" s="550"/>
      <c r="Z424" s="527">
        <f t="shared" si="35"/>
        <v>0.2205</v>
      </c>
      <c r="AA424" s="528"/>
      <c r="AB424" s="529"/>
      <c r="AC424" s="35"/>
      <c r="AD424" s="36"/>
      <c r="AE424" s="37"/>
      <c r="AF424" s="35"/>
      <c r="AG424" s="36"/>
      <c r="AH424" s="38"/>
    </row>
    <row r="425" spans="1:34" ht="15.75">
      <c r="A425" s="507"/>
      <c r="B425" s="508"/>
      <c r="C425" s="509"/>
      <c r="D425" s="545" t="s">
        <v>688</v>
      </c>
      <c r="E425" s="546"/>
      <c r="F425" s="546"/>
      <c r="G425" s="546"/>
      <c r="H425" s="546"/>
      <c r="I425" s="547"/>
      <c r="J425" s="47"/>
      <c r="K425" s="551">
        <v>0.15</v>
      </c>
      <c r="L425" s="552"/>
      <c r="M425" s="551"/>
      <c r="N425" s="552"/>
      <c r="O425" s="551">
        <v>0.3</v>
      </c>
      <c r="P425" s="552"/>
      <c r="Q425" s="551"/>
      <c r="R425" s="552"/>
      <c r="S425" s="551">
        <v>4.9000000000000004</v>
      </c>
      <c r="T425" s="552"/>
      <c r="U425" s="551"/>
      <c r="V425" s="552"/>
      <c r="W425" s="548">
        <f t="shared" si="34"/>
        <v>4.4999999999999998E-2</v>
      </c>
      <c r="X425" s="549"/>
      <c r="Y425" s="550"/>
      <c r="Z425" s="527">
        <f t="shared" si="35"/>
        <v>0.2205</v>
      </c>
      <c r="AA425" s="528"/>
      <c r="AB425" s="529"/>
      <c r="AC425" s="35"/>
      <c r="AD425" s="36"/>
      <c r="AE425" s="37"/>
      <c r="AF425" s="35"/>
      <c r="AG425" s="36"/>
      <c r="AH425" s="38"/>
    </row>
    <row r="426" spans="1:34" ht="15.75">
      <c r="A426" s="507"/>
      <c r="B426" s="508"/>
      <c r="C426" s="509"/>
      <c r="D426" s="545" t="s">
        <v>689</v>
      </c>
      <c r="E426" s="546"/>
      <c r="F426" s="546"/>
      <c r="G426" s="546"/>
      <c r="H426" s="546"/>
      <c r="I426" s="547"/>
      <c r="J426" s="47"/>
      <c r="K426" s="551">
        <v>0.15</v>
      </c>
      <c r="L426" s="552"/>
      <c r="M426" s="551"/>
      <c r="N426" s="552"/>
      <c r="O426" s="551">
        <v>0.3</v>
      </c>
      <c r="P426" s="552"/>
      <c r="Q426" s="551"/>
      <c r="R426" s="552"/>
      <c r="S426" s="551">
        <v>4.9000000000000004</v>
      </c>
      <c r="T426" s="552"/>
      <c r="U426" s="551"/>
      <c r="V426" s="552"/>
      <c r="W426" s="548">
        <f t="shared" si="34"/>
        <v>4.4999999999999998E-2</v>
      </c>
      <c r="X426" s="549"/>
      <c r="Y426" s="550"/>
      <c r="Z426" s="527">
        <f t="shared" si="35"/>
        <v>0.2205</v>
      </c>
      <c r="AA426" s="528"/>
      <c r="AB426" s="529"/>
      <c r="AC426" s="35"/>
      <c r="AD426" s="36"/>
      <c r="AE426" s="37"/>
      <c r="AF426" s="35"/>
      <c r="AG426" s="36"/>
      <c r="AH426" s="38"/>
    </row>
    <row r="427" spans="1:34" ht="15.75">
      <c r="A427" s="507"/>
      <c r="B427" s="508"/>
      <c r="C427" s="509"/>
      <c r="D427" s="545" t="s">
        <v>690</v>
      </c>
      <c r="E427" s="546"/>
      <c r="F427" s="546"/>
      <c r="G427" s="546"/>
      <c r="H427" s="546"/>
      <c r="I427" s="547"/>
      <c r="J427" s="47"/>
      <c r="K427" s="551">
        <v>0.15</v>
      </c>
      <c r="L427" s="552"/>
      <c r="M427" s="551"/>
      <c r="N427" s="552"/>
      <c r="O427" s="551">
        <v>0.3</v>
      </c>
      <c r="P427" s="552"/>
      <c r="Q427" s="551"/>
      <c r="R427" s="552"/>
      <c r="S427" s="551">
        <v>4.9000000000000004</v>
      </c>
      <c r="T427" s="552"/>
      <c r="U427" s="512"/>
      <c r="V427" s="509"/>
      <c r="W427" s="548">
        <f t="shared" si="34"/>
        <v>4.4999999999999998E-2</v>
      </c>
      <c r="X427" s="549"/>
      <c r="Y427" s="550"/>
      <c r="Z427" s="527">
        <f t="shared" si="35"/>
        <v>0.2205</v>
      </c>
      <c r="AA427" s="528"/>
      <c r="AB427" s="529"/>
      <c r="AC427" s="35"/>
      <c r="AD427" s="36"/>
      <c r="AE427" s="37"/>
      <c r="AF427" s="35"/>
      <c r="AG427" s="36"/>
      <c r="AH427" s="38"/>
    </row>
    <row r="428" spans="1:34" ht="15.75">
      <c r="A428" s="507"/>
      <c r="B428" s="508"/>
      <c r="C428" s="509"/>
      <c r="D428" s="545" t="s">
        <v>691</v>
      </c>
      <c r="E428" s="546"/>
      <c r="F428" s="546"/>
      <c r="G428" s="546"/>
      <c r="H428" s="546"/>
      <c r="I428" s="547"/>
      <c r="J428" s="47"/>
      <c r="K428" s="551">
        <v>0.15</v>
      </c>
      <c r="L428" s="552"/>
      <c r="M428" s="551"/>
      <c r="N428" s="552"/>
      <c r="O428" s="551">
        <v>0.3</v>
      </c>
      <c r="P428" s="552"/>
      <c r="Q428" s="551"/>
      <c r="R428" s="552"/>
      <c r="S428" s="551">
        <v>4.9000000000000004</v>
      </c>
      <c r="T428" s="552"/>
      <c r="U428" s="551"/>
      <c r="V428" s="552"/>
      <c r="W428" s="548">
        <f t="shared" si="34"/>
        <v>4.4999999999999998E-2</v>
      </c>
      <c r="X428" s="549"/>
      <c r="Y428" s="550"/>
      <c r="Z428" s="527">
        <f t="shared" si="35"/>
        <v>0.2205</v>
      </c>
      <c r="AA428" s="528"/>
      <c r="AB428" s="529"/>
      <c r="AC428" s="35"/>
      <c r="AD428" s="36"/>
      <c r="AE428" s="37"/>
      <c r="AF428" s="35"/>
      <c r="AG428" s="36"/>
      <c r="AH428" s="38"/>
    </row>
    <row r="429" spans="1:34" ht="15.75">
      <c r="A429" s="507"/>
      <c r="B429" s="508"/>
      <c r="C429" s="509"/>
      <c r="D429" s="545" t="s">
        <v>692</v>
      </c>
      <c r="E429" s="546"/>
      <c r="F429" s="546"/>
      <c r="G429" s="546"/>
      <c r="H429" s="546"/>
      <c r="I429" s="547"/>
      <c r="J429" s="47"/>
      <c r="K429" s="551">
        <v>0.15</v>
      </c>
      <c r="L429" s="552"/>
      <c r="M429" s="551"/>
      <c r="N429" s="552"/>
      <c r="O429" s="551">
        <v>0.3</v>
      </c>
      <c r="P429" s="552"/>
      <c r="Q429" s="551"/>
      <c r="R429" s="552"/>
      <c r="S429" s="551">
        <v>4.9000000000000004</v>
      </c>
      <c r="T429" s="552"/>
      <c r="U429" s="551"/>
      <c r="V429" s="552"/>
      <c r="W429" s="548">
        <f t="shared" si="34"/>
        <v>4.4999999999999998E-2</v>
      </c>
      <c r="X429" s="549"/>
      <c r="Y429" s="550"/>
      <c r="Z429" s="527">
        <f t="shared" si="35"/>
        <v>0.2205</v>
      </c>
      <c r="AA429" s="528"/>
      <c r="AB429" s="529"/>
      <c r="AC429" s="35"/>
      <c r="AD429" s="36"/>
      <c r="AE429" s="37"/>
      <c r="AF429" s="35"/>
      <c r="AG429" s="36"/>
      <c r="AH429" s="38"/>
    </row>
    <row r="430" spans="1:34" ht="15.75">
      <c r="A430" s="507"/>
      <c r="B430" s="508"/>
      <c r="C430" s="509"/>
      <c r="D430" s="545" t="s">
        <v>693</v>
      </c>
      <c r="E430" s="546"/>
      <c r="F430" s="546"/>
      <c r="G430" s="546"/>
      <c r="H430" s="546"/>
      <c r="I430" s="547"/>
      <c r="J430" s="47"/>
      <c r="K430" s="551">
        <v>0.15</v>
      </c>
      <c r="L430" s="552"/>
      <c r="M430" s="551"/>
      <c r="N430" s="552"/>
      <c r="O430" s="551">
        <v>0.3</v>
      </c>
      <c r="P430" s="552"/>
      <c r="Q430" s="551"/>
      <c r="R430" s="552"/>
      <c r="S430" s="551">
        <v>4.9000000000000004</v>
      </c>
      <c r="T430" s="552"/>
      <c r="U430" s="551"/>
      <c r="V430" s="552"/>
      <c r="W430" s="548">
        <f t="shared" si="34"/>
        <v>4.4999999999999998E-2</v>
      </c>
      <c r="X430" s="549"/>
      <c r="Y430" s="550"/>
      <c r="Z430" s="527">
        <f t="shared" si="35"/>
        <v>0.2205</v>
      </c>
      <c r="AA430" s="528"/>
      <c r="AB430" s="529"/>
      <c r="AC430" s="35"/>
      <c r="AD430" s="36"/>
      <c r="AE430" s="37"/>
      <c r="AF430" s="35"/>
      <c r="AG430" s="36"/>
      <c r="AH430" s="38"/>
    </row>
    <row r="431" spans="1:34" ht="15.75">
      <c r="A431" s="507"/>
      <c r="B431" s="508"/>
      <c r="C431" s="509"/>
      <c r="D431" s="545" t="s">
        <v>694</v>
      </c>
      <c r="E431" s="546"/>
      <c r="F431" s="546"/>
      <c r="G431" s="546"/>
      <c r="H431" s="546"/>
      <c r="I431" s="547"/>
      <c r="J431" s="47"/>
      <c r="K431" s="551">
        <v>0.15</v>
      </c>
      <c r="L431" s="552"/>
      <c r="M431" s="551"/>
      <c r="N431" s="552"/>
      <c r="O431" s="551">
        <v>0.3</v>
      </c>
      <c r="P431" s="552"/>
      <c r="Q431" s="551"/>
      <c r="R431" s="552"/>
      <c r="S431" s="551">
        <v>4.9000000000000004</v>
      </c>
      <c r="T431" s="552"/>
      <c r="U431" s="551"/>
      <c r="V431" s="552"/>
      <c r="W431" s="548">
        <f t="shared" si="34"/>
        <v>4.4999999999999998E-2</v>
      </c>
      <c r="X431" s="549"/>
      <c r="Y431" s="550"/>
      <c r="Z431" s="527">
        <f t="shared" si="35"/>
        <v>0.2205</v>
      </c>
      <c r="AA431" s="528"/>
      <c r="AB431" s="529"/>
      <c r="AC431" s="35"/>
      <c r="AD431" s="36"/>
      <c r="AE431" s="37"/>
      <c r="AF431" s="35"/>
      <c r="AG431" s="36"/>
      <c r="AH431" s="38"/>
    </row>
    <row r="432" spans="1:34" ht="15.75">
      <c r="A432" s="507"/>
      <c r="B432" s="508"/>
      <c r="C432" s="509"/>
      <c r="D432" s="545" t="s">
        <v>695</v>
      </c>
      <c r="E432" s="546"/>
      <c r="F432" s="546"/>
      <c r="G432" s="546"/>
      <c r="H432" s="546"/>
      <c r="I432" s="547"/>
      <c r="J432" s="47"/>
      <c r="K432" s="551">
        <v>0.15</v>
      </c>
      <c r="L432" s="552"/>
      <c r="M432" s="551"/>
      <c r="N432" s="552"/>
      <c r="O432" s="551">
        <v>0.3</v>
      </c>
      <c r="P432" s="552"/>
      <c r="Q432" s="551"/>
      <c r="R432" s="552"/>
      <c r="S432" s="551">
        <v>4.9000000000000004</v>
      </c>
      <c r="T432" s="552"/>
      <c r="U432" s="551"/>
      <c r="V432" s="552"/>
      <c r="W432" s="548">
        <f t="shared" si="34"/>
        <v>4.4999999999999998E-2</v>
      </c>
      <c r="X432" s="549"/>
      <c r="Y432" s="550"/>
      <c r="Z432" s="527">
        <f t="shared" si="35"/>
        <v>0.2205</v>
      </c>
      <c r="AA432" s="528"/>
      <c r="AB432" s="529"/>
      <c r="AC432" s="35"/>
      <c r="AD432" s="36"/>
      <c r="AE432" s="37"/>
      <c r="AF432" s="35"/>
      <c r="AG432" s="36"/>
      <c r="AH432" s="38"/>
    </row>
    <row r="433" spans="1:34" ht="15.75">
      <c r="A433" s="507"/>
      <c r="B433" s="508"/>
      <c r="C433" s="509"/>
      <c r="D433" s="545" t="s">
        <v>696</v>
      </c>
      <c r="E433" s="546"/>
      <c r="F433" s="546"/>
      <c r="G433" s="546"/>
      <c r="H433" s="546"/>
      <c r="I433" s="547"/>
      <c r="J433" s="47"/>
      <c r="K433" s="551">
        <v>0.15</v>
      </c>
      <c r="L433" s="552"/>
      <c r="M433" s="551"/>
      <c r="N433" s="552"/>
      <c r="O433" s="551">
        <v>0.3</v>
      </c>
      <c r="P433" s="552"/>
      <c r="Q433" s="551"/>
      <c r="R433" s="552"/>
      <c r="S433" s="551">
        <v>4.9000000000000004</v>
      </c>
      <c r="T433" s="552"/>
      <c r="U433" s="551"/>
      <c r="V433" s="552"/>
      <c r="W433" s="548">
        <f t="shared" si="34"/>
        <v>4.4999999999999998E-2</v>
      </c>
      <c r="X433" s="549"/>
      <c r="Y433" s="550"/>
      <c r="Z433" s="527">
        <f t="shared" si="35"/>
        <v>0.2205</v>
      </c>
      <c r="AA433" s="528"/>
      <c r="AB433" s="529"/>
      <c r="AC433" s="35"/>
      <c r="AD433" s="36"/>
      <c r="AE433" s="37"/>
      <c r="AF433" s="35"/>
      <c r="AG433" s="36"/>
      <c r="AH433" s="38"/>
    </row>
    <row r="434" spans="1:34" ht="15.75">
      <c r="A434" s="507"/>
      <c r="B434" s="508"/>
      <c r="C434" s="509"/>
      <c r="D434" s="545" t="s">
        <v>697</v>
      </c>
      <c r="E434" s="546"/>
      <c r="F434" s="546"/>
      <c r="G434" s="546"/>
      <c r="H434" s="546"/>
      <c r="I434" s="547"/>
      <c r="J434" s="47"/>
      <c r="K434" s="551">
        <v>0.15</v>
      </c>
      <c r="L434" s="552"/>
      <c r="M434" s="551"/>
      <c r="N434" s="552"/>
      <c r="O434" s="551">
        <v>0.3</v>
      </c>
      <c r="P434" s="552"/>
      <c r="Q434" s="551"/>
      <c r="R434" s="552"/>
      <c r="S434" s="551">
        <v>4.9000000000000004</v>
      </c>
      <c r="T434" s="552"/>
      <c r="U434" s="551"/>
      <c r="V434" s="552"/>
      <c r="W434" s="548">
        <f t="shared" si="34"/>
        <v>4.4999999999999998E-2</v>
      </c>
      <c r="X434" s="549"/>
      <c r="Y434" s="550"/>
      <c r="Z434" s="527">
        <f t="shared" si="35"/>
        <v>0.2205</v>
      </c>
      <c r="AA434" s="528"/>
      <c r="AB434" s="529"/>
      <c r="AC434" s="35"/>
      <c r="AD434" s="36"/>
      <c r="AE434" s="37"/>
      <c r="AF434" s="35"/>
      <c r="AG434" s="36"/>
      <c r="AH434" s="38"/>
    </row>
    <row r="435" spans="1:34" ht="15.75">
      <c r="A435" s="507"/>
      <c r="B435" s="508"/>
      <c r="C435" s="509"/>
      <c r="D435" s="545" t="s">
        <v>698</v>
      </c>
      <c r="E435" s="546"/>
      <c r="F435" s="546"/>
      <c r="G435" s="546"/>
      <c r="H435" s="546"/>
      <c r="I435" s="547"/>
      <c r="J435" s="47"/>
      <c r="K435" s="551">
        <v>0.15</v>
      </c>
      <c r="L435" s="552"/>
      <c r="M435" s="551"/>
      <c r="N435" s="552"/>
      <c r="O435" s="551">
        <v>0.3</v>
      </c>
      <c r="P435" s="552"/>
      <c r="Q435" s="551"/>
      <c r="R435" s="552"/>
      <c r="S435" s="551">
        <v>4.9000000000000004</v>
      </c>
      <c r="T435" s="552"/>
      <c r="U435" s="512"/>
      <c r="V435" s="509"/>
      <c r="W435" s="548">
        <f t="shared" si="34"/>
        <v>4.4999999999999998E-2</v>
      </c>
      <c r="X435" s="549"/>
      <c r="Y435" s="550"/>
      <c r="Z435" s="527">
        <f t="shared" si="35"/>
        <v>0.2205</v>
      </c>
      <c r="AA435" s="528"/>
      <c r="AB435" s="529"/>
      <c r="AC435" s="35"/>
      <c r="AD435" s="36"/>
      <c r="AE435" s="37"/>
      <c r="AF435" s="35"/>
      <c r="AG435" s="36"/>
      <c r="AH435" s="38"/>
    </row>
    <row r="436" spans="1:34" ht="15.75">
      <c r="A436" s="507"/>
      <c r="B436" s="508"/>
      <c r="C436" s="509"/>
      <c r="D436" s="545" t="s">
        <v>699</v>
      </c>
      <c r="E436" s="546"/>
      <c r="F436" s="546"/>
      <c r="G436" s="546"/>
      <c r="H436" s="546"/>
      <c r="I436" s="547"/>
      <c r="J436" s="47"/>
      <c r="K436" s="551">
        <v>0.15</v>
      </c>
      <c r="L436" s="552"/>
      <c r="M436" s="551"/>
      <c r="N436" s="552"/>
      <c r="O436" s="551">
        <v>0.3</v>
      </c>
      <c r="P436" s="552"/>
      <c r="Q436" s="551"/>
      <c r="R436" s="552"/>
      <c r="S436" s="551">
        <v>4.9000000000000004</v>
      </c>
      <c r="T436" s="552"/>
      <c r="U436" s="551"/>
      <c r="V436" s="552"/>
      <c r="W436" s="548">
        <f t="shared" si="34"/>
        <v>4.4999999999999998E-2</v>
      </c>
      <c r="X436" s="549"/>
      <c r="Y436" s="550"/>
      <c r="Z436" s="527">
        <f t="shared" si="35"/>
        <v>0.2205</v>
      </c>
      <c r="AA436" s="528"/>
      <c r="AB436" s="529"/>
      <c r="AC436" s="35"/>
      <c r="AD436" s="36"/>
      <c r="AE436" s="37"/>
      <c r="AF436" s="35"/>
      <c r="AG436" s="36"/>
      <c r="AH436" s="38"/>
    </row>
    <row r="437" spans="1:34" ht="15.75">
      <c r="A437" s="507"/>
      <c r="B437" s="508"/>
      <c r="C437" s="509"/>
      <c r="D437" s="545" t="s">
        <v>700</v>
      </c>
      <c r="E437" s="546"/>
      <c r="F437" s="546"/>
      <c r="G437" s="546"/>
      <c r="H437" s="546"/>
      <c r="I437" s="547"/>
      <c r="J437" s="47"/>
      <c r="K437" s="551">
        <v>0.15</v>
      </c>
      <c r="L437" s="552"/>
      <c r="M437" s="551"/>
      <c r="N437" s="552"/>
      <c r="O437" s="551">
        <v>0.3</v>
      </c>
      <c r="P437" s="552"/>
      <c r="Q437" s="551"/>
      <c r="R437" s="552"/>
      <c r="S437" s="551">
        <v>4.9000000000000004</v>
      </c>
      <c r="T437" s="552"/>
      <c r="U437" s="551"/>
      <c r="V437" s="552"/>
      <c r="W437" s="548">
        <f t="shared" si="34"/>
        <v>4.4999999999999998E-2</v>
      </c>
      <c r="X437" s="549"/>
      <c r="Y437" s="550"/>
      <c r="Z437" s="527">
        <f t="shared" si="35"/>
        <v>0.2205</v>
      </c>
      <c r="AA437" s="528"/>
      <c r="AB437" s="529"/>
      <c r="AC437" s="35"/>
      <c r="AD437" s="36"/>
      <c r="AE437" s="37"/>
      <c r="AF437" s="35"/>
      <c r="AG437" s="36"/>
      <c r="AH437" s="38"/>
    </row>
    <row r="438" spans="1:34" ht="15.75">
      <c r="A438" s="507"/>
      <c r="B438" s="508"/>
      <c r="C438" s="509"/>
      <c r="D438" s="545" t="s">
        <v>701</v>
      </c>
      <c r="E438" s="546"/>
      <c r="F438" s="546"/>
      <c r="G438" s="546"/>
      <c r="H438" s="546"/>
      <c r="I438" s="547"/>
      <c r="J438" s="47"/>
      <c r="K438" s="551">
        <v>0.15</v>
      </c>
      <c r="L438" s="552"/>
      <c r="M438" s="551"/>
      <c r="N438" s="552"/>
      <c r="O438" s="551">
        <v>0.3</v>
      </c>
      <c r="P438" s="552"/>
      <c r="Q438" s="551"/>
      <c r="R438" s="552"/>
      <c r="S438" s="551">
        <v>3.4</v>
      </c>
      <c r="T438" s="552"/>
      <c r="U438" s="551"/>
      <c r="V438" s="552"/>
      <c r="W438" s="548">
        <f t="shared" si="34"/>
        <v>4.4999999999999998E-2</v>
      </c>
      <c r="X438" s="549"/>
      <c r="Y438" s="550"/>
      <c r="Z438" s="527">
        <f t="shared" si="35"/>
        <v>0.153</v>
      </c>
      <c r="AA438" s="528"/>
      <c r="AB438" s="529"/>
      <c r="AC438" s="35"/>
      <c r="AD438" s="36"/>
      <c r="AE438" s="37"/>
      <c r="AF438" s="35"/>
      <c r="AG438" s="36"/>
      <c r="AH438" s="38"/>
    </row>
    <row r="439" spans="1:34" ht="15.75">
      <c r="A439" s="507"/>
      <c r="B439" s="508"/>
      <c r="C439" s="509"/>
      <c r="D439" s="545" t="s">
        <v>702</v>
      </c>
      <c r="E439" s="546"/>
      <c r="F439" s="546"/>
      <c r="G439" s="546"/>
      <c r="H439" s="546"/>
      <c r="I439" s="547"/>
      <c r="J439" s="47"/>
      <c r="K439" s="551">
        <v>0.15</v>
      </c>
      <c r="L439" s="552"/>
      <c r="M439" s="551"/>
      <c r="N439" s="552"/>
      <c r="O439" s="551">
        <v>0.3</v>
      </c>
      <c r="P439" s="552"/>
      <c r="Q439" s="551"/>
      <c r="R439" s="552"/>
      <c r="S439" s="551">
        <v>3.4</v>
      </c>
      <c r="T439" s="552"/>
      <c r="U439" s="551"/>
      <c r="V439" s="552"/>
      <c r="W439" s="548">
        <f t="shared" si="34"/>
        <v>4.4999999999999998E-2</v>
      </c>
      <c r="X439" s="549"/>
      <c r="Y439" s="550"/>
      <c r="Z439" s="527">
        <f t="shared" si="35"/>
        <v>0.153</v>
      </c>
      <c r="AA439" s="528"/>
      <c r="AB439" s="529"/>
      <c r="AC439" s="35"/>
      <c r="AD439" s="36"/>
      <c r="AE439" s="37"/>
      <c r="AF439" s="35"/>
      <c r="AG439" s="36"/>
      <c r="AH439" s="38"/>
    </row>
    <row r="440" spans="1:34" ht="15.75">
      <c r="A440" s="507"/>
      <c r="B440" s="508"/>
      <c r="C440" s="509"/>
      <c r="D440" s="545" t="s">
        <v>703</v>
      </c>
      <c r="E440" s="546"/>
      <c r="F440" s="546"/>
      <c r="G440" s="546"/>
      <c r="H440" s="546"/>
      <c r="I440" s="547"/>
      <c r="J440" s="47"/>
      <c r="K440" s="551">
        <v>0.15</v>
      </c>
      <c r="L440" s="552"/>
      <c r="M440" s="551"/>
      <c r="N440" s="552"/>
      <c r="O440" s="551">
        <v>0.3</v>
      </c>
      <c r="P440" s="552"/>
      <c r="Q440" s="551"/>
      <c r="R440" s="552"/>
      <c r="S440" s="551">
        <v>3.4</v>
      </c>
      <c r="T440" s="552"/>
      <c r="U440" s="551"/>
      <c r="V440" s="552"/>
      <c r="W440" s="548">
        <f t="shared" si="34"/>
        <v>4.4999999999999998E-2</v>
      </c>
      <c r="X440" s="549"/>
      <c r="Y440" s="550"/>
      <c r="Z440" s="527">
        <f t="shared" si="35"/>
        <v>0.153</v>
      </c>
      <c r="AA440" s="528"/>
      <c r="AB440" s="529"/>
      <c r="AC440" s="35"/>
      <c r="AD440" s="36"/>
      <c r="AE440" s="37"/>
      <c r="AF440" s="35"/>
      <c r="AG440" s="36"/>
      <c r="AH440" s="38"/>
    </row>
    <row r="441" spans="1:34" ht="15.75">
      <c r="A441" s="507"/>
      <c r="B441" s="508"/>
      <c r="C441" s="509"/>
      <c r="D441" s="545" t="s">
        <v>704</v>
      </c>
      <c r="E441" s="546"/>
      <c r="F441" s="546"/>
      <c r="G441" s="546"/>
      <c r="H441" s="546"/>
      <c r="I441" s="547"/>
      <c r="J441" s="47"/>
      <c r="K441" s="551">
        <v>0.15</v>
      </c>
      <c r="L441" s="552"/>
      <c r="M441" s="551"/>
      <c r="N441" s="552"/>
      <c r="O441" s="551">
        <v>0.3</v>
      </c>
      <c r="P441" s="552"/>
      <c r="Q441" s="551"/>
      <c r="R441" s="552"/>
      <c r="S441" s="551">
        <v>3.4</v>
      </c>
      <c r="T441" s="552"/>
      <c r="U441" s="551"/>
      <c r="V441" s="552"/>
      <c r="W441" s="548">
        <f t="shared" si="34"/>
        <v>4.4999999999999998E-2</v>
      </c>
      <c r="X441" s="549"/>
      <c r="Y441" s="550"/>
      <c r="Z441" s="527">
        <f t="shared" si="35"/>
        <v>0.153</v>
      </c>
      <c r="AA441" s="528"/>
      <c r="AB441" s="529"/>
      <c r="AC441" s="35"/>
      <c r="AD441" s="36"/>
      <c r="AE441" s="37"/>
      <c r="AF441" s="35"/>
      <c r="AG441" s="36"/>
      <c r="AH441" s="38"/>
    </row>
    <row r="442" spans="1:34" ht="15.75">
      <c r="A442" s="507"/>
      <c r="B442" s="508"/>
      <c r="C442" s="509"/>
      <c r="D442" s="545" t="s">
        <v>705</v>
      </c>
      <c r="E442" s="546"/>
      <c r="F442" s="546"/>
      <c r="G442" s="546"/>
      <c r="H442" s="546"/>
      <c r="I442" s="547"/>
      <c r="J442" s="47"/>
      <c r="K442" s="551">
        <v>0.15</v>
      </c>
      <c r="L442" s="552"/>
      <c r="M442" s="551"/>
      <c r="N442" s="552"/>
      <c r="O442" s="551">
        <v>0.3</v>
      </c>
      <c r="P442" s="552"/>
      <c r="Q442" s="551"/>
      <c r="R442" s="552"/>
      <c r="S442" s="551">
        <v>3.4</v>
      </c>
      <c r="T442" s="552"/>
      <c r="U442" s="551"/>
      <c r="V442" s="552"/>
      <c r="W442" s="548">
        <f t="shared" si="34"/>
        <v>4.4999999999999998E-2</v>
      </c>
      <c r="X442" s="549"/>
      <c r="Y442" s="550"/>
      <c r="Z442" s="527">
        <f t="shared" si="35"/>
        <v>0.153</v>
      </c>
      <c r="AA442" s="528"/>
      <c r="AB442" s="529"/>
      <c r="AC442" s="35"/>
      <c r="AD442" s="36"/>
      <c r="AE442" s="37"/>
      <c r="AF442" s="35"/>
      <c r="AG442" s="36"/>
      <c r="AH442" s="38"/>
    </row>
    <row r="443" spans="1:34" ht="15.75">
      <c r="A443" s="507"/>
      <c r="B443" s="508"/>
      <c r="C443" s="509"/>
      <c r="D443" s="545" t="s">
        <v>706</v>
      </c>
      <c r="E443" s="546"/>
      <c r="F443" s="546"/>
      <c r="G443" s="546"/>
      <c r="H443" s="546"/>
      <c r="I443" s="547"/>
      <c r="J443" s="47"/>
      <c r="K443" s="551">
        <v>0.25</v>
      </c>
      <c r="L443" s="552"/>
      <c r="M443" s="551"/>
      <c r="N443" s="552"/>
      <c r="O443" s="551">
        <v>0.3</v>
      </c>
      <c r="P443" s="552"/>
      <c r="Q443" s="512"/>
      <c r="R443" s="509"/>
      <c r="S443" s="512">
        <v>3.4</v>
      </c>
      <c r="T443" s="509"/>
      <c r="U443" s="512"/>
      <c r="V443" s="509"/>
      <c r="W443" s="548">
        <f t="shared" si="34"/>
        <v>7.4999999999999997E-2</v>
      </c>
      <c r="X443" s="549"/>
      <c r="Y443" s="550"/>
      <c r="Z443" s="527">
        <f t="shared" si="35"/>
        <v>0.255</v>
      </c>
      <c r="AA443" s="528"/>
      <c r="AB443" s="529"/>
      <c r="AC443" s="35"/>
      <c r="AD443" s="36"/>
      <c r="AE443" s="37"/>
      <c r="AF443" s="35"/>
      <c r="AG443" s="36"/>
      <c r="AH443" s="38"/>
    </row>
    <row r="444" spans="1:34" ht="15.75">
      <c r="A444" s="507"/>
      <c r="B444" s="508"/>
      <c r="C444" s="509"/>
      <c r="D444" s="545" t="s">
        <v>707</v>
      </c>
      <c r="E444" s="546"/>
      <c r="F444" s="546"/>
      <c r="G444" s="546"/>
      <c r="H444" s="546"/>
      <c r="I444" s="547"/>
      <c r="J444" s="47"/>
      <c r="K444" s="551">
        <v>0.25</v>
      </c>
      <c r="L444" s="552"/>
      <c r="M444" s="551"/>
      <c r="N444" s="552"/>
      <c r="O444" s="551">
        <v>0.3</v>
      </c>
      <c r="P444" s="552"/>
      <c r="Q444" s="551"/>
      <c r="R444" s="552"/>
      <c r="S444" s="551">
        <v>4.9000000000000004</v>
      </c>
      <c r="T444" s="552"/>
      <c r="U444" s="551"/>
      <c r="V444" s="552"/>
      <c r="W444" s="548">
        <f t="shared" si="34"/>
        <v>7.4999999999999997E-2</v>
      </c>
      <c r="X444" s="549"/>
      <c r="Y444" s="550"/>
      <c r="Z444" s="527">
        <f t="shared" si="35"/>
        <v>0.36749999999999999</v>
      </c>
      <c r="AA444" s="528"/>
      <c r="AB444" s="529"/>
      <c r="AC444" s="35"/>
      <c r="AD444" s="36"/>
      <c r="AE444" s="37"/>
      <c r="AF444" s="35"/>
      <c r="AG444" s="36"/>
      <c r="AH444" s="38"/>
    </row>
    <row r="445" spans="1:34" ht="15.75">
      <c r="A445" s="507"/>
      <c r="B445" s="508"/>
      <c r="C445" s="509"/>
      <c r="D445" s="545" t="s">
        <v>708</v>
      </c>
      <c r="E445" s="546"/>
      <c r="F445" s="546"/>
      <c r="G445" s="546"/>
      <c r="H445" s="546"/>
      <c r="I445" s="547"/>
      <c r="J445" s="47"/>
      <c r="K445" s="551">
        <v>0.15</v>
      </c>
      <c r="L445" s="552"/>
      <c r="M445" s="551"/>
      <c r="N445" s="552"/>
      <c r="O445" s="551">
        <v>0.3</v>
      </c>
      <c r="P445" s="552"/>
      <c r="Q445" s="551"/>
      <c r="R445" s="552"/>
      <c r="S445" s="551">
        <v>4.9000000000000004</v>
      </c>
      <c r="T445" s="552"/>
      <c r="U445" s="551"/>
      <c r="V445" s="552"/>
      <c r="W445" s="548">
        <f t="shared" si="34"/>
        <v>4.4999999999999998E-2</v>
      </c>
      <c r="X445" s="549"/>
      <c r="Y445" s="550"/>
      <c r="Z445" s="527">
        <f t="shared" si="35"/>
        <v>0.2205</v>
      </c>
      <c r="AA445" s="528"/>
      <c r="AB445" s="529"/>
      <c r="AC445" s="35"/>
      <c r="AD445" s="36"/>
      <c r="AE445" s="37"/>
      <c r="AF445" s="35"/>
      <c r="AG445" s="36"/>
      <c r="AH445" s="38"/>
    </row>
    <row r="446" spans="1:34" ht="15.75">
      <c r="A446" s="507"/>
      <c r="B446" s="508"/>
      <c r="C446" s="509"/>
      <c r="D446" s="545" t="s">
        <v>709</v>
      </c>
      <c r="E446" s="546"/>
      <c r="F446" s="546"/>
      <c r="G446" s="546"/>
      <c r="H446" s="546"/>
      <c r="I446" s="547"/>
      <c r="J446" s="47"/>
      <c r="K446" s="551">
        <v>0.15</v>
      </c>
      <c r="L446" s="552"/>
      <c r="M446" s="551"/>
      <c r="N446" s="552"/>
      <c r="O446" s="551">
        <v>0.3</v>
      </c>
      <c r="P446" s="552"/>
      <c r="Q446" s="551"/>
      <c r="R446" s="552"/>
      <c r="S446" s="551">
        <v>4.9000000000000004</v>
      </c>
      <c r="T446" s="552"/>
      <c r="U446" s="551"/>
      <c r="V446" s="552"/>
      <c r="W446" s="548">
        <f t="shared" si="34"/>
        <v>4.4999999999999998E-2</v>
      </c>
      <c r="X446" s="549"/>
      <c r="Y446" s="550"/>
      <c r="Z446" s="527">
        <f t="shared" si="35"/>
        <v>0.2205</v>
      </c>
      <c r="AA446" s="528"/>
      <c r="AB446" s="529"/>
      <c r="AC446" s="35"/>
      <c r="AD446" s="36"/>
      <c r="AE446" s="37"/>
      <c r="AF446" s="35"/>
      <c r="AG446" s="36"/>
      <c r="AH446" s="38"/>
    </row>
    <row r="447" spans="1:34" ht="15.75">
      <c r="A447" s="507"/>
      <c r="B447" s="508"/>
      <c r="C447" s="509"/>
      <c r="D447" s="545" t="s">
        <v>710</v>
      </c>
      <c r="E447" s="546"/>
      <c r="F447" s="546"/>
      <c r="G447" s="546"/>
      <c r="H447" s="546"/>
      <c r="I447" s="547"/>
      <c r="J447" s="47"/>
      <c r="K447" s="551">
        <v>0.15</v>
      </c>
      <c r="L447" s="552"/>
      <c r="M447" s="551"/>
      <c r="N447" s="552"/>
      <c r="O447" s="551">
        <v>0.3</v>
      </c>
      <c r="P447" s="552"/>
      <c r="Q447" s="551"/>
      <c r="R447" s="552"/>
      <c r="S447" s="551">
        <v>4.9000000000000004</v>
      </c>
      <c r="T447" s="552"/>
      <c r="U447" s="551"/>
      <c r="V447" s="552"/>
      <c r="W447" s="548">
        <f t="shared" si="34"/>
        <v>4.4999999999999998E-2</v>
      </c>
      <c r="X447" s="549"/>
      <c r="Y447" s="550"/>
      <c r="Z447" s="527">
        <f t="shared" si="35"/>
        <v>0.2205</v>
      </c>
      <c r="AA447" s="528"/>
      <c r="AB447" s="529"/>
      <c r="AC447" s="35"/>
      <c r="AD447" s="36"/>
      <c r="AE447" s="37"/>
      <c r="AF447" s="35"/>
      <c r="AG447" s="36"/>
      <c r="AH447" s="38"/>
    </row>
    <row r="448" spans="1:34" ht="15.75">
      <c r="A448" s="507"/>
      <c r="B448" s="508"/>
      <c r="C448" s="509"/>
      <c r="D448" s="545" t="s">
        <v>711</v>
      </c>
      <c r="E448" s="546"/>
      <c r="F448" s="546"/>
      <c r="G448" s="546"/>
      <c r="H448" s="546"/>
      <c r="I448" s="547"/>
      <c r="J448" s="47"/>
      <c r="K448" s="551">
        <v>0.15</v>
      </c>
      <c r="L448" s="552"/>
      <c r="M448" s="551"/>
      <c r="N448" s="552"/>
      <c r="O448" s="551">
        <v>0.3</v>
      </c>
      <c r="P448" s="552"/>
      <c r="Q448" s="551"/>
      <c r="R448" s="552"/>
      <c r="S448" s="551">
        <v>3.4</v>
      </c>
      <c r="T448" s="552"/>
      <c r="U448" s="551"/>
      <c r="V448" s="552"/>
      <c r="W448" s="548">
        <f t="shared" si="34"/>
        <v>4.4999999999999998E-2</v>
      </c>
      <c r="X448" s="549"/>
      <c r="Y448" s="550"/>
      <c r="Z448" s="527">
        <f t="shared" si="35"/>
        <v>0.153</v>
      </c>
      <c r="AA448" s="528"/>
      <c r="AB448" s="529"/>
      <c r="AC448" s="35"/>
      <c r="AD448" s="36"/>
      <c r="AE448" s="37"/>
      <c r="AF448" s="35"/>
      <c r="AG448" s="36"/>
      <c r="AH448" s="38"/>
    </row>
    <row r="449" spans="1:34" ht="15.75">
      <c r="A449" s="507"/>
      <c r="B449" s="508"/>
      <c r="C449" s="509"/>
      <c r="D449" s="545" t="s">
        <v>712</v>
      </c>
      <c r="E449" s="546"/>
      <c r="F449" s="546"/>
      <c r="G449" s="546"/>
      <c r="H449" s="546"/>
      <c r="I449" s="547"/>
      <c r="J449" s="47"/>
      <c r="K449" s="551">
        <v>0.15</v>
      </c>
      <c r="L449" s="552"/>
      <c r="M449" s="551"/>
      <c r="N449" s="552"/>
      <c r="O449" s="551">
        <v>0.3</v>
      </c>
      <c r="P449" s="552"/>
      <c r="Q449" s="551"/>
      <c r="R449" s="552"/>
      <c r="S449" s="551">
        <v>3.4</v>
      </c>
      <c r="T449" s="552"/>
      <c r="U449" s="551"/>
      <c r="V449" s="552"/>
      <c r="W449" s="548">
        <f t="shared" si="34"/>
        <v>4.4999999999999998E-2</v>
      </c>
      <c r="X449" s="549"/>
      <c r="Y449" s="550"/>
      <c r="Z449" s="527">
        <f t="shared" si="35"/>
        <v>0.153</v>
      </c>
      <c r="AA449" s="528"/>
      <c r="AB449" s="529"/>
      <c r="AC449" s="35"/>
      <c r="AD449" s="36"/>
      <c r="AE449" s="37"/>
      <c r="AF449" s="35"/>
      <c r="AG449" s="36"/>
      <c r="AH449" s="38"/>
    </row>
    <row r="450" spans="1:34" ht="15.75">
      <c r="A450" s="507"/>
      <c r="B450" s="508"/>
      <c r="C450" s="509"/>
      <c r="D450" s="545" t="s">
        <v>713</v>
      </c>
      <c r="E450" s="546"/>
      <c r="F450" s="546"/>
      <c r="G450" s="546"/>
      <c r="H450" s="546"/>
      <c r="I450" s="547"/>
      <c r="J450" s="47"/>
      <c r="K450" s="551">
        <v>0.15</v>
      </c>
      <c r="L450" s="552"/>
      <c r="M450" s="551"/>
      <c r="N450" s="552"/>
      <c r="O450" s="551">
        <v>0.3</v>
      </c>
      <c r="P450" s="552"/>
      <c r="Q450" s="551"/>
      <c r="R450" s="552"/>
      <c r="S450" s="551">
        <v>3.4</v>
      </c>
      <c r="T450" s="552"/>
      <c r="U450" s="551"/>
      <c r="V450" s="552"/>
      <c r="W450" s="548">
        <f t="shared" si="34"/>
        <v>4.4999999999999998E-2</v>
      </c>
      <c r="X450" s="549"/>
      <c r="Y450" s="550"/>
      <c r="Z450" s="527">
        <f t="shared" si="35"/>
        <v>0.153</v>
      </c>
      <c r="AA450" s="528"/>
      <c r="AB450" s="529"/>
      <c r="AC450" s="35"/>
      <c r="AD450" s="36"/>
      <c r="AE450" s="37"/>
      <c r="AF450" s="35"/>
      <c r="AG450" s="36"/>
      <c r="AH450" s="38"/>
    </row>
    <row r="451" spans="1:34" ht="15.75">
      <c r="A451" s="507"/>
      <c r="B451" s="508"/>
      <c r="C451" s="509"/>
      <c r="D451" s="545" t="s">
        <v>714</v>
      </c>
      <c r="E451" s="546"/>
      <c r="F451" s="546"/>
      <c r="G451" s="546"/>
      <c r="H451" s="546"/>
      <c r="I451" s="547"/>
      <c r="J451" s="47"/>
      <c r="K451" s="551">
        <v>0.15</v>
      </c>
      <c r="L451" s="552"/>
      <c r="M451" s="551"/>
      <c r="N451" s="552"/>
      <c r="O451" s="551">
        <v>0.3</v>
      </c>
      <c r="P451" s="552"/>
      <c r="Q451" s="551"/>
      <c r="R451" s="552"/>
      <c r="S451" s="551">
        <v>3.4</v>
      </c>
      <c r="T451" s="552"/>
      <c r="U451" s="512"/>
      <c r="V451" s="509"/>
      <c r="W451" s="548">
        <f t="shared" si="34"/>
        <v>4.4999999999999998E-2</v>
      </c>
      <c r="X451" s="549"/>
      <c r="Y451" s="550"/>
      <c r="Z451" s="527">
        <f t="shared" si="35"/>
        <v>0.153</v>
      </c>
      <c r="AA451" s="528"/>
      <c r="AB451" s="529"/>
      <c r="AC451" s="35"/>
      <c r="AD451" s="36"/>
      <c r="AE451" s="37"/>
      <c r="AF451" s="35"/>
      <c r="AG451" s="36"/>
      <c r="AH451" s="38"/>
    </row>
    <row r="452" spans="1:34" ht="15.75">
      <c r="A452" s="507"/>
      <c r="B452" s="508"/>
      <c r="C452" s="509"/>
      <c r="D452" s="545" t="s">
        <v>715</v>
      </c>
      <c r="E452" s="546"/>
      <c r="F452" s="546"/>
      <c r="G452" s="546"/>
      <c r="H452" s="546"/>
      <c r="I452" s="547"/>
      <c r="J452" s="47"/>
      <c r="K452" s="551">
        <v>0.15</v>
      </c>
      <c r="L452" s="552"/>
      <c r="M452" s="551"/>
      <c r="N452" s="552"/>
      <c r="O452" s="551">
        <v>0.3</v>
      </c>
      <c r="P452" s="552"/>
      <c r="Q452" s="551"/>
      <c r="R452" s="552"/>
      <c r="S452" s="551">
        <v>3.4</v>
      </c>
      <c r="T452" s="552"/>
      <c r="U452" s="551"/>
      <c r="V452" s="552"/>
      <c r="W452" s="548">
        <f t="shared" si="34"/>
        <v>4.4999999999999998E-2</v>
      </c>
      <c r="X452" s="549"/>
      <c r="Y452" s="550"/>
      <c r="Z452" s="527">
        <f t="shared" si="35"/>
        <v>0.153</v>
      </c>
      <c r="AA452" s="528"/>
      <c r="AB452" s="529"/>
      <c r="AC452" s="35"/>
      <c r="AD452" s="36"/>
      <c r="AE452" s="37"/>
      <c r="AF452" s="35"/>
      <c r="AG452" s="36"/>
      <c r="AH452" s="38"/>
    </row>
    <row r="453" spans="1:34" ht="15.75">
      <c r="A453" s="507"/>
      <c r="B453" s="508"/>
      <c r="C453" s="509"/>
      <c r="D453" s="545" t="s">
        <v>716</v>
      </c>
      <c r="E453" s="546"/>
      <c r="F453" s="546"/>
      <c r="G453" s="546"/>
      <c r="H453" s="546"/>
      <c r="I453" s="547"/>
      <c r="J453" s="47"/>
      <c r="K453" s="551">
        <v>0.15</v>
      </c>
      <c r="L453" s="552"/>
      <c r="M453" s="551"/>
      <c r="N453" s="552"/>
      <c r="O453" s="551">
        <v>0.3</v>
      </c>
      <c r="P453" s="552"/>
      <c r="Q453" s="551"/>
      <c r="R453" s="552"/>
      <c r="S453" s="551">
        <v>3.4</v>
      </c>
      <c r="T453" s="552"/>
      <c r="U453" s="551"/>
      <c r="V453" s="552"/>
      <c r="W453" s="548">
        <f t="shared" si="34"/>
        <v>4.4999999999999998E-2</v>
      </c>
      <c r="X453" s="549"/>
      <c r="Y453" s="550"/>
      <c r="Z453" s="527">
        <f t="shared" si="35"/>
        <v>0.153</v>
      </c>
      <c r="AA453" s="528"/>
      <c r="AB453" s="529"/>
      <c r="AC453" s="35"/>
      <c r="AD453" s="36"/>
      <c r="AE453" s="37"/>
      <c r="AF453" s="35"/>
      <c r="AG453" s="36"/>
      <c r="AH453" s="38"/>
    </row>
    <row r="454" spans="1:34" ht="15.75">
      <c r="A454" s="507"/>
      <c r="B454" s="508"/>
      <c r="C454" s="509"/>
      <c r="D454" s="545" t="s">
        <v>717</v>
      </c>
      <c r="E454" s="546"/>
      <c r="F454" s="546"/>
      <c r="G454" s="546"/>
      <c r="H454" s="546"/>
      <c r="I454" s="547"/>
      <c r="J454" s="47"/>
      <c r="K454" s="551">
        <v>0.15</v>
      </c>
      <c r="L454" s="552"/>
      <c r="M454" s="551"/>
      <c r="N454" s="552"/>
      <c r="O454" s="551">
        <v>0.3</v>
      </c>
      <c r="P454" s="552"/>
      <c r="Q454" s="551"/>
      <c r="R454" s="552"/>
      <c r="S454" s="551">
        <v>4.9000000000000004</v>
      </c>
      <c r="T454" s="552"/>
      <c r="U454" s="551"/>
      <c r="V454" s="552"/>
      <c r="W454" s="548">
        <f t="shared" si="34"/>
        <v>4.4999999999999998E-2</v>
      </c>
      <c r="X454" s="549"/>
      <c r="Y454" s="550"/>
      <c r="Z454" s="527">
        <f t="shared" si="35"/>
        <v>0.2205</v>
      </c>
      <c r="AA454" s="528"/>
      <c r="AB454" s="529"/>
      <c r="AC454" s="35"/>
      <c r="AD454" s="36"/>
      <c r="AE454" s="37"/>
      <c r="AF454" s="35"/>
      <c r="AG454" s="36"/>
      <c r="AH454" s="38"/>
    </row>
    <row r="455" spans="1:34" ht="15.75">
      <c r="A455" s="507"/>
      <c r="B455" s="508"/>
      <c r="C455" s="509"/>
      <c r="D455" s="545" t="s">
        <v>718</v>
      </c>
      <c r="E455" s="546"/>
      <c r="F455" s="546"/>
      <c r="G455" s="546"/>
      <c r="H455" s="546"/>
      <c r="I455" s="547"/>
      <c r="J455" s="47"/>
      <c r="K455" s="551">
        <v>0.15</v>
      </c>
      <c r="L455" s="552"/>
      <c r="M455" s="551"/>
      <c r="N455" s="552"/>
      <c r="O455" s="551">
        <v>0.3</v>
      </c>
      <c r="P455" s="552"/>
      <c r="Q455" s="551"/>
      <c r="R455" s="552"/>
      <c r="S455" s="551">
        <v>3.4</v>
      </c>
      <c r="T455" s="552"/>
      <c r="U455" s="551"/>
      <c r="V455" s="552"/>
      <c r="W455" s="548">
        <f t="shared" si="34"/>
        <v>4.4999999999999998E-2</v>
      </c>
      <c r="X455" s="549"/>
      <c r="Y455" s="550"/>
      <c r="Z455" s="527">
        <f t="shared" si="35"/>
        <v>0.153</v>
      </c>
      <c r="AA455" s="528"/>
      <c r="AB455" s="529"/>
      <c r="AC455" s="35"/>
      <c r="AD455" s="36"/>
      <c r="AE455" s="37"/>
      <c r="AF455" s="35"/>
      <c r="AG455" s="36"/>
      <c r="AH455" s="38"/>
    </row>
    <row r="456" spans="1:34" ht="15.75">
      <c r="A456" s="507"/>
      <c r="B456" s="508"/>
      <c r="C456" s="509"/>
      <c r="D456" s="545" t="s">
        <v>719</v>
      </c>
      <c r="E456" s="546"/>
      <c r="F456" s="546"/>
      <c r="G456" s="546"/>
      <c r="H456" s="546"/>
      <c r="I456" s="547"/>
      <c r="J456" s="47"/>
      <c r="K456" s="551">
        <v>0.15</v>
      </c>
      <c r="L456" s="552"/>
      <c r="M456" s="551"/>
      <c r="N456" s="552"/>
      <c r="O456" s="551">
        <v>0.3</v>
      </c>
      <c r="P456" s="552"/>
      <c r="Q456" s="551"/>
      <c r="R456" s="552"/>
      <c r="S456" s="551">
        <v>4.9000000000000004</v>
      </c>
      <c r="T456" s="552"/>
      <c r="U456" s="551"/>
      <c r="V456" s="552"/>
      <c r="W456" s="548">
        <f t="shared" si="34"/>
        <v>4.4999999999999998E-2</v>
      </c>
      <c r="X456" s="549"/>
      <c r="Y456" s="550"/>
      <c r="Z456" s="527">
        <f t="shared" si="35"/>
        <v>0.2205</v>
      </c>
      <c r="AA456" s="528"/>
      <c r="AB456" s="529"/>
      <c r="AC456" s="35"/>
      <c r="AD456" s="36"/>
      <c r="AE456" s="37"/>
      <c r="AF456" s="35"/>
      <c r="AG456" s="36"/>
      <c r="AH456" s="38"/>
    </row>
    <row r="457" spans="1:34" ht="15.75">
      <c r="A457" s="507"/>
      <c r="B457" s="508"/>
      <c r="C457" s="509"/>
      <c r="D457" s="545" t="s">
        <v>720</v>
      </c>
      <c r="E457" s="546"/>
      <c r="F457" s="546"/>
      <c r="G457" s="546"/>
      <c r="H457" s="546"/>
      <c r="I457" s="547"/>
      <c r="J457" s="47"/>
      <c r="K457" s="551">
        <v>0.15</v>
      </c>
      <c r="L457" s="552"/>
      <c r="M457" s="551"/>
      <c r="N457" s="552"/>
      <c r="O457" s="551">
        <v>0.3</v>
      </c>
      <c r="P457" s="552"/>
      <c r="Q457" s="551"/>
      <c r="R457" s="552"/>
      <c r="S457" s="551">
        <v>4.9000000000000004</v>
      </c>
      <c r="T457" s="552"/>
      <c r="U457" s="551"/>
      <c r="V457" s="552"/>
      <c r="W457" s="548">
        <f t="shared" si="34"/>
        <v>4.4999999999999998E-2</v>
      </c>
      <c r="X457" s="549"/>
      <c r="Y457" s="550"/>
      <c r="Z457" s="527">
        <f t="shared" si="35"/>
        <v>0.2205</v>
      </c>
      <c r="AA457" s="528"/>
      <c r="AB457" s="529"/>
      <c r="AC457" s="35"/>
      <c r="AD457" s="36"/>
      <c r="AE457" s="37"/>
      <c r="AF457" s="35"/>
      <c r="AG457" s="36"/>
      <c r="AH457" s="38"/>
    </row>
    <row r="458" spans="1:34" ht="15.75">
      <c r="A458" s="507"/>
      <c r="B458" s="508"/>
      <c r="C458" s="509"/>
      <c r="D458" s="545" t="s">
        <v>721</v>
      </c>
      <c r="E458" s="546"/>
      <c r="F458" s="546"/>
      <c r="G458" s="546"/>
      <c r="H458" s="546"/>
      <c r="I458" s="547"/>
      <c r="J458" s="47"/>
      <c r="K458" s="551">
        <v>0.15</v>
      </c>
      <c r="L458" s="552"/>
      <c r="M458" s="551"/>
      <c r="N458" s="552"/>
      <c r="O458" s="551">
        <v>0.3</v>
      </c>
      <c r="P458" s="552"/>
      <c r="Q458" s="551"/>
      <c r="R458" s="552"/>
      <c r="S458" s="551">
        <v>3.4</v>
      </c>
      <c r="T458" s="552"/>
      <c r="U458" s="551"/>
      <c r="V458" s="552"/>
      <c r="W458" s="548">
        <f t="shared" si="34"/>
        <v>4.4999999999999998E-2</v>
      </c>
      <c r="X458" s="549"/>
      <c r="Y458" s="550"/>
      <c r="Z458" s="527">
        <f t="shared" si="35"/>
        <v>0.153</v>
      </c>
      <c r="AA458" s="528"/>
      <c r="AB458" s="529"/>
      <c r="AC458" s="35"/>
      <c r="AD458" s="36"/>
      <c r="AE458" s="37"/>
      <c r="AF458" s="35"/>
      <c r="AG458" s="36"/>
      <c r="AH458" s="38"/>
    </row>
    <row r="459" spans="1:34" ht="15.75">
      <c r="A459" s="507"/>
      <c r="B459" s="508"/>
      <c r="C459" s="509"/>
      <c r="D459" s="545" t="s">
        <v>722</v>
      </c>
      <c r="E459" s="546"/>
      <c r="F459" s="546"/>
      <c r="G459" s="546"/>
      <c r="H459" s="546"/>
      <c r="I459" s="547"/>
      <c r="J459" s="47"/>
      <c r="K459" s="551">
        <v>0.15</v>
      </c>
      <c r="L459" s="552"/>
      <c r="M459" s="551"/>
      <c r="N459" s="552"/>
      <c r="O459" s="551">
        <v>0.3</v>
      </c>
      <c r="P459" s="552"/>
      <c r="Q459" s="551"/>
      <c r="R459" s="552"/>
      <c r="S459" s="551">
        <v>3.4</v>
      </c>
      <c r="T459" s="552"/>
      <c r="U459" s="512"/>
      <c r="V459" s="509"/>
      <c r="W459" s="548">
        <f t="shared" si="34"/>
        <v>4.4999999999999998E-2</v>
      </c>
      <c r="X459" s="549"/>
      <c r="Y459" s="550"/>
      <c r="Z459" s="527">
        <f t="shared" si="35"/>
        <v>0.153</v>
      </c>
      <c r="AA459" s="528"/>
      <c r="AB459" s="529"/>
      <c r="AC459" s="35"/>
      <c r="AD459" s="36"/>
      <c r="AE459" s="37"/>
      <c r="AF459" s="35"/>
      <c r="AG459" s="36"/>
      <c r="AH459" s="38"/>
    </row>
    <row r="460" spans="1:34" ht="15.75">
      <c r="A460" s="507"/>
      <c r="B460" s="508"/>
      <c r="C460" s="509"/>
      <c r="D460" s="545" t="s">
        <v>723</v>
      </c>
      <c r="E460" s="546"/>
      <c r="F460" s="546"/>
      <c r="G460" s="546"/>
      <c r="H460" s="546"/>
      <c r="I460" s="547"/>
      <c r="J460" s="47"/>
      <c r="K460" s="551">
        <v>0.15</v>
      </c>
      <c r="L460" s="552"/>
      <c r="M460" s="551"/>
      <c r="N460" s="552"/>
      <c r="O460" s="551">
        <v>0.3</v>
      </c>
      <c r="P460" s="552"/>
      <c r="Q460" s="551"/>
      <c r="R460" s="552"/>
      <c r="S460" s="551">
        <v>3.4</v>
      </c>
      <c r="T460" s="552"/>
      <c r="U460" s="551"/>
      <c r="V460" s="552"/>
      <c r="W460" s="548">
        <f t="shared" si="34"/>
        <v>4.4999999999999998E-2</v>
      </c>
      <c r="X460" s="549"/>
      <c r="Y460" s="550"/>
      <c r="Z460" s="527">
        <f t="shared" si="35"/>
        <v>0.153</v>
      </c>
      <c r="AA460" s="528"/>
      <c r="AB460" s="529"/>
      <c r="AC460" s="35"/>
      <c r="AD460" s="36"/>
      <c r="AE460" s="37"/>
      <c r="AF460" s="35"/>
      <c r="AG460" s="36"/>
      <c r="AH460" s="38"/>
    </row>
    <row r="461" spans="1:34" ht="15.75">
      <c r="A461" s="507"/>
      <c r="B461" s="508"/>
      <c r="C461" s="509"/>
      <c r="D461" s="545" t="s">
        <v>724</v>
      </c>
      <c r="E461" s="546"/>
      <c r="F461" s="546"/>
      <c r="G461" s="546"/>
      <c r="H461" s="546"/>
      <c r="I461" s="547"/>
      <c r="J461" s="47"/>
      <c r="K461" s="551">
        <v>0.15</v>
      </c>
      <c r="L461" s="552"/>
      <c r="M461" s="551"/>
      <c r="N461" s="552"/>
      <c r="O461" s="551">
        <v>0.3</v>
      </c>
      <c r="P461" s="552"/>
      <c r="Q461" s="551"/>
      <c r="R461" s="552"/>
      <c r="S461" s="551">
        <v>3.4</v>
      </c>
      <c r="T461" s="552"/>
      <c r="U461" s="551"/>
      <c r="V461" s="552"/>
      <c r="W461" s="548">
        <f t="shared" si="34"/>
        <v>4.4999999999999998E-2</v>
      </c>
      <c r="X461" s="549"/>
      <c r="Y461" s="550"/>
      <c r="Z461" s="527">
        <f t="shared" si="35"/>
        <v>0.153</v>
      </c>
      <c r="AA461" s="528"/>
      <c r="AB461" s="529"/>
      <c r="AC461" s="35"/>
      <c r="AD461" s="36"/>
      <c r="AE461" s="37"/>
      <c r="AF461" s="35"/>
      <c r="AG461" s="36"/>
      <c r="AH461" s="38"/>
    </row>
    <row r="462" spans="1:34" ht="15.75">
      <c r="A462" s="507"/>
      <c r="B462" s="508"/>
      <c r="C462" s="509"/>
      <c r="D462" s="545" t="s">
        <v>725</v>
      </c>
      <c r="E462" s="546"/>
      <c r="F462" s="546"/>
      <c r="G462" s="546"/>
      <c r="H462" s="546"/>
      <c r="I462" s="547"/>
      <c r="J462" s="47"/>
      <c r="K462" s="551">
        <v>0.15</v>
      </c>
      <c r="L462" s="552"/>
      <c r="M462" s="551"/>
      <c r="N462" s="552"/>
      <c r="O462" s="551">
        <v>0.3</v>
      </c>
      <c r="P462" s="552"/>
      <c r="Q462" s="551"/>
      <c r="R462" s="552"/>
      <c r="S462" s="551">
        <v>3.4</v>
      </c>
      <c r="T462" s="552"/>
      <c r="U462" s="551"/>
      <c r="V462" s="552"/>
      <c r="W462" s="548">
        <f t="shared" si="34"/>
        <v>4.4999999999999998E-2</v>
      </c>
      <c r="X462" s="549"/>
      <c r="Y462" s="550"/>
      <c r="Z462" s="527">
        <f t="shared" si="35"/>
        <v>0.153</v>
      </c>
      <c r="AA462" s="528"/>
      <c r="AB462" s="529"/>
      <c r="AC462" s="35"/>
      <c r="AD462" s="36"/>
      <c r="AE462" s="37"/>
      <c r="AF462" s="35"/>
      <c r="AG462" s="36"/>
      <c r="AH462" s="38"/>
    </row>
    <row r="463" spans="1:34" ht="15.75">
      <c r="A463" s="507"/>
      <c r="B463" s="508"/>
      <c r="C463" s="509"/>
      <c r="D463" s="545" t="s">
        <v>726</v>
      </c>
      <c r="E463" s="546"/>
      <c r="F463" s="546"/>
      <c r="G463" s="546"/>
      <c r="H463" s="546"/>
      <c r="I463" s="547"/>
      <c r="J463" s="47"/>
      <c r="K463" s="551">
        <v>0.2</v>
      </c>
      <c r="L463" s="552"/>
      <c r="M463" s="551"/>
      <c r="N463" s="552"/>
      <c r="O463" s="551">
        <v>0.3</v>
      </c>
      <c r="P463" s="552"/>
      <c r="Q463" s="551"/>
      <c r="R463" s="552"/>
      <c r="S463" s="551">
        <v>3.4</v>
      </c>
      <c r="T463" s="552"/>
      <c r="U463" s="551"/>
      <c r="V463" s="552"/>
      <c r="W463" s="548">
        <f t="shared" si="34"/>
        <v>0.06</v>
      </c>
      <c r="X463" s="549"/>
      <c r="Y463" s="550"/>
      <c r="Z463" s="527">
        <f t="shared" si="35"/>
        <v>0.20399999999999999</v>
      </c>
      <c r="AA463" s="528"/>
      <c r="AB463" s="529"/>
      <c r="AC463" s="35"/>
      <c r="AD463" s="36"/>
      <c r="AE463" s="37"/>
      <c r="AF463" s="35"/>
      <c r="AG463" s="36"/>
      <c r="AH463" s="38"/>
    </row>
    <row r="464" spans="1:34" ht="15.75">
      <c r="A464" s="507"/>
      <c r="B464" s="508"/>
      <c r="C464" s="509"/>
      <c r="D464" s="545" t="s">
        <v>727</v>
      </c>
      <c r="E464" s="546"/>
      <c r="F464" s="546"/>
      <c r="G464" s="546"/>
      <c r="H464" s="546"/>
      <c r="I464" s="547"/>
      <c r="J464" s="47"/>
      <c r="K464" s="551">
        <v>0.2</v>
      </c>
      <c r="L464" s="552"/>
      <c r="M464" s="551"/>
      <c r="N464" s="552"/>
      <c r="O464" s="551">
        <v>0.3</v>
      </c>
      <c r="P464" s="552"/>
      <c r="Q464" s="551"/>
      <c r="R464" s="552"/>
      <c r="S464" s="551">
        <v>4.9000000000000004</v>
      </c>
      <c r="T464" s="552"/>
      <c r="U464" s="551"/>
      <c r="V464" s="552"/>
      <c r="W464" s="548">
        <f t="shared" ref="W464:W491" si="36">K464*O464</f>
        <v>0.06</v>
      </c>
      <c r="X464" s="549"/>
      <c r="Y464" s="550"/>
      <c r="Z464" s="527">
        <f t="shared" ref="Z464:Z491" si="37">W464*S464</f>
        <v>0.29399999999999998</v>
      </c>
      <c r="AA464" s="528"/>
      <c r="AB464" s="529"/>
      <c r="AC464" s="35"/>
      <c r="AD464" s="36"/>
      <c r="AE464" s="37"/>
      <c r="AF464" s="35"/>
      <c r="AG464" s="36"/>
      <c r="AH464" s="38"/>
    </row>
    <row r="465" spans="1:34" ht="15.75">
      <c r="A465" s="507"/>
      <c r="B465" s="508"/>
      <c r="C465" s="509"/>
      <c r="D465" s="545" t="s">
        <v>728</v>
      </c>
      <c r="E465" s="546"/>
      <c r="F465" s="546"/>
      <c r="G465" s="546"/>
      <c r="H465" s="546"/>
      <c r="I465" s="547"/>
      <c r="J465" s="47"/>
      <c r="K465" s="551">
        <v>0.15</v>
      </c>
      <c r="L465" s="552"/>
      <c r="M465" s="551"/>
      <c r="N465" s="552"/>
      <c r="O465" s="551">
        <v>0.3</v>
      </c>
      <c r="P465" s="552"/>
      <c r="Q465" s="551"/>
      <c r="R465" s="552"/>
      <c r="S465" s="551">
        <v>4.9000000000000004</v>
      </c>
      <c r="T465" s="552"/>
      <c r="U465" s="551"/>
      <c r="V465" s="552"/>
      <c r="W465" s="548">
        <f t="shared" si="36"/>
        <v>4.4999999999999998E-2</v>
      </c>
      <c r="X465" s="549"/>
      <c r="Y465" s="550"/>
      <c r="Z465" s="527">
        <f t="shared" si="37"/>
        <v>0.2205</v>
      </c>
      <c r="AA465" s="528"/>
      <c r="AB465" s="529"/>
      <c r="AC465" s="35"/>
      <c r="AD465" s="36"/>
      <c r="AE465" s="37"/>
      <c r="AF465" s="35"/>
      <c r="AG465" s="36"/>
      <c r="AH465" s="38"/>
    </row>
    <row r="466" spans="1:34" ht="15.75">
      <c r="A466" s="507"/>
      <c r="B466" s="508"/>
      <c r="C466" s="509"/>
      <c r="D466" s="545" t="s">
        <v>729</v>
      </c>
      <c r="E466" s="546"/>
      <c r="F466" s="546"/>
      <c r="G466" s="546"/>
      <c r="H466" s="546"/>
      <c r="I466" s="547"/>
      <c r="J466" s="47"/>
      <c r="K466" s="551">
        <v>0.15</v>
      </c>
      <c r="L466" s="552"/>
      <c r="M466" s="551"/>
      <c r="N466" s="552"/>
      <c r="O466" s="551">
        <v>0.3</v>
      </c>
      <c r="P466" s="552"/>
      <c r="Q466" s="551"/>
      <c r="R466" s="552"/>
      <c r="S466" s="551">
        <v>4.9000000000000004</v>
      </c>
      <c r="T466" s="552"/>
      <c r="U466" s="551"/>
      <c r="V466" s="552"/>
      <c r="W466" s="548">
        <f t="shared" si="36"/>
        <v>4.4999999999999998E-2</v>
      </c>
      <c r="X466" s="549"/>
      <c r="Y466" s="550"/>
      <c r="Z466" s="527">
        <f t="shared" si="37"/>
        <v>0.2205</v>
      </c>
      <c r="AA466" s="528"/>
      <c r="AB466" s="529"/>
      <c r="AC466" s="35"/>
      <c r="AD466" s="36"/>
      <c r="AE466" s="37"/>
      <c r="AF466" s="35"/>
      <c r="AG466" s="36"/>
      <c r="AH466" s="38"/>
    </row>
    <row r="467" spans="1:34" ht="15.75">
      <c r="A467" s="507"/>
      <c r="B467" s="508"/>
      <c r="C467" s="509"/>
      <c r="D467" s="545" t="s">
        <v>730</v>
      </c>
      <c r="E467" s="546"/>
      <c r="F467" s="546"/>
      <c r="G467" s="546"/>
      <c r="H467" s="546"/>
      <c r="I467" s="547"/>
      <c r="J467" s="47"/>
      <c r="K467" s="551">
        <v>0.15</v>
      </c>
      <c r="L467" s="552"/>
      <c r="M467" s="551"/>
      <c r="N467" s="552"/>
      <c r="O467" s="551">
        <v>0.3</v>
      </c>
      <c r="P467" s="552"/>
      <c r="Q467" s="551"/>
      <c r="R467" s="552"/>
      <c r="S467" s="551">
        <v>3.4</v>
      </c>
      <c r="T467" s="552"/>
      <c r="U467" s="512"/>
      <c r="V467" s="509"/>
      <c r="W467" s="548">
        <f t="shared" si="36"/>
        <v>4.4999999999999998E-2</v>
      </c>
      <c r="X467" s="549"/>
      <c r="Y467" s="550"/>
      <c r="Z467" s="527">
        <f t="shared" si="37"/>
        <v>0.153</v>
      </c>
      <c r="AA467" s="528"/>
      <c r="AB467" s="529"/>
      <c r="AC467" s="35"/>
      <c r="AD467" s="36"/>
      <c r="AE467" s="37"/>
      <c r="AF467" s="35"/>
      <c r="AG467" s="36"/>
      <c r="AH467" s="38"/>
    </row>
    <row r="468" spans="1:34" ht="15.75">
      <c r="A468" s="507"/>
      <c r="B468" s="508"/>
      <c r="C468" s="509"/>
      <c r="D468" s="545" t="s">
        <v>731</v>
      </c>
      <c r="E468" s="546"/>
      <c r="F468" s="546"/>
      <c r="G468" s="546"/>
      <c r="H468" s="546"/>
      <c r="I468" s="547"/>
      <c r="J468" s="47"/>
      <c r="K468" s="551">
        <v>0.15</v>
      </c>
      <c r="L468" s="552"/>
      <c r="M468" s="551"/>
      <c r="N468" s="552"/>
      <c r="O468" s="551">
        <v>0.3</v>
      </c>
      <c r="P468" s="552"/>
      <c r="Q468" s="551"/>
      <c r="R468" s="552"/>
      <c r="S468" s="551">
        <v>3.4</v>
      </c>
      <c r="T468" s="552"/>
      <c r="U468" s="551"/>
      <c r="V468" s="552"/>
      <c r="W468" s="548">
        <f t="shared" si="36"/>
        <v>4.4999999999999998E-2</v>
      </c>
      <c r="X468" s="549"/>
      <c r="Y468" s="550"/>
      <c r="Z468" s="527">
        <f t="shared" si="37"/>
        <v>0.153</v>
      </c>
      <c r="AA468" s="528"/>
      <c r="AB468" s="529"/>
      <c r="AC468" s="35"/>
      <c r="AD468" s="36"/>
      <c r="AE468" s="37"/>
      <c r="AF468" s="35"/>
      <c r="AG468" s="36"/>
      <c r="AH468" s="38"/>
    </row>
    <row r="469" spans="1:34" ht="15.75">
      <c r="A469" s="507"/>
      <c r="B469" s="508"/>
      <c r="C469" s="509"/>
      <c r="D469" s="545" t="s">
        <v>732</v>
      </c>
      <c r="E469" s="546"/>
      <c r="F469" s="546"/>
      <c r="G469" s="546"/>
      <c r="H469" s="546"/>
      <c r="I469" s="547"/>
      <c r="J469" s="47"/>
      <c r="K469" s="551">
        <v>0.15</v>
      </c>
      <c r="L469" s="552"/>
      <c r="M469" s="551"/>
      <c r="N469" s="552"/>
      <c r="O469" s="551">
        <v>0.3</v>
      </c>
      <c r="P469" s="552"/>
      <c r="Q469" s="551"/>
      <c r="R469" s="552"/>
      <c r="S469" s="551">
        <v>4.9000000000000004</v>
      </c>
      <c r="T469" s="552"/>
      <c r="U469" s="551"/>
      <c r="V469" s="552"/>
      <c r="W469" s="548">
        <f t="shared" si="36"/>
        <v>4.4999999999999998E-2</v>
      </c>
      <c r="X469" s="549"/>
      <c r="Y469" s="550"/>
      <c r="Z469" s="527">
        <f t="shared" si="37"/>
        <v>0.2205</v>
      </c>
      <c r="AA469" s="528"/>
      <c r="AB469" s="529"/>
      <c r="AC469" s="35"/>
      <c r="AD469" s="36"/>
      <c r="AE469" s="37"/>
      <c r="AF469" s="35"/>
      <c r="AG469" s="36"/>
      <c r="AH469" s="38"/>
    </row>
    <row r="470" spans="1:34" ht="15.75">
      <c r="A470" s="507"/>
      <c r="B470" s="508"/>
      <c r="C470" s="509"/>
      <c r="D470" s="545" t="s">
        <v>733</v>
      </c>
      <c r="E470" s="546"/>
      <c r="F470" s="546"/>
      <c r="G470" s="546"/>
      <c r="H470" s="546"/>
      <c r="I470" s="547"/>
      <c r="J470" s="47"/>
      <c r="K470" s="551">
        <v>0.15</v>
      </c>
      <c r="L470" s="552"/>
      <c r="M470" s="551"/>
      <c r="N470" s="552"/>
      <c r="O470" s="551">
        <v>0.3</v>
      </c>
      <c r="P470" s="552"/>
      <c r="Q470" s="551"/>
      <c r="R470" s="552"/>
      <c r="S470" s="551">
        <v>4.9000000000000004</v>
      </c>
      <c r="T470" s="552"/>
      <c r="U470" s="551"/>
      <c r="V470" s="552"/>
      <c r="W470" s="548">
        <f t="shared" si="36"/>
        <v>4.4999999999999998E-2</v>
      </c>
      <c r="X470" s="549"/>
      <c r="Y470" s="550"/>
      <c r="Z470" s="527">
        <f t="shared" si="37"/>
        <v>0.2205</v>
      </c>
      <c r="AA470" s="528"/>
      <c r="AB470" s="529"/>
      <c r="AC470" s="35"/>
      <c r="AD470" s="36"/>
      <c r="AE470" s="37"/>
      <c r="AF470" s="35"/>
      <c r="AG470" s="36"/>
      <c r="AH470" s="38"/>
    </row>
    <row r="471" spans="1:34" ht="15.75">
      <c r="A471" s="507"/>
      <c r="B471" s="508"/>
      <c r="C471" s="509"/>
      <c r="D471" s="545" t="s">
        <v>734</v>
      </c>
      <c r="E471" s="546"/>
      <c r="F471" s="546"/>
      <c r="G471" s="546"/>
      <c r="H471" s="546"/>
      <c r="I471" s="547"/>
      <c r="J471" s="47"/>
      <c r="K471" s="551">
        <v>0.15</v>
      </c>
      <c r="L471" s="552"/>
      <c r="M471" s="551"/>
      <c r="N471" s="552"/>
      <c r="O471" s="551">
        <v>0.3</v>
      </c>
      <c r="P471" s="552"/>
      <c r="Q471" s="551"/>
      <c r="R471" s="552"/>
      <c r="S471" s="551">
        <v>3.4</v>
      </c>
      <c r="T471" s="552"/>
      <c r="U471" s="551"/>
      <c r="V471" s="552"/>
      <c r="W471" s="548">
        <f t="shared" si="36"/>
        <v>4.4999999999999998E-2</v>
      </c>
      <c r="X471" s="549"/>
      <c r="Y471" s="550"/>
      <c r="Z471" s="527">
        <f t="shared" si="37"/>
        <v>0.153</v>
      </c>
      <c r="AA471" s="528"/>
      <c r="AB471" s="529"/>
      <c r="AC471" s="35"/>
      <c r="AD471" s="36"/>
      <c r="AE471" s="37"/>
      <c r="AF471" s="35"/>
      <c r="AG471" s="36"/>
      <c r="AH471" s="38"/>
    </row>
    <row r="472" spans="1:34" ht="15.75">
      <c r="A472" s="507"/>
      <c r="B472" s="508"/>
      <c r="C472" s="509"/>
      <c r="D472" s="545" t="s">
        <v>735</v>
      </c>
      <c r="E472" s="546"/>
      <c r="F472" s="546"/>
      <c r="G472" s="546"/>
      <c r="H472" s="546"/>
      <c r="I472" s="547"/>
      <c r="J472" s="47"/>
      <c r="K472" s="551">
        <v>0.15</v>
      </c>
      <c r="L472" s="552"/>
      <c r="M472" s="551"/>
      <c r="N472" s="552"/>
      <c r="O472" s="551">
        <v>0.3</v>
      </c>
      <c r="P472" s="552"/>
      <c r="Q472" s="551"/>
      <c r="R472" s="552"/>
      <c r="S472" s="551">
        <v>3.4</v>
      </c>
      <c r="T472" s="552"/>
      <c r="U472" s="551"/>
      <c r="V472" s="552"/>
      <c r="W472" s="548">
        <f t="shared" si="36"/>
        <v>4.4999999999999998E-2</v>
      </c>
      <c r="X472" s="549"/>
      <c r="Y472" s="550"/>
      <c r="Z472" s="527">
        <f t="shared" si="37"/>
        <v>0.153</v>
      </c>
      <c r="AA472" s="528"/>
      <c r="AB472" s="529"/>
      <c r="AC472" s="35"/>
      <c r="AD472" s="36"/>
      <c r="AE472" s="37"/>
      <c r="AF472" s="35"/>
      <c r="AG472" s="36"/>
      <c r="AH472" s="38"/>
    </row>
    <row r="473" spans="1:34" ht="15.75">
      <c r="A473" s="507"/>
      <c r="B473" s="508"/>
      <c r="C473" s="509"/>
      <c r="D473" s="545" t="s">
        <v>736</v>
      </c>
      <c r="E473" s="546"/>
      <c r="F473" s="546"/>
      <c r="G473" s="546"/>
      <c r="H473" s="546"/>
      <c r="I473" s="547"/>
      <c r="J473" s="47"/>
      <c r="K473" s="551">
        <v>0.15</v>
      </c>
      <c r="L473" s="552"/>
      <c r="M473" s="551"/>
      <c r="N473" s="552"/>
      <c r="O473" s="551">
        <v>0.3</v>
      </c>
      <c r="P473" s="552"/>
      <c r="Q473" s="551"/>
      <c r="R473" s="552"/>
      <c r="S473" s="551">
        <v>3.4</v>
      </c>
      <c r="T473" s="552"/>
      <c r="U473" s="551"/>
      <c r="V473" s="552"/>
      <c r="W473" s="548">
        <f t="shared" si="36"/>
        <v>4.4999999999999998E-2</v>
      </c>
      <c r="X473" s="549"/>
      <c r="Y473" s="550"/>
      <c r="Z473" s="527">
        <f t="shared" si="37"/>
        <v>0.153</v>
      </c>
      <c r="AA473" s="528"/>
      <c r="AB473" s="529"/>
      <c r="AC473" s="35"/>
      <c r="AD473" s="36"/>
      <c r="AE473" s="37"/>
      <c r="AF473" s="35"/>
      <c r="AG473" s="36"/>
      <c r="AH473" s="38"/>
    </row>
    <row r="474" spans="1:34" ht="15.75">
      <c r="A474" s="507"/>
      <c r="B474" s="508"/>
      <c r="C474" s="509"/>
      <c r="D474" s="545" t="s">
        <v>737</v>
      </c>
      <c r="E474" s="546"/>
      <c r="F474" s="546"/>
      <c r="G474" s="546"/>
      <c r="H474" s="546"/>
      <c r="I474" s="547"/>
      <c r="J474" s="47"/>
      <c r="K474" s="551">
        <v>0.15</v>
      </c>
      <c r="L474" s="552"/>
      <c r="M474" s="551"/>
      <c r="N474" s="552"/>
      <c r="O474" s="551">
        <v>0.3</v>
      </c>
      <c r="P474" s="552"/>
      <c r="Q474" s="551"/>
      <c r="R474" s="552"/>
      <c r="S474" s="551">
        <v>3.4</v>
      </c>
      <c r="T474" s="552"/>
      <c r="U474" s="551"/>
      <c r="V474" s="552"/>
      <c r="W474" s="548">
        <f t="shared" si="36"/>
        <v>4.4999999999999998E-2</v>
      </c>
      <c r="X474" s="549"/>
      <c r="Y474" s="550"/>
      <c r="Z474" s="527">
        <f t="shared" si="37"/>
        <v>0.153</v>
      </c>
      <c r="AA474" s="528"/>
      <c r="AB474" s="529"/>
      <c r="AC474" s="35"/>
      <c r="AD474" s="36"/>
      <c r="AE474" s="37"/>
      <c r="AF474" s="35"/>
      <c r="AG474" s="36"/>
      <c r="AH474" s="38"/>
    </row>
    <row r="475" spans="1:34" ht="15.75">
      <c r="A475" s="507"/>
      <c r="B475" s="508"/>
      <c r="C475" s="509"/>
      <c r="D475" s="545" t="s">
        <v>738</v>
      </c>
      <c r="E475" s="546"/>
      <c r="F475" s="546"/>
      <c r="G475" s="546"/>
      <c r="H475" s="546"/>
      <c r="I475" s="547"/>
      <c r="J475" s="47"/>
      <c r="K475" s="551">
        <v>0.15</v>
      </c>
      <c r="L475" s="552"/>
      <c r="M475" s="551"/>
      <c r="N475" s="552"/>
      <c r="O475" s="551">
        <v>0.3</v>
      </c>
      <c r="P475" s="552"/>
      <c r="Q475" s="551"/>
      <c r="R475" s="552"/>
      <c r="S475" s="551">
        <v>3.4</v>
      </c>
      <c r="T475" s="552"/>
      <c r="U475" s="512"/>
      <c r="V475" s="509"/>
      <c r="W475" s="548">
        <f t="shared" si="36"/>
        <v>4.4999999999999998E-2</v>
      </c>
      <c r="X475" s="549"/>
      <c r="Y475" s="550"/>
      <c r="Z475" s="527">
        <f t="shared" si="37"/>
        <v>0.153</v>
      </c>
      <c r="AA475" s="528"/>
      <c r="AB475" s="529"/>
      <c r="AC475" s="35"/>
      <c r="AD475" s="36"/>
      <c r="AE475" s="37"/>
      <c r="AF475" s="35"/>
      <c r="AG475" s="36"/>
      <c r="AH475" s="38"/>
    </row>
    <row r="476" spans="1:34" ht="15.75">
      <c r="A476" s="507"/>
      <c r="B476" s="508"/>
      <c r="C476" s="509"/>
      <c r="D476" s="545" t="s">
        <v>739</v>
      </c>
      <c r="E476" s="546"/>
      <c r="F476" s="546"/>
      <c r="G476" s="546"/>
      <c r="H476" s="546"/>
      <c r="I476" s="547"/>
      <c r="J476" s="47"/>
      <c r="K476" s="551">
        <v>0.15</v>
      </c>
      <c r="L476" s="552"/>
      <c r="M476" s="551"/>
      <c r="N476" s="552"/>
      <c r="O476" s="551">
        <v>0.3</v>
      </c>
      <c r="P476" s="552"/>
      <c r="Q476" s="551"/>
      <c r="R476" s="552"/>
      <c r="S476" s="551">
        <v>4.9000000000000004</v>
      </c>
      <c r="T476" s="552"/>
      <c r="U476" s="551"/>
      <c r="V476" s="552"/>
      <c r="W476" s="548">
        <f t="shared" si="36"/>
        <v>4.4999999999999998E-2</v>
      </c>
      <c r="X476" s="549"/>
      <c r="Y476" s="550"/>
      <c r="Z476" s="527">
        <f t="shared" si="37"/>
        <v>0.2205</v>
      </c>
      <c r="AA476" s="528"/>
      <c r="AB476" s="529"/>
      <c r="AC476" s="35"/>
      <c r="AD476" s="36"/>
      <c r="AE476" s="37"/>
      <c r="AF476" s="35"/>
      <c r="AG476" s="36"/>
      <c r="AH476" s="38"/>
    </row>
    <row r="477" spans="1:34" ht="15.75">
      <c r="A477" s="507"/>
      <c r="B477" s="508"/>
      <c r="C477" s="509"/>
      <c r="D477" s="545" t="s">
        <v>740</v>
      </c>
      <c r="E477" s="546"/>
      <c r="F477" s="546"/>
      <c r="G477" s="546"/>
      <c r="H477" s="546"/>
      <c r="I477" s="547"/>
      <c r="J477" s="47"/>
      <c r="K477" s="551">
        <v>0.15</v>
      </c>
      <c r="L477" s="552"/>
      <c r="M477" s="551"/>
      <c r="N477" s="552"/>
      <c r="O477" s="551">
        <v>0.3</v>
      </c>
      <c r="P477" s="552"/>
      <c r="Q477" s="551"/>
      <c r="R477" s="552"/>
      <c r="S477" s="551">
        <v>3.4</v>
      </c>
      <c r="T477" s="552"/>
      <c r="U477" s="551"/>
      <c r="V477" s="552"/>
      <c r="W477" s="548">
        <f t="shared" si="36"/>
        <v>4.4999999999999998E-2</v>
      </c>
      <c r="X477" s="549"/>
      <c r="Y477" s="550"/>
      <c r="Z477" s="527">
        <f t="shared" si="37"/>
        <v>0.153</v>
      </c>
      <c r="AA477" s="528"/>
      <c r="AB477" s="529"/>
      <c r="AC477" s="35"/>
      <c r="AD477" s="36"/>
      <c r="AE477" s="37"/>
      <c r="AF477" s="35"/>
      <c r="AG477" s="36"/>
      <c r="AH477" s="38"/>
    </row>
    <row r="478" spans="1:34" ht="15.75">
      <c r="A478" s="507"/>
      <c r="B478" s="508"/>
      <c r="C478" s="509"/>
      <c r="D478" s="545" t="s">
        <v>741</v>
      </c>
      <c r="E478" s="546"/>
      <c r="F478" s="546"/>
      <c r="G478" s="546"/>
      <c r="H478" s="546"/>
      <c r="I478" s="547"/>
      <c r="J478" s="47"/>
      <c r="K478" s="551">
        <v>0.15</v>
      </c>
      <c r="L478" s="552"/>
      <c r="M478" s="551"/>
      <c r="N478" s="552"/>
      <c r="O478" s="551">
        <v>0.3</v>
      </c>
      <c r="P478" s="552"/>
      <c r="Q478" s="551"/>
      <c r="R478" s="552"/>
      <c r="S478" s="551">
        <v>3.4</v>
      </c>
      <c r="T478" s="552"/>
      <c r="U478" s="551"/>
      <c r="V478" s="552"/>
      <c r="W478" s="548">
        <f t="shared" si="36"/>
        <v>4.4999999999999998E-2</v>
      </c>
      <c r="X478" s="549"/>
      <c r="Y478" s="550"/>
      <c r="Z478" s="527">
        <f t="shared" si="37"/>
        <v>0.153</v>
      </c>
      <c r="AA478" s="528"/>
      <c r="AB478" s="529"/>
      <c r="AC478" s="35"/>
      <c r="AD478" s="36"/>
      <c r="AE478" s="37"/>
      <c r="AF478" s="35"/>
      <c r="AG478" s="36"/>
      <c r="AH478" s="38"/>
    </row>
    <row r="479" spans="1:34" ht="15.75">
      <c r="A479" s="507"/>
      <c r="B479" s="508"/>
      <c r="C479" s="509"/>
      <c r="D479" s="545" t="s">
        <v>742</v>
      </c>
      <c r="E479" s="546"/>
      <c r="F479" s="546"/>
      <c r="G479" s="546"/>
      <c r="H479" s="546"/>
      <c r="I479" s="547"/>
      <c r="J479" s="47"/>
      <c r="K479" s="551">
        <v>0.15</v>
      </c>
      <c r="L479" s="552"/>
      <c r="M479" s="551"/>
      <c r="N479" s="552"/>
      <c r="O479" s="551">
        <v>0.3</v>
      </c>
      <c r="P479" s="552"/>
      <c r="Q479" s="551"/>
      <c r="R479" s="552"/>
      <c r="S479" s="551">
        <v>3.4</v>
      </c>
      <c r="T479" s="552"/>
      <c r="U479" s="551"/>
      <c r="V479" s="552"/>
      <c r="W479" s="548">
        <f t="shared" si="36"/>
        <v>4.4999999999999998E-2</v>
      </c>
      <c r="X479" s="549"/>
      <c r="Y479" s="550"/>
      <c r="Z479" s="527">
        <f t="shared" si="37"/>
        <v>0.153</v>
      </c>
      <c r="AA479" s="528"/>
      <c r="AB479" s="529"/>
      <c r="AC479" s="35"/>
      <c r="AD479" s="36"/>
      <c r="AE479" s="37"/>
      <c r="AF479" s="35"/>
      <c r="AG479" s="36"/>
      <c r="AH479" s="38"/>
    </row>
    <row r="480" spans="1:34" ht="15.75">
      <c r="A480" s="507"/>
      <c r="B480" s="508"/>
      <c r="C480" s="509"/>
      <c r="D480" s="545" t="s">
        <v>743</v>
      </c>
      <c r="E480" s="546"/>
      <c r="F480" s="546"/>
      <c r="G480" s="546"/>
      <c r="H480" s="546"/>
      <c r="I480" s="547"/>
      <c r="J480" s="47"/>
      <c r="K480" s="551">
        <v>0.15</v>
      </c>
      <c r="L480" s="552"/>
      <c r="M480" s="551"/>
      <c r="N480" s="552"/>
      <c r="O480" s="551">
        <v>0.3</v>
      </c>
      <c r="P480" s="552"/>
      <c r="Q480" s="551"/>
      <c r="R480" s="552"/>
      <c r="S480" s="551">
        <v>4.9000000000000004</v>
      </c>
      <c r="T480" s="552"/>
      <c r="U480" s="551"/>
      <c r="V480" s="552"/>
      <c r="W480" s="548">
        <f t="shared" si="36"/>
        <v>4.4999999999999998E-2</v>
      </c>
      <c r="X480" s="549"/>
      <c r="Y480" s="550"/>
      <c r="Z480" s="527">
        <f t="shared" si="37"/>
        <v>0.2205</v>
      </c>
      <c r="AA480" s="528"/>
      <c r="AB480" s="529"/>
      <c r="AC480" s="35"/>
      <c r="AD480" s="36"/>
      <c r="AE480" s="37"/>
      <c r="AF480" s="35"/>
      <c r="AG480" s="36"/>
      <c r="AH480" s="38"/>
    </row>
    <row r="481" spans="1:34" ht="15.75">
      <c r="A481" s="507"/>
      <c r="B481" s="508"/>
      <c r="C481" s="509"/>
      <c r="D481" s="545" t="s">
        <v>744</v>
      </c>
      <c r="E481" s="546"/>
      <c r="F481" s="546"/>
      <c r="G481" s="546"/>
      <c r="H481" s="546"/>
      <c r="I481" s="547"/>
      <c r="J481" s="47"/>
      <c r="K481" s="551">
        <v>0.15</v>
      </c>
      <c r="L481" s="552"/>
      <c r="M481" s="551"/>
      <c r="N481" s="552"/>
      <c r="O481" s="551">
        <v>0.3</v>
      </c>
      <c r="P481" s="552"/>
      <c r="Q481" s="551"/>
      <c r="R481" s="552"/>
      <c r="S481" s="551">
        <v>4.9000000000000004</v>
      </c>
      <c r="T481" s="552"/>
      <c r="U481" s="551"/>
      <c r="V481" s="552"/>
      <c r="W481" s="548">
        <f t="shared" si="36"/>
        <v>4.4999999999999998E-2</v>
      </c>
      <c r="X481" s="549"/>
      <c r="Y481" s="550"/>
      <c r="Z481" s="527">
        <f t="shared" si="37"/>
        <v>0.2205</v>
      </c>
      <c r="AA481" s="528"/>
      <c r="AB481" s="529"/>
      <c r="AC481" s="35"/>
      <c r="AD481" s="36"/>
      <c r="AE481" s="37"/>
      <c r="AF481" s="35"/>
      <c r="AG481" s="36"/>
      <c r="AH481" s="38"/>
    </row>
    <row r="482" spans="1:34" ht="15.75">
      <c r="A482" s="507"/>
      <c r="B482" s="508"/>
      <c r="C482" s="509"/>
      <c r="D482" s="545" t="s">
        <v>745</v>
      </c>
      <c r="E482" s="546"/>
      <c r="F482" s="546"/>
      <c r="G482" s="546"/>
      <c r="H482" s="546"/>
      <c r="I482" s="547"/>
      <c r="J482" s="47"/>
      <c r="K482" s="551">
        <v>0.15</v>
      </c>
      <c r="L482" s="552"/>
      <c r="M482" s="551"/>
      <c r="N482" s="552"/>
      <c r="O482" s="551">
        <v>0.3</v>
      </c>
      <c r="P482" s="552"/>
      <c r="Q482" s="551"/>
      <c r="R482" s="552"/>
      <c r="S482" s="551">
        <v>4.9000000000000004</v>
      </c>
      <c r="T482" s="552"/>
      <c r="U482" s="551"/>
      <c r="V482" s="552"/>
      <c r="W482" s="548">
        <f t="shared" si="36"/>
        <v>4.4999999999999998E-2</v>
      </c>
      <c r="X482" s="549"/>
      <c r="Y482" s="550"/>
      <c r="Z482" s="527">
        <f t="shared" si="37"/>
        <v>0.2205</v>
      </c>
      <c r="AA482" s="528"/>
      <c r="AB482" s="529"/>
      <c r="AC482" s="35"/>
      <c r="AD482" s="36"/>
      <c r="AE482" s="37"/>
      <c r="AF482" s="35"/>
      <c r="AG482" s="36"/>
      <c r="AH482" s="38"/>
    </row>
    <row r="483" spans="1:34" ht="15.75">
      <c r="A483" s="507"/>
      <c r="B483" s="508"/>
      <c r="C483" s="509"/>
      <c r="D483" s="545" t="s">
        <v>746</v>
      </c>
      <c r="E483" s="546"/>
      <c r="F483" s="546"/>
      <c r="G483" s="546"/>
      <c r="H483" s="546"/>
      <c r="I483" s="547"/>
      <c r="J483" s="47"/>
      <c r="K483" s="551">
        <v>0.15</v>
      </c>
      <c r="L483" s="552"/>
      <c r="M483" s="551"/>
      <c r="N483" s="552"/>
      <c r="O483" s="551">
        <v>0.3</v>
      </c>
      <c r="P483" s="552"/>
      <c r="Q483" s="551"/>
      <c r="R483" s="552"/>
      <c r="S483" s="551">
        <v>4.9000000000000004</v>
      </c>
      <c r="T483" s="552"/>
      <c r="U483" s="512"/>
      <c r="V483" s="509"/>
      <c r="W483" s="548">
        <f t="shared" si="36"/>
        <v>4.4999999999999998E-2</v>
      </c>
      <c r="X483" s="549"/>
      <c r="Y483" s="550"/>
      <c r="Z483" s="527">
        <f t="shared" si="37"/>
        <v>0.2205</v>
      </c>
      <c r="AA483" s="528"/>
      <c r="AB483" s="529"/>
      <c r="AC483" s="35"/>
      <c r="AD483" s="36"/>
      <c r="AE483" s="37"/>
      <c r="AF483" s="35"/>
      <c r="AG483" s="36"/>
      <c r="AH483" s="38"/>
    </row>
    <row r="484" spans="1:34" ht="15.75">
      <c r="A484" s="507"/>
      <c r="B484" s="508"/>
      <c r="C484" s="509"/>
      <c r="D484" s="545" t="s">
        <v>747</v>
      </c>
      <c r="E484" s="546"/>
      <c r="F484" s="546"/>
      <c r="G484" s="546"/>
      <c r="H484" s="546"/>
      <c r="I484" s="547"/>
      <c r="J484" s="47"/>
      <c r="K484" s="551">
        <v>0.15</v>
      </c>
      <c r="L484" s="552"/>
      <c r="M484" s="551"/>
      <c r="N484" s="552"/>
      <c r="O484" s="551">
        <v>0.3</v>
      </c>
      <c r="P484" s="552"/>
      <c r="Q484" s="551"/>
      <c r="R484" s="552"/>
      <c r="S484" s="551">
        <v>4.9000000000000004</v>
      </c>
      <c r="T484" s="552"/>
      <c r="U484" s="551"/>
      <c r="V484" s="552"/>
      <c r="W484" s="548">
        <f t="shared" si="36"/>
        <v>4.4999999999999998E-2</v>
      </c>
      <c r="X484" s="549"/>
      <c r="Y484" s="550"/>
      <c r="Z484" s="527">
        <f t="shared" si="37"/>
        <v>0.2205</v>
      </c>
      <c r="AA484" s="528"/>
      <c r="AB484" s="529"/>
      <c r="AC484" s="35"/>
      <c r="AD484" s="36"/>
      <c r="AE484" s="37"/>
      <c r="AF484" s="35"/>
      <c r="AG484" s="36"/>
      <c r="AH484" s="38"/>
    </row>
    <row r="485" spans="1:34" ht="15.75">
      <c r="A485" s="507"/>
      <c r="B485" s="508"/>
      <c r="C485" s="509"/>
      <c r="D485" s="545" t="s">
        <v>748</v>
      </c>
      <c r="E485" s="546"/>
      <c r="F485" s="546"/>
      <c r="G485" s="546"/>
      <c r="H485" s="546"/>
      <c r="I485" s="547"/>
      <c r="J485" s="47"/>
      <c r="K485" s="551">
        <v>0.15</v>
      </c>
      <c r="L485" s="552"/>
      <c r="M485" s="551"/>
      <c r="N485" s="552"/>
      <c r="O485" s="551">
        <v>0.3</v>
      </c>
      <c r="P485" s="552"/>
      <c r="Q485" s="551"/>
      <c r="R485" s="552"/>
      <c r="S485" s="551">
        <v>4.9000000000000004</v>
      </c>
      <c r="T485" s="552"/>
      <c r="U485" s="551"/>
      <c r="V485" s="552"/>
      <c r="W485" s="548">
        <f t="shared" si="36"/>
        <v>4.4999999999999998E-2</v>
      </c>
      <c r="X485" s="549"/>
      <c r="Y485" s="550"/>
      <c r="Z485" s="527">
        <f t="shared" si="37"/>
        <v>0.2205</v>
      </c>
      <c r="AA485" s="528"/>
      <c r="AB485" s="529"/>
      <c r="AC485" s="35"/>
      <c r="AD485" s="36"/>
      <c r="AE485" s="37"/>
      <c r="AF485" s="35"/>
      <c r="AG485" s="36"/>
      <c r="AH485" s="38"/>
    </row>
    <row r="486" spans="1:34" ht="15.75">
      <c r="A486" s="507"/>
      <c r="B486" s="508"/>
      <c r="C486" s="509"/>
      <c r="D486" s="545" t="s">
        <v>749</v>
      </c>
      <c r="E486" s="546"/>
      <c r="F486" s="546"/>
      <c r="G486" s="546"/>
      <c r="H486" s="546"/>
      <c r="I486" s="547"/>
      <c r="J486" s="47"/>
      <c r="K486" s="551">
        <v>0.2</v>
      </c>
      <c r="L486" s="552"/>
      <c r="M486" s="551"/>
      <c r="N486" s="552"/>
      <c r="O486" s="551">
        <v>0.3</v>
      </c>
      <c r="P486" s="552"/>
      <c r="Q486" s="551"/>
      <c r="R486" s="552"/>
      <c r="S486" s="551">
        <v>4.9000000000000004</v>
      </c>
      <c r="T486" s="552"/>
      <c r="U486" s="551"/>
      <c r="V486" s="552"/>
      <c r="W486" s="548">
        <f t="shared" si="36"/>
        <v>0.06</v>
      </c>
      <c r="X486" s="549"/>
      <c r="Y486" s="550"/>
      <c r="Z486" s="527">
        <f t="shared" si="37"/>
        <v>0.29399999999999998</v>
      </c>
      <c r="AA486" s="528"/>
      <c r="AB486" s="529"/>
      <c r="AC486" s="35"/>
      <c r="AD486" s="36"/>
      <c r="AE486" s="37"/>
      <c r="AF486" s="35"/>
      <c r="AG486" s="36"/>
      <c r="AH486" s="38"/>
    </row>
    <row r="487" spans="1:34" ht="15.75">
      <c r="A487" s="507"/>
      <c r="B487" s="508"/>
      <c r="C487" s="509"/>
      <c r="D487" s="545" t="s">
        <v>750</v>
      </c>
      <c r="E487" s="546"/>
      <c r="F487" s="546"/>
      <c r="G487" s="546"/>
      <c r="H487" s="546"/>
      <c r="I487" s="547"/>
      <c r="J487" s="47"/>
      <c r="K487" s="551">
        <v>0.2</v>
      </c>
      <c r="L487" s="552"/>
      <c r="M487" s="551"/>
      <c r="N487" s="552"/>
      <c r="O487" s="551">
        <v>0.3</v>
      </c>
      <c r="P487" s="552"/>
      <c r="Q487" s="551"/>
      <c r="R487" s="552"/>
      <c r="S487" s="551">
        <v>4.9000000000000004</v>
      </c>
      <c r="T487" s="552"/>
      <c r="U487" s="551"/>
      <c r="V487" s="552"/>
      <c r="W487" s="548">
        <f t="shared" si="36"/>
        <v>0.06</v>
      </c>
      <c r="X487" s="549"/>
      <c r="Y487" s="550"/>
      <c r="Z487" s="527">
        <f t="shared" si="37"/>
        <v>0.29399999999999998</v>
      </c>
      <c r="AA487" s="528"/>
      <c r="AB487" s="529"/>
      <c r="AC487" s="35"/>
      <c r="AD487" s="36"/>
      <c r="AE487" s="37"/>
      <c r="AF487" s="35"/>
      <c r="AG487" s="36"/>
      <c r="AH487" s="38"/>
    </row>
    <row r="488" spans="1:34" ht="15.75">
      <c r="A488" s="507"/>
      <c r="B488" s="508"/>
      <c r="C488" s="509"/>
      <c r="D488" s="545" t="s">
        <v>751</v>
      </c>
      <c r="E488" s="546"/>
      <c r="F488" s="546"/>
      <c r="G488" s="546"/>
      <c r="H488" s="546"/>
      <c r="I488" s="547"/>
      <c r="J488" s="47"/>
      <c r="K488" s="551">
        <v>0.15</v>
      </c>
      <c r="L488" s="552"/>
      <c r="M488" s="551"/>
      <c r="N488" s="552"/>
      <c r="O488" s="551">
        <v>0.3</v>
      </c>
      <c r="P488" s="552"/>
      <c r="Q488" s="551"/>
      <c r="R488" s="552"/>
      <c r="S488" s="551">
        <v>4.9000000000000004</v>
      </c>
      <c r="T488" s="552"/>
      <c r="U488" s="551"/>
      <c r="V488" s="552"/>
      <c r="W488" s="548">
        <f t="shared" si="36"/>
        <v>4.4999999999999998E-2</v>
      </c>
      <c r="X488" s="549"/>
      <c r="Y488" s="550"/>
      <c r="Z488" s="527">
        <f t="shared" si="37"/>
        <v>0.2205</v>
      </c>
      <c r="AA488" s="528"/>
      <c r="AB488" s="529"/>
      <c r="AC488" s="35"/>
      <c r="AD488" s="36"/>
      <c r="AE488" s="37"/>
      <c r="AF488" s="35"/>
      <c r="AG488" s="36"/>
      <c r="AH488" s="38"/>
    </row>
    <row r="489" spans="1:34" ht="15.75">
      <c r="A489" s="507"/>
      <c r="B489" s="508"/>
      <c r="C489" s="509"/>
      <c r="D489" s="545" t="s">
        <v>752</v>
      </c>
      <c r="E489" s="546"/>
      <c r="F489" s="546"/>
      <c r="G489" s="546"/>
      <c r="H489" s="546"/>
      <c r="I489" s="547"/>
      <c r="J489" s="47"/>
      <c r="K489" s="551">
        <v>0.15</v>
      </c>
      <c r="L489" s="552"/>
      <c r="M489" s="551"/>
      <c r="N489" s="552"/>
      <c r="O489" s="551">
        <v>0.3</v>
      </c>
      <c r="P489" s="552"/>
      <c r="Q489" s="551"/>
      <c r="R489" s="552"/>
      <c r="S489" s="551">
        <v>4.9000000000000004</v>
      </c>
      <c r="T489" s="552"/>
      <c r="U489" s="551"/>
      <c r="V489" s="552"/>
      <c r="W489" s="548">
        <f t="shared" si="36"/>
        <v>4.4999999999999998E-2</v>
      </c>
      <c r="X489" s="549"/>
      <c r="Y489" s="550"/>
      <c r="Z489" s="527">
        <f t="shared" si="37"/>
        <v>0.2205</v>
      </c>
      <c r="AA489" s="528"/>
      <c r="AB489" s="529"/>
      <c r="AC489" s="35"/>
      <c r="AD489" s="36"/>
      <c r="AE489" s="37"/>
      <c r="AF489" s="35"/>
      <c r="AG489" s="36"/>
      <c r="AH489" s="38"/>
    </row>
    <row r="490" spans="1:34" ht="15.75">
      <c r="A490" s="507"/>
      <c r="B490" s="508"/>
      <c r="C490" s="509"/>
      <c r="D490" s="545" t="s">
        <v>753</v>
      </c>
      <c r="E490" s="546"/>
      <c r="F490" s="546"/>
      <c r="G490" s="546"/>
      <c r="H490" s="546"/>
      <c r="I490" s="547"/>
      <c r="J490" s="47"/>
      <c r="K490" s="551">
        <v>0.15</v>
      </c>
      <c r="L490" s="552"/>
      <c r="M490" s="551"/>
      <c r="N490" s="552"/>
      <c r="O490" s="551">
        <v>0.3</v>
      </c>
      <c r="P490" s="552"/>
      <c r="Q490" s="551"/>
      <c r="R490" s="552"/>
      <c r="S490" s="551">
        <v>4.9000000000000004</v>
      </c>
      <c r="T490" s="552"/>
      <c r="U490" s="551"/>
      <c r="V490" s="552"/>
      <c r="W490" s="548">
        <f t="shared" si="36"/>
        <v>4.4999999999999998E-2</v>
      </c>
      <c r="X490" s="549"/>
      <c r="Y490" s="550"/>
      <c r="Z490" s="527">
        <f t="shared" si="37"/>
        <v>0.2205</v>
      </c>
      <c r="AA490" s="528"/>
      <c r="AB490" s="529"/>
      <c r="AC490" s="35"/>
      <c r="AD490" s="36"/>
      <c r="AE490" s="37"/>
      <c r="AF490" s="35"/>
      <c r="AG490" s="36"/>
      <c r="AH490" s="38"/>
    </row>
    <row r="491" spans="1:34" ht="15.75">
      <c r="A491" s="507"/>
      <c r="B491" s="508"/>
      <c r="C491" s="509"/>
      <c r="D491" s="545" t="s">
        <v>754</v>
      </c>
      <c r="E491" s="546"/>
      <c r="F491" s="546"/>
      <c r="G491" s="546"/>
      <c r="H491" s="546"/>
      <c r="I491" s="547"/>
      <c r="J491" s="47"/>
      <c r="K491" s="551">
        <v>0.15</v>
      </c>
      <c r="L491" s="552"/>
      <c r="M491" s="551"/>
      <c r="N491" s="552"/>
      <c r="O491" s="551">
        <v>0.3</v>
      </c>
      <c r="P491" s="552"/>
      <c r="Q491" s="551"/>
      <c r="R491" s="552"/>
      <c r="S491" s="551">
        <v>4.9000000000000004</v>
      </c>
      <c r="T491" s="552"/>
      <c r="U491" s="512"/>
      <c r="V491" s="509"/>
      <c r="W491" s="548">
        <f t="shared" si="36"/>
        <v>4.4999999999999998E-2</v>
      </c>
      <c r="X491" s="549"/>
      <c r="Y491" s="550"/>
      <c r="Z491" s="527">
        <f t="shared" si="37"/>
        <v>0.2205</v>
      </c>
      <c r="AA491" s="528"/>
      <c r="AB491" s="529"/>
      <c r="AC491" s="35"/>
      <c r="AD491" s="36"/>
      <c r="AE491" s="37"/>
      <c r="AF491" s="35"/>
      <c r="AG491" s="36"/>
      <c r="AH491" s="38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155"/>
  <sheetViews>
    <sheetView view="pageBreakPreview" topLeftCell="A112" zoomScale="50" zoomScaleNormal="50" zoomScaleSheetLayoutView="50" workbookViewId="0">
      <selection activeCell="AI130" sqref="AI130"/>
    </sheetView>
  </sheetViews>
  <sheetFormatPr defaultRowHeight="1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>
      <c r="A1" s="374" t="s">
        <v>601</v>
      </c>
      <c r="B1" s="536"/>
      <c r="C1" s="536"/>
      <c r="D1" s="536"/>
      <c r="E1" s="536"/>
      <c r="F1" s="536"/>
      <c r="G1" s="536"/>
      <c r="H1" s="536"/>
      <c r="I1" s="376"/>
      <c r="J1" s="537" t="s">
        <v>756</v>
      </c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9"/>
    </row>
    <row r="2" spans="1:35">
      <c r="A2" s="374"/>
      <c r="B2" s="536"/>
      <c r="C2" s="536"/>
      <c r="D2" s="536"/>
      <c r="E2" s="536"/>
      <c r="F2" s="536"/>
      <c r="G2" s="536"/>
      <c r="H2" s="536"/>
      <c r="I2" s="376"/>
      <c r="J2" s="537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9"/>
    </row>
    <row r="3" spans="1:35">
      <c r="A3" s="374"/>
      <c r="B3" s="536"/>
      <c r="C3" s="536"/>
      <c r="D3" s="536"/>
      <c r="E3" s="536"/>
      <c r="F3" s="536"/>
      <c r="G3" s="536"/>
      <c r="H3" s="536"/>
      <c r="I3" s="376"/>
      <c r="J3" s="537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9"/>
    </row>
    <row r="4" spans="1:35">
      <c r="A4" s="374"/>
      <c r="B4" s="536"/>
      <c r="C4" s="536"/>
      <c r="D4" s="536"/>
      <c r="E4" s="536"/>
      <c r="F4" s="536"/>
      <c r="G4" s="536"/>
      <c r="H4" s="536"/>
      <c r="I4" s="376"/>
      <c r="J4" s="537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9"/>
    </row>
    <row r="5" spans="1:35">
      <c r="A5" s="374"/>
      <c r="B5" s="536"/>
      <c r="C5" s="536"/>
      <c r="D5" s="536"/>
      <c r="E5" s="536"/>
      <c r="F5" s="536"/>
      <c r="G5" s="536"/>
      <c r="H5" s="536"/>
      <c r="I5" s="376"/>
      <c r="J5" s="540" t="s">
        <v>602</v>
      </c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2"/>
    </row>
    <row r="6" spans="1:35">
      <c r="A6" s="374"/>
      <c r="B6" s="536"/>
      <c r="C6" s="536"/>
      <c r="D6" s="536"/>
      <c r="E6" s="536"/>
      <c r="F6" s="536"/>
      <c r="G6" s="536"/>
      <c r="H6" s="536"/>
      <c r="I6" s="376"/>
      <c r="J6" s="540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2"/>
    </row>
    <row r="7" spans="1:35">
      <c r="A7" s="377"/>
      <c r="B7" s="378"/>
      <c r="C7" s="378"/>
      <c r="D7" s="378"/>
      <c r="E7" s="378"/>
      <c r="F7" s="378"/>
      <c r="G7" s="378"/>
      <c r="H7" s="378"/>
      <c r="I7" s="379"/>
      <c r="J7" s="540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2"/>
    </row>
    <row r="8" spans="1:3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</row>
    <row r="9" spans="1:35">
      <c r="A9" s="502" t="s">
        <v>0</v>
      </c>
      <c r="B9" s="503"/>
      <c r="C9" s="503"/>
      <c r="D9" s="504" t="s">
        <v>2</v>
      </c>
      <c r="E9" s="504"/>
      <c r="F9" s="504"/>
      <c r="G9" s="504"/>
      <c r="H9" s="504"/>
      <c r="I9" s="504"/>
      <c r="J9" s="503" t="s">
        <v>614</v>
      </c>
      <c r="K9" s="505" t="s">
        <v>615</v>
      </c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 t="s">
        <v>616</v>
      </c>
      <c r="X9" s="505"/>
      <c r="Y9" s="505"/>
      <c r="Z9" s="505"/>
      <c r="AA9" s="505"/>
      <c r="AB9" s="505"/>
      <c r="AC9" s="505"/>
      <c r="AD9" s="505"/>
      <c r="AE9" s="505"/>
      <c r="AF9" s="503" t="s">
        <v>617</v>
      </c>
      <c r="AG9" s="503"/>
      <c r="AH9" s="506"/>
    </row>
    <row r="10" spans="1:35">
      <c r="A10" s="502"/>
      <c r="B10" s="503"/>
      <c r="C10" s="503"/>
      <c r="D10" s="504"/>
      <c r="E10" s="504"/>
      <c r="F10" s="504"/>
      <c r="G10" s="504"/>
      <c r="H10" s="504"/>
      <c r="I10" s="504"/>
      <c r="J10" s="503"/>
      <c r="K10" s="505" t="s">
        <v>618</v>
      </c>
      <c r="L10" s="505"/>
      <c r="M10" s="505" t="s">
        <v>619</v>
      </c>
      <c r="N10" s="505"/>
      <c r="O10" s="505" t="s">
        <v>620</v>
      </c>
      <c r="P10" s="505"/>
      <c r="Q10" s="505" t="s">
        <v>621</v>
      </c>
      <c r="R10" s="505"/>
      <c r="S10" s="505" t="s">
        <v>622</v>
      </c>
      <c r="T10" s="505"/>
      <c r="U10" s="505" t="s">
        <v>623</v>
      </c>
      <c r="V10" s="505"/>
      <c r="W10" s="505" t="s">
        <v>624</v>
      </c>
      <c r="X10" s="505"/>
      <c r="Y10" s="505"/>
      <c r="Z10" s="505" t="s">
        <v>606</v>
      </c>
      <c r="AA10" s="505"/>
      <c r="AB10" s="505"/>
      <c r="AC10" s="505" t="s">
        <v>625</v>
      </c>
      <c r="AD10" s="505"/>
      <c r="AE10" s="505"/>
      <c r="AF10" s="503"/>
      <c r="AG10" s="503"/>
      <c r="AH10" s="506"/>
    </row>
    <row r="11" spans="1:35">
      <c r="A11" s="502"/>
      <c r="B11" s="503"/>
      <c r="C11" s="503"/>
      <c r="D11" s="504"/>
      <c r="E11" s="504"/>
      <c r="F11" s="504"/>
      <c r="G11" s="504"/>
      <c r="H11" s="504"/>
      <c r="I11" s="504"/>
      <c r="J11" s="503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3"/>
      <c r="AG11" s="503"/>
      <c r="AH11" s="506"/>
    </row>
    <row r="12" spans="1:35">
      <c r="A12" s="26"/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/>
    </row>
    <row r="13" spans="1:35" ht="15.75">
      <c r="A13" s="513" t="str">
        <f>'MEMORIA BM 03'!A32</f>
        <v>5</v>
      </c>
      <c r="B13" s="514"/>
      <c r="C13" s="515"/>
      <c r="D13" s="516">
        <f>'MEMORIA BM 03'!B32:E32</f>
        <v>0</v>
      </c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  <c r="AD13" s="517"/>
      <c r="AE13" s="517"/>
      <c r="AF13" s="517"/>
      <c r="AG13" s="517"/>
      <c r="AH13" s="518"/>
    </row>
    <row r="14" spans="1:35">
      <c r="A14" s="30"/>
      <c r="B14" s="31"/>
      <c r="C14" s="31"/>
      <c r="D14" s="31"/>
      <c r="E14" s="31"/>
      <c r="F14" s="32"/>
      <c r="G14" s="32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1:35" ht="15.75">
      <c r="A15" s="519" t="str">
        <f>'MEMORIA BM 03'!A33</f>
        <v>5.1</v>
      </c>
      <c r="B15" s="520"/>
      <c r="C15" s="521"/>
      <c r="D15" s="522" t="str">
        <f>'MEMORIA BM 03'!B33</f>
        <v>Forma plana para estruturas, em compensado plastificado de 12mm, 07 usos, inclusive escoramento - Revisada 07.2015</v>
      </c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4"/>
      <c r="AC15" s="525">
        <f>SUM(Z16:AB41)</f>
        <v>360.35399999999993</v>
      </c>
      <c r="AD15" s="520"/>
      <c r="AE15" s="521"/>
      <c r="AF15" s="525" t="str">
        <f>'MEMORIA BM 03'!C33</f>
        <v>m2</v>
      </c>
      <c r="AG15" s="520"/>
      <c r="AH15" s="526"/>
      <c r="AI15">
        <v>360.35</v>
      </c>
    </row>
    <row r="16" spans="1:35" ht="15.75">
      <c r="A16" s="507"/>
      <c r="B16" s="508"/>
      <c r="C16" s="509"/>
      <c r="D16" s="543" t="s">
        <v>757</v>
      </c>
      <c r="E16" s="544"/>
      <c r="F16" s="544"/>
      <c r="G16" s="544"/>
      <c r="H16" s="544"/>
      <c r="I16" s="544"/>
      <c r="J16" s="47"/>
      <c r="K16" s="512">
        <v>0.15</v>
      </c>
      <c r="L16" s="509"/>
      <c r="M16" s="512"/>
      <c r="N16" s="509"/>
      <c r="O16" s="512">
        <v>0.3</v>
      </c>
      <c r="P16" s="509"/>
      <c r="Q16" s="512"/>
      <c r="R16" s="509"/>
      <c r="S16" s="512">
        <f>11.89+11.86</f>
        <v>23.75</v>
      </c>
      <c r="T16" s="509"/>
      <c r="U16" s="512"/>
      <c r="V16" s="509"/>
      <c r="W16" s="527">
        <f>K16*O16</f>
        <v>4.4999999999999998E-2</v>
      </c>
      <c r="X16" s="528"/>
      <c r="Y16" s="529"/>
      <c r="Z16" s="527">
        <f>((K16*S16)+(O16*S16*2))</f>
        <v>17.8125</v>
      </c>
      <c r="AA16" s="528"/>
      <c r="AB16" s="529"/>
      <c r="AC16" s="35"/>
      <c r="AD16" s="36"/>
      <c r="AE16" s="37"/>
      <c r="AF16" s="35"/>
      <c r="AG16" s="36"/>
      <c r="AH16" s="38"/>
    </row>
    <row r="17" spans="1:34" ht="15.75">
      <c r="A17" s="39"/>
      <c r="B17" s="40"/>
      <c r="C17" s="41"/>
      <c r="D17" s="543" t="s">
        <v>758</v>
      </c>
      <c r="E17" s="544"/>
      <c r="F17" s="544"/>
      <c r="G17" s="544"/>
      <c r="H17" s="544"/>
      <c r="I17" s="544"/>
      <c r="J17" s="47"/>
      <c r="K17" s="512">
        <v>0.15</v>
      </c>
      <c r="L17" s="509"/>
      <c r="M17" s="512"/>
      <c r="N17" s="509"/>
      <c r="O17" s="512">
        <v>0.3</v>
      </c>
      <c r="P17" s="509"/>
      <c r="Q17" s="512"/>
      <c r="R17" s="509"/>
      <c r="S17" s="512">
        <v>3.39</v>
      </c>
      <c r="T17" s="509"/>
      <c r="U17" s="512"/>
      <c r="V17" s="509"/>
      <c r="W17" s="527">
        <f t="shared" ref="W17:W41" si="0">K17*O17</f>
        <v>4.4999999999999998E-2</v>
      </c>
      <c r="X17" s="528"/>
      <c r="Y17" s="529"/>
      <c r="Z17" s="527">
        <f t="shared" ref="Z17:Z41" si="1">((K17*S17)+(O17*S17*2))</f>
        <v>2.5424999999999995</v>
      </c>
      <c r="AA17" s="528"/>
      <c r="AB17" s="529"/>
      <c r="AC17" s="35"/>
      <c r="AD17" s="36"/>
      <c r="AE17" s="37"/>
      <c r="AF17" s="35"/>
      <c r="AG17" s="36"/>
      <c r="AH17" s="38"/>
    </row>
    <row r="18" spans="1:34" ht="15.75">
      <c r="A18" s="39"/>
      <c r="B18" s="40"/>
      <c r="C18" s="41"/>
      <c r="D18" s="543" t="s">
        <v>759</v>
      </c>
      <c r="E18" s="544"/>
      <c r="F18" s="544"/>
      <c r="G18" s="544"/>
      <c r="H18" s="544"/>
      <c r="I18" s="544"/>
      <c r="J18" s="47"/>
      <c r="K18" s="512">
        <v>0.15</v>
      </c>
      <c r="L18" s="509"/>
      <c r="M18" s="512"/>
      <c r="N18" s="509"/>
      <c r="O18" s="512">
        <v>0.3</v>
      </c>
      <c r="P18" s="509"/>
      <c r="Q18" s="512"/>
      <c r="R18" s="509"/>
      <c r="S18" s="512">
        <v>3.39</v>
      </c>
      <c r="T18" s="509"/>
      <c r="U18" s="512"/>
      <c r="V18" s="509"/>
      <c r="W18" s="527">
        <f t="shared" si="0"/>
        <v>4.4999999999999998E-2</v>
      </c>
      <c r="X18" s="528"/>
      <c r="Y18" s="529"/>
      <c r="Z18" s="527">
        <f t="shared" si="1"/>
        <v>2.5424999999999995</v>
      </c>
      <c r="AA18" s="528"/>
      <c r="AB18" s="529"/>
      <c r="AC18" s="35"/>
      <c r="AD18" s="36"/>
      <c r="AE18" s="37"/>
      <c r="AF18" s="35"/>
      <c r="AG18" s="36"/>
      <c r="AH18" s="38"/>
    </row>
    <row r="19" spans="1:34" ht="15.75">
      <c r="A19" s="39"/>
      <c r="B19" s="40"/>
      <c r="C19" s="41"/>
      <c r="D19" s="543" t="s">
        <v>760</v>
      </c>
      <c r="E19" s="544"/>
      <c r="F19" s="544"/>
      <c r="G19" s="544"/>
      <c r="H19" s="544"/>
      <c r="I19" s="544"/>
      <c r="J19" s="48"/>
      <c r="K19" s="512">
        <v>0.15</v>
      </c>
      <c r="L19" s="509"/>
      <c r="M19" s="512"/>
      <c r="N19" s="509"/>
      <c r="O19" s="512">
        <v>0.3</v>
      </c>
      <c r="P19" s="509"/>
      <c r="Q19" s="512"/>
      <c r="R19" s="509"/>
      <c r="S19" s="512">
        <v>3.26</v>
      </c>
      <c r="T19" s="509"/>
      <c r="U19" s="512"/>
      <c r="V19" s="509"/>
      <c r="W19" s="527">
        <f t="shared" si="0"/>
        <v>4.4999999999999998E-2</v>
      </c>
      <c r="X19" s="528"/>
      <c r="Y19" s="529"/>
      <c r="Z19" s="527">
        <f t="shared" si="1"/>
        <v>2.4449999999999998</v>
      </c>
      <c r="AA19" s="528"/>
      <c r="AB19" s="529"/>
      <c r="AC19" s="35"/>
      <c r="AD19" s="36"/>
      <c r="AE19" s="37"/>
      <c r="AF19" s="35"/>
      <c r="AG19" s="36"/>
      <c r="AH19" s="38"/>
    </row>
    <row r="20" spans="1:34" ht="15.75">
      <c r="A20" s="39"/>
      <c r="B20" s="40"/>
      <c r="C20" s="41"/>
      <c r="D20" s="543" t="s">
        <v>761</v>
      </c>
      <c r="E20" s="544"/>
      <c r="F20" s="544"/>
      <c r="G20" s="544"/>
      <c r="H20" s="544"/>
      <c r="I20" s="544"/>
      <c r="J20" s="47"/>
      <c r="K20" s="512">
        <v>0.15</v>
      </c>
      <c r="L20" s="509"/>
      <c r="M20" s="512"/>
      <c r="N20" s="509"/>
      <c r="O20" s="512">
        <v>0.3</v>
      </c>
      <c r="P20" s="509"/>
      <c r="Q20" s="512"/>
      <c r="R20" s="509"/>
      <c r="S20" s="512">
        <v>6.4</v>
      </c>
      <c r="T20" s="509"/>
      <c r="U20" s="512"/>
      <c r="V20" s="509"/>
      <c r="W20" s="527">
        <f t="shared" si="0"/>
        <v>4.4999999999999998E-2</v>
      </c>
      <c r="X20" s="528"/>
      <c r="Y20" s="529"/>
      <c r="Z20" s="527">
        <f t="shared" si="1"/>
        <v>4.8</v>
      </c>
      <c r="AA20" s="528"/>
      <c r="AB20" s="529"/>
      <c r="AC20" s="35"/>
      <c r="AD20" s="36"/>
      <c r="AE20" s="37"/>
      <c r="AF20" s="35"/>
      <c r="AG20" s="36"/>
      <c r="AH20" s="38"/>
    </row>
    <row r="21" spans="1:34" ht="15.75">
      <c r="A21" s="39"/>
      <c r="B21" s="40"/>
      <c r="C21" s="41"/>
      <c r="D21" s="543" t="s">
        <v>762</v>
      </c>
      <c r="E21" s="544"/>
      <c r="F21" s="544"/>
      <c r="G21" s="544"/>
      <c r="H21" s="544"/>
      <c r="I21" s="544"/>
      <c r="J21" s="47"/>
      <c r="K21" s="512">
        <v>0.15</v>
      </c>
      <c r="L21" s="509"/>
      <c r="M21" s="512"/>
      <c r="N21" s="509"/>
      <c r="O21" s="512">
        <v>0.3</v>
      </c>
      <c r="P21" s="509"/>
      <c r="Q21" s="512"/>
      <c r="R21" s="509"/>
      <c r="S21" s="512">
        <v>2.04</v>
      </c>
      <c r="T21" s="509"/>
      <c r="U21" s="512"/>
      <c r="V21" s="509"/>
      <c r="W21" s="527">
        <f t="shared" si="0"/>
        <v>4.4999999999999998E-2</v>
      </c>
      <c r="X21" s="528"/>
      <c r="Y21" s="529"/>
      <c r="Z21" s="527">
        <f t="shared" si="1"/>
        <v>1.53</v>
      </c>
      <c r="AA21" s="528"/>
      <c r="AB21" s="529"/>
      <c r="AC21" s="35"/>
      <c r="AD21" s="36"/>
      <c r="AE21" s="37"/>
      <c r="AF21" s="35"/>
      <c r="AG21" s="36"/>
      <c r="AH21" s="38"/>
    </row>
    <row r="22" spans="1:34" ht="15.75">
      <c r="A22" s="39"/>
      <c r="B22" s="40"/>
      <c r="C22" s="41"/>
      <c r="D22" s="543" t="s">
        <v>763</v>
      </c>
      <c r="E22" s="544"/>
      <c r="F22" s="544"/>
      <c r="G22" s="544"/>
      <c r="H22" s="544"/>
      <c r="I22" s="544"/>
      <c r="J22" s="47"/>
      <c r="K22" s="512">
        <v>0.15</v>
      </c>
      <c r="L22" s="509"/>
      <c r="M22" s="512"/>
      <c r="N22" s="509"/>
      <c r="O22" s="512">
        <v>0.3</v>
      </c>
      <c r="P22" s="509"/>
      <c r="Q22" s="512"/>
      <c r="R22" s="509"/>
      <c r="S22" s="512">
        <f>11.89+12+12+3.74</f>
        <v>39.630000000000003</v>
      </c>
      <c r="T22" s="509"/>
      <c r="U22" s="512"/>
      <c r="V22" s="509"/>
      <c r="W22" s="527">
        <f t="shared" si="0"/>
        <v>4.4999999999999998E-2</v>
      </c>
      <c r="X22" s="528"/>
      <c r="Y22" s="529"/>
      <c r="Z22" s="527">
        <f t="shared" si="1"/>
        <v>29.722500000000004</v>
      </c>
      <c r="AA22" s="528"/>
      <c r="AB22" s="529"/>
      <c r="AC22" s="35"/>
      <c r="AD22" s="36"/>
      <c r="AE22" s="37"/>
      <c r="AF22" s="35"/>
      <c r="AG22" s="36"/>
      <c r="AH22" s="38"/>
    </row>
    <row r="23" spans="1:34" ht="15.75">
      <c r="A23" s="39"/>
      <c r="B23" s="40"/>
      <c r="C23" s="41"/>
      <c r="D23" s="543" t="s">
        <v>764</v>
      </c>
      <c r="E23" s="544"/>
      <c r="F23" s="544"/>
      <c r="G23" s="544"/>
      <c r="H23" s="544"/>
      <c r="I23" s="544"/>
      <c r="J23" s="47"/>
      <c r="K23" s="512">
        <v>0.15</v>
      </c>
      <c r="L23" s="509"/>
      <c r="M23" s="512"/>
      <c r="N23" s="509"/>
      <c r="O23" s="512">
        <v>0.3</v>
      </c>
      <c r="P23" s="509"/>
      <c r="Q23" s="512"/>
      <c r="R23" s="509"/>
      <c r="S23" s="512">
        <v>6.4</v>
      </c>
      <c r="T23" s="509"/>
      <c r="U23" s="512"/>
      <c r="V23" s="509"/>
      <c r="W23" s="527">
        <f t="shared" si="0"/>
        <v>4.4999999999999998E-2</v>
      </c>
      <c r="X23" s="528"/>
      <c r="Y23" s="529"/>
      <c r="Z23" s="527">
        <f t="shared" si="1"/>
        <v>4.8</v>
      </c>
      <c r="AA23" s="528"/>
      <c r="AB23" s="529"/>
      <c r="AC23" s="35"/>
      <c r="AD23" s="36"/>
      <c r="AE23" s="37"/>
      <c r="AF23" s="35"/>
      <c r="AG23" s="36"/>
      <c r="AH23" s="38"/>
    </row>
    <row r="24" spans="1:34" ht="15.75">
      <c r="A24" s="507"/>
      <c r="B24" s="508"/>
      <c r="C24" s="509"/>
      <c r="D24" s="543" t="s">
        <v>765</v>
      </c>
      <c r="E24" s="544"/>
      <c r="F24" s="544"/>
      <c r="G24" s="544"/>
      <c r="H24" s="544"/>
      <c r="I24" s="544"/>
      <c r="J24" s="47"/>
      <c r="K24" s="512">
        <v>0.15</v>
      </c>
      <c r="L24" s="509"/>
      <c r="M24" s="512"/>
      <c r="N24" s="509"/>
      <c r="O24" s="512">
        <v>0.3</v>
      </c>
      <c r="P24" s="509"/>
      <c r="Q24" s="512"/>
      <c r="R24" s="509"/>
      <c r="S24" s="512">
        <v>1.7</v>
      </c>
      <c r="T24" s="509"/>
      <c r="U24" s="512"/>
      <c r="V24" s="509"/>
      <c r="W24" s="527">
        <f t="shared" si="0"/>
        <v>4.4999999999999998E-2</v>
      </c>
      <c r="X24" s="528"/>
      <c r="Y24" s="529"/>
      <c r="Z24" s="527">
        <f t="shared" si="1"/>
        <v>1.2749999999999999</v>
      </c>
      <c r="AA24" s="528"/>
      <c r="AB24" s="529"/>
      <c r="AC24" s="35"/>
      <c r="AD24" s="36"/>
      <c r="AE24" s="37"/>
      <c r="AF24" s="35"/>
      <c r="AG24" s="36"/>
      <c r="AH24" s="38"/>
    </row>
    <row r="25" spans="1:34" ht="15.75">
      <c r="A25" s="507"/>
      <c r="B25" s="508"/>
      <c r="C25" s="509"/>
      <c r="D25" s="543" t="s">
        <v>766</v>
      </c>
      <c r="E25" s="544"/>
      <c r="F25" s="544"/>
      <c r="G25" s="544"/>
      <c r="H25" s="544"/>
      <c r="I25" s="544"/>
      <c r="J25" s="47"/>
      <c r="K25" s="512">
        <v>0.15</v>
      </c>
      <c r="L25" s="509"/>
      <c r="M25" s="512"/>
      <c r="N25" s="509"/>
      <c r="O25" s="512">
        <v>0.4</v>
      </c>
      <c r="P25" s="509"/>
      <c r="Q25" s="512"/>
      <c r="R25" s="509"/>
      <c r="S25" s="512">
        <f>11.81+8.84+12+6.85</f>
        <v>39.5</v>
      </c>
      <c r="T25" s="509"/>
      <c r="U25" s="512"/>
      <c r="V25" s="509"/>
      <c r="W25" s="527">
        <f t="shared" si="0"/>
        <v>0.06</v>
      </c>
      <c r="X25" s="528"/>
      <c r="Y25" s="529"/>
      <c r="Z25" s="527">
        <f t="shared" si="1"/>
        <v>37.524999999999999</v>
      </c>
      <c r="AA25" s="528"/>
      <c r="AB25" s="529"/>
      <c r="AC25" s="35"/>
      <c r="AD25" s="36"/>
      <c r="AE25" s="37"/>
      <c r="AF25" s="35"/>
      <c r="AG25" s="36"/>
      <c r="AH25" s="38"/>
    </row>
    <row r="26" spans="1:34" ht="15.75">
      <c r="A26" s="507"/>
      <c r="B26" s="508"/>
      <c r="C26" s="509"/>
      <c r="D26" s="543" t="s">
        <v>767</v>
      </c>
      <c r="E26" s="544"/>
      <c r="F26" s="544"/>
      <c r="G26" s="544"/>
      <c r="H26" s="544"/>
      <c r="I26" s="544"/>
      <c r="J26" s="47"/>
      <c r="K26" s="512">
        <v>0.15</v>
      </c>
      <c r="L26" s="509"/>
      <c r="M26" s="512"/>
      <c r="N26" s="509"/>
      <c r="O26" s="512">
        <v>0.3</v>
      </c>
      <c r="P26" s="509"/>
      <c r="Q26" s="512"/>
      <c r="R26" s="509"/>
      <c r="S26" s="512">
        <v>4.24</v>
      </c>
      <c r="T26" s="509"/>
      <c r="U26" s="512"/>
      <c r="V26" s="509"/>
      <c r="W26" s="527">
        <f t="shared" si="0"/>
        <v>4.4999999999999998E-2</v>
      </c>
      <c r="X26" s="528"/>
      <c r="Y26" s="529"/>
      <c r="Z26" s="527">
        <f t="shared" si="1"/>
        <v>3.18</v>
      </c>
      <c r="AA26" s="528"/>
      <c r="AB26" s="529"/>
      <c r="AC26" s="35"/>
      <c r="AD26" s="36"/>
      <c r="AE26" s="37"/>
      <c r="AF26" s="35"/>
      <c r="AG26" s="36"/>
      <c r="AH26" s="38"/>
    </row>
    <row r="27" spans="1:34" ht="15.75">
      <c r="A27" s="507"/>
      <c r="B27" s="508"/>
      <c r="C27" s="509"/>
      <c r="D27" s="543" t="s">
        <v>768</v>
      </c>
      <c r="E27" s="544"/>
      <c r="F27" s="544"/>
      <c r="G27" s="544"/>
      <c r="H27" s="544"/>
      <c r="I27" s="544"/>
      <c r="J27" s="47"/>
      <c r="K27" s="512">
        <v>0.15</v>
      </c>
      <c r="L27" s="509"/>
      <c r="M27" s="512"/>
      <c r="N27" s="509"/>
      <c r="O27" s="512">
        <v>0.3</v>
      </c>
      <c r="P27" s="509"/>
      <c r="Q27" s="512"/>
      <c r="R27" s="509"/>
      <c r="S27" s="512">
        <v>5.64</v>
      </c>
      <c r="T27" s="509"/>
      <c r="U27" s="512"/>
      <c r="V27" s="509"/>
      <c r="W27" s="527">
        <f t="shared" si="0"/>
        <v>4.4999999999999998E-2</v>
      </c>
      <c r="X27" s="528"/>
      <c r="Y27" s="529"/>
      <c r="Z27" s="527">
        <f t="shared" si="1"/>
        <v>4.2299999999999995</v>
      </c>
      <c r="AA27" s="528"/>
      <c r="AB27" s="529"/>
      <c r="AC27" s="35"/>
      <c r="AD27" s="36"/>
      <c r="AE27" s="37"/>
      <c r="AF27" s="35"/>
      <c r="AG27" s="36"/>
      <c r="AH27" s="38"/>
    </row>
    <row r="28" spans="1:34" ht="15.75">
      <c r="A28" s="507"/>
      <c r="B28" s="508"/>
      <c r="C28" s="509"/>
      <c r="D28" s="543" t="s">
        <v>769</v>
      </c>
      <c r="E28" s="544"/>
      <c r="F28" s="544"/>
      <c r="G28" s="544"/>
      <c r="H28" s="544"/>
      <c r="I28" s="544"/>
      <c r="J28" s="47"/>
      <c r="K28" s="512">
        <v>0.15</v>
      </c>
      <c r="L28" s="509"/>
      <c r="M28" s="512"/>
      <c r="N28" s="509"/>
      <c r="O28" s="512">
        <v>0.4</v>
      </c>
      <c r="P28" s="509"/>
      <c r="Q28" s="512"/>
      <c r="R28" s="509"/>
      <c r="S28" s="512">
        <f>11.81+9.24+12+6.41</f>
        <v>39.459999999999994</v>
      </c>
      <c r="T28" s="509"/>
      <c r="U28" s="512"/>
      <c r="V28" s="509"/>
      <c r="W28" s="527">
        <f t="shared" si="0"/>
        <v>0.06</v>
      </c>
      <c r="X28" s="528"/>
      <c r="Y28" s="529"/>
      <c r="Z28" s="527">
        <f t="shared" si="1"/>
        <v>37.486999999999995</v>
      </c>
      <c r="AA28" s="528"/>
      <c r="AB28" s="529"/>
      <c r="AC28" s="35"/>
      <c r="AD28" s="36"/>
      <c r="AE28" s="37"/>
      <c r="AF28" s="35"/>
      <c r="AG28" s="36"/>
      <c r="AH28" s="38"/>
    </row>
    <row r="29" spans="1:34" ht="15.75">
      <c r="A29" s="507"/>
      <c r="B29" s="508"/>
      <c r="C29" s="509"/>
      <c r="D29" s="545" t="s">
        <v>770</v>
      </c>
      <c r="E29" s="546"/>
      <c r="F29" s="546"/>
      <c r="G29" s="546"/>
      <c r="H29" s="546"/>
      <c r="I29" s="547"/>
      <c r="J29" s="47"/>
      <c r="K29" s="512">
        <v>0.15</v>
      </c>
      <c r="L29" s="509"/>
      <c r="M29" s="512"/>
      <c r="N29" s="509"/>
      <c r="O29" s="512">
        <v>0.4</v>
      </c>
      <c r="P29" s="509"/>
      <c r="Q29" s="512"/>
      <c r="R29" s="509"/>
      <c r="S29" s="512">
        <f>10.61</f>
        <v>10.61</v>
      </c>
      <c r="T29" s="509"/>
      <c r="U29" s="512"/>
      <c r="V29" s="509"/>
      <c r="W29" s="527">
        <f t="shared" si="0"/>
        <v>0.06</v>
      </c>
      <c r="X29" s="528"/>
      <c r="Y29" s="529"/>
      <c r="Z29" s="527">
        <f t="shared" si="1"/>
        <v>10.079499999999999</v>
      </c>
      <c r="AA29" s="528"/>
      <c r="AB29" s="529"/>
      <c r="AC29" s="35"/>
      <c r="AD29" s="36"/>
      <c r="AE29" s="37"/>
      <c r="AF29" s="35"/>
      <c r="AG29" s="36"/>
      <c r="AH29" s="38"/>
    </row>
    <row r="30" spans="1:34" ht="15.75">
      <c r="A30" s="507"/>
      <c r="B30" s="508"/>
      <c r="C30" s="509"/>
      <c r="D30" s="545" t="s">
        <v>771</v>
      </c>
      <c r="E30" s="546"/>
      <c r="F30" s="546"/>
      <c r="G30" s="546"/>
      <c r="H30" s="546"/>
      <c r="I30" s="547"/>
      <c r="J30" s="47"/>
      <c r="K30" s="512">
        <v>0.15</v>
      </c>
      <c r="L30" s="509"/>
      <c r="M30" s="512"/>
      <c r="N30" s="509"/>
      <c r="O30" s="512">
        <v>0.3</v>
      </c>
      <c r="P30" s="509"/>
      <c r="Q30" s="512"/>
      <c r="R30" s="509"/>
      <c r="S30" s="512">
        <f>11.89+12+12+3.96</f>
        <v>39.85</v>
      </c>
      <c r="T30" s="509"/>
      <c r="U30" s="512"/>
      <c r="V30" s="509"/>
      <c r="W30" s="527">
        <f t="shared" si="0"/>
        <v>4.4999999999999998E-2</v>
      </c>
      <c r="X30" s="528"/>
      <c r="Y30" s="529"/>
      <c r="Z30" s="527">
        <f t="shared" si="1"/>
        <v>29.887499999999999</v>
      </c>
      <c r="AA30" s="528"/>
      <c r="AB30" s="529"/>
      <c r="AC30" s="35"/>
      <c r="AD30" s="36"/>
      <c r="AE30" s="37"/>
      <c r="AF30" s="35"/>
      <c r="AG30" s="36"/>
      <c r="AH30" s="38"/>
    </row>
    <row r="31" spans="1:34" ht="15.75">
      <c r="A31" s="507"/>
      <c r="B31" s="508"/>
      <c r="C31" s="509"/>
      <c r="D31" s="545" t="s">
        <v>772</v>
      </c>
      <c r="E31" s="546"/>
      <c r="F31" s="546"/>
      <c r="G31" s="546"/>
      <c r="H31" s="546"/>
      <c r="I31" s="547"/>
      <c r="J31" s="47"/>
      <c r="K31" s="512">
        <v>0.15</v>
      </c>
      <c r="L31" s="509"/>
      <c r="M31" s="512"/>
      <c r="N31" s="509"/>
      <c r="O31" s="512">
        <v>0.3</v>
      </c>
      <c r="P31" s="509"/>
      <c r="Q31" s="512"/>
      <c r="R31" s="509"/>
      <c r="S31" s="512">
        <v>10.62</v>
      </c>
      <c r="T31" s="509"/>
      <c r="U31" s="512"/>
      <c r="V31" s="509"/>
      <c r="W31" s="527">
        <f t="shared" si="0"/>
        <v>4.4999999999999998E-2</v>
      </c>
      <c r="X31" s="528"/>
      <c r="Y31" s="529"/>
      <c r="Z31" s="527">
        <f t="shared" si="1"/>
        <v>7.964999999999999</v>
      </c>
      <c r="AA31" s="528"/>
      <c r="AB31" s="529"/>
      <c r="AC31" s="35"/>
      <c r="AD31" s="36"/>
      <c r="AE31" s="37"/>
      <c r="AF31" s="35"/>
      <c r="AG31" s="36"/>
      <c r="AH31" s="38"/>
    </row>
    <row r="32" spans="1:34" ht="15.75">
      <c r="A32" s="507"/>
      <c r="B32" s="508"/>
      <c r="C32" s="509"/>
      <c r="D32" s="545" t="s">
        <v>773</v>
      </c>
      <c r="E32" s="546"/>
      <c r="F32" s="546"/>
      <c r="G32" s="546"/>
      <c r="H32" s="546"/>
      <c r="I32" s="547"/>
      <c r="J32" s="47"/>
      <c r="K32" s="512">
        <v>0.15</v>
      </c>
      <c r="L32" s="509"/>
      <c r="M32" s="512"/>
      <c r="N32" s="509"/>
      <c r="O32" s="512">
        <v>0.3</v>
      </c>
      <c r="P32" s="509"/>
      <c r="Q32" s="512"/>
      <c r="R32" s="509"/>
      <c r="S32" s="512">
        <f>12+7.43</f>
        <v>19.43</v>
      </c>
      <c r="T32" s="509"/>
      <c r="U32" s="512"/>
      <c r="V32" s="509"/>
      <c r="W32" s="527">
        <f t="shared" si="0"/>
        <v>4.4999999999999998E-2</v>
      </c>
      <c r="X32" s="528"/>
      <c r="Y32" s="529"/>
      <c r="Z32" s="527">
        <f t="shared" si="1"/>
        <v>14.5725</v>
      </c>
      <c r="AA32" s="528"/>
      <c r="AB32" s="529"/>
      <c r="AC32" s="35"/>
      <c r="AD32" s="36"/>
      <c r="AE32" s="37"/>
      <c r="AF32" s="35"/>
      <c r="AG32" s="36"/>
      <c r="AH32" s="38"/>
    </row>
    <row r="33" spans="1:35" ht="15.75">
      <c r="A33" s="507"/>
      <c r="B33" s="508"/>
      <c r="C33" s="509"/>
      <c r="D33" s="545" t="s">
        <v>774</v>
      </c>
      <c r="E33" s="546"/>
      <c r="F33" s="546"/>
      <c r="G33" s="546"/>
      <c r="H33" s="546"/>
      <c r="I33" s="547"/>
      <c r="J33" s="47"/>
      <c r="K33" s="512">
        <v>0.15</v>
      </c>
      <c r="L33" s="509"/>
      <c r="M33" s="512"/>
      <c r="N33" s="509"/>
      <c r="O33" s="512">
        <v>0.3</v>
      </c>
      <c r="P33" s="509"/>
      <c r="Q33" s="512"/>
      <c r="R33" s="509"/>
      <c r="S33" s="512">
        <f>12+12+8.05</f>
        <v>32.049999999999997</v>
      </c>
      <c r="T33" s="509"/>
      <c r="U33" s="512"/>
      <c r="V33" s="509"/>
      <c r="W33" s="527">
        <f t="shared" si="0"/>
        <v>4.4999999999999998E-2</v>
      </c>
      <c r="X33" s="528"/>
      <c r="Y33" s="529"/>
      <c r="Z33" s="527">
        <f t="shared" si="1"/>
        <v>24.037499999999994</v>
      </c>
      <c r="AA33" s="528"/>
      <c r="AB33" s="529"/>
      <c r="AC33" s="35"/>
      <c r="AD33" s="36"/>
      <c r="AE33" s="37"/>
      <c r="AF33" s="35"/>
      <c r="AG33" s="36"/>
      <c r="AH33" s="38"/>
    </row>
    <row r="34" spans="1:35" ht="15.75">
      <c r="A34" s="507"/>
      <c r="B34" s="508"/>
      <c r="C34" s="509"/>
      <c r="D34" s="545" t="s">
        <v>775</v>
      </c>
      <c r="E34" s="546"/>
      <c r="F34" s="546"/>
      <c r="G34" s="546"/>
      <c r="H34" s="546"/>
      <c r="I34" s="547"/>
      <c r="J34" s="47"/>
      <c r="K34" s="512">
        <v>0.15</v>
      </c>
      <c r="L34" s="509"/>
      <c r="M34" s="512"/>
      <c r="N34" s="509"/>
      <c r="O34" s="512">
        <v>0.3</v>
      </c>
      <c r="P34" s="509"/>
      <c r="Q34" s="512"/>
      <c r="R34" s="509"/>
      <c r="S34" s="512">
        <f>12+7.24</f>
        <v>19.240000000000002</v>
      </c>
      <c r="T34" s="509"/>
      <c r="U34" s="512"/>
      <c r="V34" s="509"/>
      <c r="W34" s="527">
        <f t="shared" si="0"/>
        <v>4.4999999999999998E-2</v>
      </c>
      <c r="X34" s="528"/>
      <c r="Y34" s="529"/>
      <c r="Z34" s="527">
        <f t="shared" si="1"/>
        <v>14.43</v>
      </c>
      <c r="AA34" s="528"/>
      <c r="AB34" s="529"/>
      <c r="AC34" s="35"/>
      <c r="AD34" s="36"/>
      <c r="AE34" s="37"/>
      <c r="AF34" s="35"/>
      <c r="AG34" s="36"/>
      <c r="AH34" s="38"/>
    </row>
    <row r="35" spans="1:35" ht="15.75">
      <c r="A35" s="507"/>
      <c r="B35" s="508"/>
      <c r="C35" s="509"/>
      <c r="D35" s="545" t="s">
        <v>776</v>
      </c>
      <c r="E35" s="546"/>
      <c r="F35" s="546"/>
      <c r="G35" s="546"/>
      <c r="H35" s="546"/>
      <c r="I35" s="547"/>
      <c r="J35" s="47"/>
      <c r="K35" s="512">
        <v>0.15</v>
      </c>
      <c r="L35" s="509"/>
      <c r="M35" s="512"/>
      <c r="N35" s="509"/>
      <c r="O35" s="512">
        <v>0.3</v>
      </c>
      <c r="P35" s="509"/>
      <c r="Q35" s="512"/>
      <c r="R35" s="509"/>
      <c r="S35" s="512">
        <f>12+12+8.27</f>
        <v>32.269999999999996</v>
      </c>
      <c r="T35" s="509"/>
      <c r="U35" s="512"/>
      <c r="V35" s="509"/>
      <c r="W35" s="527">
        <f t="shared" si="0"/>
        <v>4.4999999999999998E-2</v>
      </c>
      <c r="X35" s="528"/>
      <c r="Y35" s="529"/>
      <c r="Z35" s="527">
        <f t="shared" si="1"/>
        <v>24.202499999999997</v>
      </c>
      <c r="AA35" s="528"/>
      <c r="AB35" s="529"/>
      <c r="AC35" s="35"/>
      <c r="AD35" s="36"/>
      <c r="AE35" s="37"/>
      <c r="AF35" s="35"/>
      <c r="AG35" s="36"/>
      <c r="AH35" s="38"/>
    </row>
    <row r="36" spans="1:35" ht="15.75">
      <c r="A36" s="507"/>
      <c r="B36" s="508"/>
      <c r="C36" s="509"/>
      <c r="D36" s="545" t="s">
        <v>777</v>
      </c>
      <c r="E36" s="546"/>
      <c r="F36" s="546"/>
      <c r="G36" s="546"/>
      <c r="H36" s="546"/>
      <c r="I36" s="547"/>
      <c r="J36" s="47"/>
      <c r="K36" s="512">
        <v>0.15</v>
      </c>
      <c r="L36" s="509"/>
      <c r="M36" s="512"/>
      <c r="N36" s="509"/>
      <c r="O36" s="512">
        <v>0.3</v>
      </c>
      <c r="P36" s="509"/>
      <c r="Q36" s="512"/>
      <c r="R36" s="509"/>
      <c r="S36" s="512">
        <f>9.74</f>
        <v>9.74</v>
      </c>
      <c r="T36" s="509"/>
      <c r="U36" s="512"/>
      <c r="V36" s="509"/>
      <c r="W36" s="527">
        <f t="shared" si="0"/>
        <v>4.4999999999999998E-2</v>
      </c>
      <c r="X36" s="528"/>
      <c r="Y36" s="529"/>
      <c r="Z36" s="527">
        <f t="shared" si="1"/>
        <v>7.3050000000000006</v>
      </c>
      <c r="AA36" s="528"/>
      <c r="AB36" s="529"/>
      <c r="AC36" s="35"/>
      <c r="AD36" s="36"/>
      <c r="AE36" s="37"/>
      <c r="AF36" s="35"/>
      <c r="AG36" s="36"/>
      <c r="AH36" s="38"/>
    </row>
    <row r="37" spans="1:35" ht="15.75">
      <c r="A37" s="507"/>
      <c r="B37" s="508"/>
      <c r="C37" s="509"/>
      <c r="D37" s="545" t="s">
        <v>778</v>
      </c>
      <c r="E37" s="546"/>
      <c r="F37" s="546"/>
      <c r="G37" s="546"/>
      <c r="H37" s="546"/>
      <c r="I37" s="547"/>
      <c r="J37" s="47"/>
      <c r="K37" s="512">
        <v>0.15</v>
      </c>
      <c r="L37" s="509"/>
      <c r="M37" s="512"/>
      <c r="N37" s="509"/>
      <c r="O37" s="512">
        <v>0.3</v>
      </c>
      <c r="P37" s="509"/>
      <c r="Q37" s="512"/>
      <c r="R37" s="509"/>
      <c r="S37" s="512">
        <v>1.7</v>
      </c>
      <c r="T37" s="509"/>
      <c r="U37" s="512"/>
      <c r="V37" s="509"/>
      <c r="W37" s="527">
        <f t="shared" si="0"/>
        <v>4.4999999999999998E-2</v>
      </c>
      <c r="X37" s="528"/>
      <c r="Y37" s="529"/>
      <c r="Z37" s="527">
        <f t="shared" si="1"/>
        <v>1.2749999999999999</v>
      </c>
      <c r="AA37" s="528"/>
      <c r="AB37" s="529"/>
      <c r="AC37" s="35"/>
      <c r="AD37" s="36"/>
      <c r="AE37" s="37"/>
      <c r="AF37" s="35"/>
      <c r="AG37" s="36"/>
      <c r="AH37" s="38"/>
    </row>
    <row r="38" spans="1:35" ht="15.75">
      <c r="A38" s="507"/>
      <c r="B38" s="508"/>
      <c r="C38" s="509"/>
      <c r="D38" s="545" t="s">
        <v>779</v>
      </c>
      <c r="E38" s="546"/>
      <c r="F38" s="546"/>
      <c r="G38" s="546"/>
      <c r="H38" s="546"/>
      <c r="I38" s="547"/>
      <c r="J38" s="47"/>
      <c r="K38" s="512">
        <v>0.15</v>
      </c>
      <c r="L38" s="509"/>
      <c r="M38" s="512"/>
      <c r="N38" s="509"/>
      <c r="O38" s="512">
        <v>0.3</v>
      </c>
      <c r="P38" s="509"/>
      <c r="Q38" s="512"/>
      <c r="R38" s="509"/>
      <c r="S38" s="512">
        <v>10.61</v>
      </c>
      <c r="T38" s="509"/>
      <c r="U38" s="512"/>
      <c r="V38" s="509"/>
      <c r="W38" s="527">
        <f t="shared" si="0"/>
        <v>4.4999999999999998E-2</v>
      </c>
      <c r="X38" s="528"/>
      <c r="Y38" s="529"/>
      <c r="Z38" s="527">
        <f t="shared" si="1"/>
        <v>7.9574999999999996</v>
      </c>
      <c r="AA38" s="528"/>
      <c r="AB38" s="529"/>
      <c r="AC38" s="35"/>
      <c r="AD38" s="36"/>
      <c r="AE38" s="37"/>
      <c r="AF38" s="35"/>
      <c r="AG38" s="36"/>
      <c r="AH38" s="38"/>
    </row>
    <row r="39" spans="1:35" ht="15.75">
      <c r="A39" s="507"/>
      <c r="B39" s="508"/>
      <c r="C39" s="509"/>
      <c r="D39" s="545" t="s">
        <v>780</v>
      </c>
      <c r="E39" s="546"/>
      <c r="F39" s="546"/>
      <c r="G39" s="546"/>
      <c r="H39" s="546"/>
      <c r="I39" s="547"/>
      <c r="J39" s="47"/>
      <c r="K39" s="512">
        <v>0.15</v>
      </c>
      <c r="L39" s="509"/>
      <c r="M39" s="512"/>
      <c r="N39" s="509"/>
      <c r="O39" s="512">
        <v>0.3</v>
      </c>
      <c r="P39" s="509"/>
      <c r="Q39" s="512"/>
      <c r="R39" s="509"/>
      <c r="S39" s="512">
        <f>12+7.53</f>
        <v>19.53</v>
      </c>
      <c r="T39" s="509"/>
      <c r="U39" s="512"/>
      <c r="V39" s="509"/>
      <c r="W39" s="527">
        <f t="shared" si="0"/>
        <v>4.4999999999999998E-2</v>
      </c>
      <c r="X39" s="528"/>
      <c r="Y39" s="529"/>
      <c r="Z39" s="527">
        <f t="shared" si="1"/>
        <v>14.647500000000001</v>
      </c>
      <c r="AA39" s="528"/>
      <c r="AB39" s="529"/>
      <c r="AC39" s="35"/>
      <c r="AD39" s="36"/>
      <c r="AE39" s="37"/>
      <c r="AF39" s="35"/>
      <c r="AG39" s="36"/>
      <c r="AH39" s="38"/>
    </row>
    <row r="40" spans="1:35" ht="15.75">
      <c r="A40" s="507"/>
      <c r="B40" s="508"/>
      <c r="C40" s="509"/>
      <c r="D40" s="545" t="s">
        <v>781</v>
      </c>
      <c r="E40" s="546"/>
      <c r="F40" s="546"/>
      <c r="G40" s="546"/>
      <c r="H40" s="546"/>
      <c r="I40" s="547"/>
      <c r="J40" s="47"/>
      <c r="K40" s="512">
        <v>0.15</v>
      </c>
      <c r="L40" s="509"/>
      <c r="M40" s="512"/>
      <c r="N40" s="509"/>
      <c r="O40" s="512">
        <v>0.4</v>
      </c>
      <c r="P40" s="509"/>
      <c r="Q40" s="512"/>
      <c r="R40" s="509"/>
      <c r="S40" s="512">
        <f>12+12+8.39</f>
        <v>32.39</v>
      </c>
      <c r="T40" s="509"/>
      <c r="U40" s="512"/>
      <c r="V40" s="509"/>
      <c r="W40" s="527">
        <f t="shared" si="0"/>
        <v>0.06</v>
      </c>
      <c r="X40" s="528"/>
      <c r="Y40" s="529"/>
      <c r="Z40" s="527">
        <f t="shared" si="1"/>
        <v>30.770500000000002</v>
      </c>
      <c r="AA40" s="528"/>
      <c r="AB40" s="529"/>
      <c r="AC40" s="35"/>
      <c r="AD40" s="36"/>
      <c r="AE40" s="37"/>
      <c r="AF40" s="35"/>
      <c r="AG40" s="36"/>
      <c r="AH40" s="38"/>
    </row>
    <row r="41" spans="1:35" ht="15.75">
      <c r="A41" s="507"/>
      <c r="B41" s="508"/>
      <c r="C41" s="509"/>
      <c r="D41" s="545" t="s">
        <v>782</v>
      </c>
      <c r="E41" s="546"/>
      <c r="F41" s="546"/>
      <c r="G41" s="546"/>
      <c r="H41" s="546"/>
      <c r="I41" s="547"/>
      <c r="J41" s="47"/>
      <c r="K41" s="512">
        <v>0.15</v>
      </c>
      <c r="L41" s="509"/>
      <c r="M41" s="512"/>
      <c r="N41" s="509"/>
      <c r="O41" s="512">
        <v>0.4</v>
      </c>
      <c r="P41" s="509"/>
      <c r="Q41" s="512"/>
      <c r="R41" s="509"/>
      <c r="S41" s="512">
        <f>11.85+10.69+2.02</f>
        <v>24.56</v>
      </c>
      <c r="T41" s="509"/>
      <c r="U41" s="512"/>
      <c r="V41" s="509"/>
      <c r="W41" s="527">
        <f t="shared" si="0"/>
        <v>0.06</v>
      </c>
      <c r="X41" s="528"/>
      <c r="Y41" s="529"/>
      <c r="Z41" s="527">
        <f t="shared" si="1"/>
        <v>23.332000000000001</v>
      </c>
      <c r="AA41" s="528"/>
      <c r="AB41" s="529"/>
      <c r="AC41" s="35"/>
      <c r="AD41" s="36"/>
      <c r="AE41" s="37"/>
      <c r="AF41" s="35"/>
      <c r="AG41" s="36"/>
      <c r="AH41" s="38"/>
    </row>
    <row r="42" spans="1:35" ht="15.75" customHeight="1">
      <c r="A42" s="519" t="str">
        <f>'MEMORIA BM 03'!A34</f>
        <v>5.2</v>
      </c>
      <c r="B42" s="520"/>
      <c r="C42" s="521"/>
      <c r="D42" s="553" t="str">
        <f>'MEMORIA BM 03'!B34</f>
        <v>ARMAÇÃO DE PILAR OU VIGA DE UMA ESTRUTURA CONVENCIONAL DE CONCRETO ARMADO EM UMA EDIFICAÇÃO TÉRREA OU SOBRADO UTILIZANDO AÇO CA-50 DE 6,3 MM - MONTAGEM. AF_12/2015</v>
      </c>
      <c r="E42" s="554"/>
      <c r="F42" s="554"/>
      <c r="G42" s="554"/>
      <c r="H42" s="554"/>
      <c r="I42" s="554"/>
      <c r="J42" s="554"/>
      <c r="K42" s="554"/>
      <c r="L42" s="554"/>
      <c r="M42" s="554"/>
      <c r="N42" s="554"/>
      <c r="O42" s="554"/>
      <c r="P42" s="554"/>
      <c r="Q42" s="554"/>
      <c r="R42" s="554"/>
      <c r="S42" s="554"/>
      <c r="T42" s="554"/>
      <c r="U42" s="554"/>
      <c r="V42" s="554"/>
      <c r="W42" s="554"/>
      <c r="X42" s="554"/>
      <c r="Y42" s="554"/>
      <c r="Z42" s="554"/>
      <c r="AA42" s="554"/>
      <c r="AB42" s="555"/>
      <c r="AC42" s="525">
        <f>SUM(Z43:AB44)</f>
        <v>8.0359999999999996</v>
      </c>
      <c r="AD42" s="520"/>
      <c r="AE42" s="521"/>
      <c r="AF42" s="525" t="str">
        <f>'MEMORIA BM 03'!C34</f>
        <v>KG</v>
      </c>
      <c r="AG42" s="520"/>
      <c r="AH42" s="526"/>
      <c r="AI42">
        <v>8.0399999999999991</v>
      </c>
    </row>
    <row r="43" spans="1:35" ht="15.75">
      <c r="A43" s="507"/>
      <c r="B43" s="508"/>
      <c r="C43" s="509"/>
      <c r="D43" s="543" t="s">
        <v>766</v>
      </c>
      <c r="E43" s="544"/>
      <c r="F43" s="544"/>
      <c r="G43" s="544"/>
      <c r="H43" s="544"/>
      <c r="I43" s="544"/>
      <c r="J43" s="47"/>
      <c r="K43" s="551">
        <f>16*0.98</f>
        <v>15.68</v>
      </c>
      <c r="L43" s="552"/>
      <c r="M43" s="551"/>
      <c r="N43" s="552"/>
      <c r="O43" s="551">
        <v>1</v>
      </c>
      <c r="P43" s="552"/>
      <c r="Q43" s="551"/>
      <c r="R43" s="552"/>
      <c r="S43" s="551"/>
      <c r="T43" s="552"/>
      <c r="U43" s="551"/>
      <c r="V43" s="552"/>
      <c r="W43" s="548">
        <f t="shared" ref="W43:W44" si="2">K43*O43</f>
        <v>15.68</v>
      </c>
      <c r="X43" s="549"/>
      <c r="Y43" s="550"/>
      <c r="Z43" s="548">
        <f t="shared" ref="Z43:Z44" si="3">W43*0.245</f>
        <v>3.8415999999999997</v>
      </c>
      <c r="AA43" s="549"/>
      <c r="AB43" s="550"/>
      <c r="AC43" s="35"/>
      <c r="AD43" s="36"/>
      <c r="AE43" s="37"/>
      <c r="AF43" s="35"/>
      <c r="AG43" s="36"/>
      <c r="AH43" s="38"/>
    </row>
    <row r="44" spans="1:35" ht="15.75">
      <c r="A44" s="507"/>
      <c r="B44" s="508"/>
      <c r="C44" s="509"/>
      <c r="D44" s="545" t="s">
        <v>770</v>
      </c>
      <c r="E44" s="546"/>
      <c r="F44" s="546"/>
      <c r="G44" s="546"/>
      <c r="H44" s="546"/>
      <c r="I44" s="547"/>
      <c r="J44" s="47"/>
      <c r="K44" s="551">
        <f>2*2*4.28</f>
        <v>17.12</v>
      </c>
      <c r="L44" s="552"/>
      <c r="M44" s="551"/>
      <c r="N44" s="552"/>
      <c r="O44" s="512">
        <v>1</v>
      </c>
      <c r="P44" s="509"/>
      <c r="Q44" s="551"/>
      <c r="R44" s="552"/>
      <c r="S44" s="551"/>
      <c r="T44" s="552"/>
      <c r="U44" s="551"/>
      <c r="V44" s="552"/>
      <c r="W44" s="548">
        <f t="shared" si="2"/>
        <v>17.12</v>
      </c>
      <c r="X44" s="549"/>
      <c r="Y44" s="550"/>
      <c r="Z44" s="548">
        <f t="shared" si="3"/>
        <v>4.1943999999999999</v>
      </c>
      <c r="AA44" s="549"/>
      <c r="AB44" s="550"/>
      <c r="AC44" s="35"/>
      <c r="AD44" s="36"/>
      <c r="AE44" s="37"/>
      <c r="AF44" s="35"/>
      <c r="AG44" s="36"/>
      <c r="AH44" s="38"/>
    </row>
    <row r="45" spans="1:35" ht="41.25" customHeight="1">
      <c r="A45" s="519" t="str">
        <f>'MEMORIA BM 03'!A35</f>
        <v>5.3</v>
      </c>
      <c r="B45" s="520"/>
      <c r="C45" s="521"/>
      <c r="D45" s="553" t="str">
        <f>'MEMORIA BM 03'!B35</f>
        <v>ARMAÇÃO DE PILAR OU VIGA DE UMA ESTRUTURA CONVENCIONAL DE CONCRETO ARMADO EM UMA EDIFICAÇÃO TÉRREA OU SOBRADO UTILIZANDO AÇO CA-50 DE 10,0 MM - MONTAGEM. AF_12/2015</v>
      </c>
      <c r="E45" s="554"/>
      <c r="F45" s="554"/>
      <c r="G45" s="554"/>
      <c r="H45" s="554"/>
      <c r="I45" s="554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  <c r="AA45" s="554"/>
      <c r="AB45" s="555"/>
      <c r="AC45" s="525">
        <f>SUM(Z46:AB71)</f>
        <v>1149.18101</v>
      </c>
      <c r="AD45" s="520"/>
      <c r="AE45" s="521"/>
      <c r="AF45" s="525" t="s">
        <v>359</v>
      </c>
      <c r="AG45" s="520"/>
      <c r="AH45" s="526"/>
      <c r="AI45">
        <v>1149.18</v>
      </c>
    </row>
    <row r="46" spans="1:35" ht="15.75">
      <c r="A46" s="507"/>
      <c r="B46" s="508"/>
      <c r="C46" s="509"/>
      <c r="D46" s="543" t="s">
        <v>757</v>
      </c>
      <c r="E46" s="544"/>
      <c r="F46" s="544"/>
      <c r="G46" s="544"/>
      <c r="H46" s="544"/>
      <c r="I46" s="544"/>
      <c r="J46" s="47"/>
      <c r="K46" s="551">
        <f>((2*11.57)+(2*4.26)+(2*11.9)+(2*11.96)+1.65+1.45+(2*11.99))</f>
        <v>106.46000000000001</v>
      </c>
      <c r="L46" s="552"/>
      <c r="M46" s="551"/>
      <c r="N46" s="552"/>
      <c r="O46" s="551">
        <v>1</v>
      </c>
      <c r="P46" s="552"/>
      <c r="Q46" s="551"/>
      <c r="R46" s="552"/>
      <c r="S46" s="551"/>
      <c r="T46" s="552"/>
      <c r="U46" s="551"/>
      <c r="V46" s="552"/>
      <c r="W46" s="548">
        <f t="shared" ref="W46:W71" si="4">K46*O46</f>
        <v>106.46000000000001</v>
      </c>
      <c r="X46" s="549"/>
      <c r="Y46" s="550"/>
      <c r="Z46" s="548">
        <f>W46*0.617</f>
        <v>65.685820000000007</v>
      </c>
      <c r="AA46" s="549"/>
      <c r="AB46" s="550"/>
      <c r="AC46" s="35"/>
      <c r="AD46" s="36"/>
      <c r="AE46" s="37"/>
      <c r="AF46" s="35"/>
      <c r="AG46" s="36"/>
      <c r="AH46" s="38"/>
    </row>
    <row r="47" spans="1:35" ht="15.75">
      <c r="A47" s="507"/>
      <c r="B47" s="508"/>
      <c r="C47" s="509"/>
      <c r="D47" s="543" t="s">
        <v>758</v>
      </c>
      <c r="E47" s="544"/>
      <c r="F47" s="544"/>
      <c r="G47" s="544"/>
      <c r="H47" s="544"/>
      <c r="I47" s="544"/>
      <c r="J47" s="47"/>
      <c r="K47" s="551">
        <f>((2*3.58)+(2*3.6))</f>
        <v>14.36</v>
      </c>
      <c r="L47" s="552"/>
      <c r="M47" s="551"/>
      <c r="N47" s="552"/>
      <c r="O47" s="551">
        <v>1</v>
      </c>
      <c r="P47" s="552"/>
      <c r="Q47" s="551"/>
      <c r="R47" s="552"/>
      <c r="S47" s="551"/>
      <c r="T47" s="552"/>
      <c r="U47" s="551"/>
      <c r="V47" s="552"/>
      <c r="W47" s="548">
        <f t="shared" si="4"/>
        <v>14.36</v>
      </c>
      <c r="X47" s="549"/>
      <c r="Y47" s="550"/>
      <c r="Z47" s="548">
        <f t="shared" ref="Z47:Z71" si="5">W47*0.617</f>
        <v>8.8601200000000002</v>
      </c>
      <c r="AA47" s="549"/>
      <c r="AB47" s="550"/>
      <c r="AC47" s="35"/>
      <c r="AD47" s="36"/>
      <c r="AE47" s="37"/>
      <c r="AF47" s="35"/>
      <c r="AG47" s="36"/>
      <c r="AH47" s="38"/>
    </row>
    <row r="48" spans="1:35" ht="15.75">
      <c r="A48" s="507"/>
      <c r="B48" s="508"/>
      <c r="C48" s="509"/>
      <c r="D48" s="543" t="s">
        <v>759</v>
      </c>
      <c r="E48" s="544"/>
      <c r="F48" s="544"/>
      <c r="G48" s="544"/>
      <c r="H48" s="544"/>
      <c r="I48" s="544"/>
      <c r="J48" s="47"/>
      <c r="K48" s="551">
        <f>((2*3.39)+(2*3.51))</f>
        <v>13.8</v>
      </c>
      <c r="L48" s="552"/>
      <c r="M48" s="551"/>
      <c r="N48" s="552"/>
      <c r="O48" s="551">
        <v>1</v>
      </c>
      <c r="P48" s="552"/>
      <c r="Q48" s="551"/>
      <c r="R48" s="552"/>
      <c r="S48" s="551"/>
      <c r="T48" s="552"/>
      <c r="U48" s="551"/>
      <c r="V48" s="552"/>
      <c r="W48" s="548">
        <f t="shared" si="4"/>
        <v>13.8</v>
      </c>
      <c r="X48" s="549"/>
      <c r="Y48" s="550"/>
      <c r="Z48" s="548">
        <f t="shared" si="5"/>
        <v>8.5145999999999997</v>
      </c>
      <c r="AA48" s="549"/>
      <c r="AB48" s="550"/>
      <c r="AC48" s="35"/>
      <c r="AD48" s="36"/>
      <c r="AE48" s="37"/>
      <c r="AF48" s="35"/>
      <c r="AG48" s="36"/>
      <c r="AH48" s="38"/>
    </row>
    <row r="49" spans="1:34" ht="15.75">
      <c r="A49" s="507"/>
      <c r="B49" s="508"/>
      <c r="C49" s="509"/>
      <c r="D49" s="543" t="s">
        <v>760</v>
      </c>
      <c r="E49" s="544"/>
      <c r="F49" s="544"/>
      <c r="G49" s="544"/>
      <c r="H49" s="544"/>
      <c r="I49" s="544"/>
      <c r="J49" s="47"/>
      <c r="K49" s="551">
        <f>((2*3.26)+(2*3.49))</f>
        <v>13.5</v>
      </c>
      <c r="L49" s="552"/>
      <c r="M49" s="551"/>
      <c r="N49" s="552"/>
      <c r="O49" s="551">
        <v>1</v>
      </c>
      <c r="P49" s="552"/>
      <c r="Q49" s="551"/>
      <c r="R49" s="552"/>
      <c r="S49" s="551"/>
      <c r="T49" s="552"/>
      <c r="U49" s="551"/>
      <c r="V49" s="552"/>
      <c r="W49" s="548">
        <f t="shared" si="4"/>
        <v>13.5</v>
      </c>
      <c r="X49" s="549"/>
      <c r="Y49" s="550"/>
      <c r="Z49" s="548">
        <f t="shared" si="5"/>
        <v>8.3294999999999995</v>
      </c>
      <c r="AA49" s="549"/>
      <c r="AB49" s="550"/>
      <c r="AC49" s="35"/>
      <c r="AD49" s="36"/>
      <c r="AE49" s="37"/>
      <c r="AF49" s="35"/>
      <c r="AG49" s="36"/>
      <c r="AH49" s="38"/>
    </row>
    <row r="50" spans="1:34" ht="15.75">
      <c r="A50" s="507"/>
      <c r="B50" s="508"/>
      <c r="C50" s="509"/>
      <c r="D50" s="543" t="s">
        <v>761</v>
      </c>
      <c r="E50" s="544"/>
      <c r="F50" s="544"/>
      <c r="G50" s="544"/>
      <c r="H50" s="544"/>
      <c r="I50" s="544"/>
      <c r="J50" s="47"/>
      <c r="K50" s="551">
        <f>((2*6.4)+(2*6.63))</f>
        <v>26.060000000000002</v>
      </c>
      <c r="L50" s="552"/>
      <c r="M50" s="551"/>
      <c r="N50" s="552"/>
      <c r="O50" s="551">
        <v>1</v>
      </c>
      <c r="P50" s="552"/>
      <c r="Q50" s="512"/>
      <c r="R50" s="509"/>
      <c r="S50" s="512"/>
      <c r="T50" s="509"/>
      <c r="U50" s="512"/>
      <c r="V50" s="509"/>
      <c r="W50" s="548">
        <f t="shared" si="4"/>
        <v>26.060000000000002</v>
      </c>
      <c r="X50" s="549"/>
      <c r="Y50" s="550"/>
      <c r="Z50" s="548">
        <f t="shared" si="5"/>
        <v>16.07902</v>
      </c>
      <c r="AA50" s="549"/>
      <c r="AB50" s="550"/>
      <c r="AC50" s="35"/>
      <c r="AD50" s="36"/>
      <c r="AE50" s="37"/>
      <c r="AF50" s="35"/>
      <c r="AG50" s="36"/>
      <c r="AH50" s="38"/>
    </row>
    <row r="51" spans="1:34" ht="15.75">
      <c r="A51" s="507"/>
      <c r="B51" s="508"/>
      <c r="C51" s="509"/>
      <c r="D51" s="543" t="s">
        <v>762</v>
      </c>
      <c r="E51" s="544"/>
      <c r="F51" s="544"/>
      <c r="G51" s="544"/>
      <c r="H51" s="544"/>
      <c r="I51" s="544"/>
      <c r="J51" s="47"/>
      <c r="K51" s="551">
        <f>((2*2.14)+(2*2.37))</f>
        <v>9.02</v>
      </c>
      <c r="L51" s="552"/>
      <c r="M51" s="551"/>
      <c r="N51" s="552"/>
      <c r="O51" s="551">
        <v>1</v>
      </c>
      <c r="P51" s="552"/>
      <c r="Q51" s="551"/>
      <c r="R51" s="552"/>
      <c r="S51" s="551"/>
      <c r="T51" s="552"/>
      <c r="U51" s="551"/>
      <c r="V51" s="552"/>
      <c r="W51" s="548">
        <f t="shared" si="4"/>
        <v>9.02</v>
      </c>
      <c r="X51" s="549"/>
      <c r="Y51" s="550"/>
      <c r="Z51" s="548">
        <f t="shared" si="5"/>
        <v>5.56534</v>
      </c>
      <c r="AA51" s="549"/>
      <c r="AB51" s="550"/>
      <c r="AC51" s="35"/>
      <c r="AD51" s="36"/>
      <c r="AE51" s="37"/>
      <c r="AF51" s="35"/>
      <c r="AG51" s="36"/>
      <c r="AH51" s="38"/>
    </row>
    <row r="52" spans="1:34" ht="15.75">
      <c r="A52" s="507"/>
      <c r="B52" s="508"/>
      <c r="C52" s="509"/>
      <c r="D52" s="543" t="s">
        <v>763</v>
      </c>
      <c r="E52" s="544"/>
      <c r="F52" s="544"/>
      <c r="G52" s="544"/>
      <c r="H52" s="544"/>
      <c r="I52" s="544"/>
      <c r="J52" s="47"/>
      <c r="K52" s="551">
        <f>((2*11.57)+(2*11.18)+(2*4.26)+(2*9.38)+(2*5.89)+(2*3.84)+(2*12)+1.65+1.55+(2*12)+(2*11.99))</f>
        <v>167.42</v>
      </c>
      <c r="L52" s="552"/>
      <c r="M52" s="551"/>
      <c r="N52" s="552"/>
      <c r="O52" s="551">
        <v>1</v>
      </c>
      <c r="P52" s="552"/>
      <c r="Q52" s="551"/>
      <c r="R52" s="552"/>
      <c r="S52" s="551"/>
      <c r="T52" s="552"/>
      <c r="U52" s="551"/>
      <c r="V52" s="552"/>
      <c r="W52" s="548">
        <f t="shared" si="4"/>
        <v>167.42</v>
      </c>
      <c r="X52" s="549"/>
      <c r="Y52" s="550"/>
      <c r="Z52" s="548">
        <f t="shared" si="5"/>
        <v>103.29813999999999</v>
      </c>
      <c r="AA52" s="549"/>
      <c r="AB52" s="550"/>
      <c r="AC52" s="35"/>
      <c r="AD52" s="36"/>
      <c r="AE52" s="37"/>
      <c r="AF52" s="35"/>
      <c r="AG52" s="36"/>
      <c r="AH52" s="38"/>
    </row>
    <row r="53" spans="1:34" ht="15.75">
      <c r="A53" s="507"/>
      <c r="B53" s="508"/>
      <c r="C53" s="509"/>
      <c r="D53" s="543" t="s">
        <v>764</v>
      </c>
      <c r="E53" s="544"/>
      <c r="F53" s="544"/>
      <c r="G53" s="544"/>
      <c r="H53" s="544"/>
      <c r="I53" s="544"/>
      <c r="J53" s="47"/>
      <c r="K53" s="551">
        <f>((2*6.4)+(2*6.63))</f>
        <v>26.060000000000002</v>
      </c>
      <c r="L53" s="552"/>
      <c r="M53" s="551"/>
      <c r="N53" s="552"/>
      <c r="O53" s="551">
        <v>1</v>
      </c>
      <c r="P53" s="552"/>
      <c r="Q53" s="551"/>
      <c r="R53" s="552"/>
      <c r="S53" s="551"/>
      <c r="T53" s="552"/>
      <c r="U53" s="551"/>
      <c r="V53" s="552"/>
      <c r="W53" s="548">
        <f t="shared" si="4"/>
        <v>26.060000000000002</v>
      </c>
      <c r="X53" s="549"/>
      <c r="Y53" s="550"/>
      <c r="Z53" s="548">
        <f t="shared" si="5"/>
        <v>16.07902</v>
      </c>
      <c r="AA53" s="549"/>
      <c r="AB53" s="550"/>
      <c r="AC53" s="35"/>
      <c r="AD53" s="36"/>
      <c r="AE53" s="37"/>
      <c r="AF53" s="35"/>
      <c r="AG53" s="36"/>
      <c r="AH53" s="38"/>
    </row>
    <row r="54" spans="1:34" ht="15.75">
      <c r="A54" s="507"/>
      <c r="B54" s="508"/>
      <c r="C54" s="509"/>
      <c r="D54" s="543" t="s">
        <v>765</v>
      </c>
      <c r="E54" s="544"/>
      <c r="F54" s="544"/>
      <c r="G54" s="544"/>
      <c r="H54" s="544"/>
      <c r="I54" s="544"/>
      <c r="J54" s="47"/>
      <c r="K54" s="551">
        <f>((2*1.78)+(2*2.11))</f>
        <v>7.7799999999999994</v>
      </c>
      <c r="L54" s="552"/>
      <c r="M54" s="551"/>
      <c r="N54" s="552"/>
      <c r="O54" s="551">
        <v>1</v>
      </c>
      <c r="P54" s="552"/>
      <c r="Q54" s="551"/>
      <c r="R54" s="552"/>
      <c r="S54" s="551"/>
      <c r="T54" s="552"/>
      <c r="U54" s="551"/>
      <c r="V54" s="552"/>
      <c r="W54" s="548">
        <f t="shared" si="4"/>
        <v>7.7799999999999994</v>
      </c>
      <c r="X54" s="549"/>
      <c r="Y54" s="550"/>
      <c r="Z54" s="548">
        <f t="shared" si="5"/>
        <v>4.8002599999999997</v>
      </c>
      <c r="AA54" s="549"/>
      <c r="AB54" s="550"/>
      <c r="AC54" s="35"/>
      <c r="AD54" s="36"/>
      <c r="AE54" s="37"/>
      <c r="AF54" s="35"/>
      <c r="AG54" s="36"/>
      <c r="AH54" s="38"/>
    </row>
    <row r="55" spans="1:34" ht="15.75">
      <c r="A55" s="507"/>
      <c r="B55" s="508"/>
      <c r="C55" s="509"/>
      <c r="D55" s="543" t="s">
        <v>766</v>
      </c>
      <c r="E55" s="544"/>
      <c r="F55" s="544"/>
      <c r="G55" s="544"/>
      <c r="H55" s="544"/>
      <c r="I55" s="544"/>
      <c r="J55" s="47"/>
      <c r="K55" s="551">
        <f>((2*11.57)+(2*10.95)+(2*4.26)+(2*4.26)+(2*10.85)+(2*4.67)+2.72+(2*6.85)+7.37+2.85+24+(2*2.95)+1.85+(2*8.84)+(2*11.98))</f>
        <v>193.15</v>
      </c>
      <c r="L55" s="552"/>
      <c r="M55" s="551"/>
      <c r="N55" s="552"/>
      <c r="O55" s="551">
        <v>1</v>
      </c>
      <c r="P55" s="552"/>
      <c r="Q55" s="551"/>
      <c r="R55" s="552"/>
      <c r="S55" s="551"/>
      <c r="T55" s="552"/>
      <c r="U55" s="551"/>
      <c r="V55" s="552"/>
      <c r="W55" s="548">
        <f t="shared" si="4"/>
        <v>193.15</v>
      </c>
      <c r="X55" s="549"/>
      <c r="Y55" s="550"/>
      <c r="Z55" s="548">
        <f t="shared" si="5"/>
        <v>119.17355000000001</v>
      </c>
      <c r="AA55" s="549"/>
      <c r="AB55" s="550"/>
      <c r="AC55" s="35"/>
      <c r="AD55" s="36"/>
      <c r="AE55" s="37"/>
      <c r="AF55" s="35"/>
      <c r="AG55" s="36"/>
      <c r="AH55" s="38"/>
    </row>
    <row r="56" spans="1:34" ht="15.75">
      <c r="A56" s="507"/>
      <c r="B56" s="508"/>
      <c r="C56" s="509"/>
      <c r="D56" s="543" t="s">
        <v>767</v>
      </c>
      <c r="E56" s="544"/>
      <c r="F56" s="544"/>
      <c r="G56" s="544"/>
      <c r="H56" s="544"/>
      <c r="I56" s="544"/>
      <c r="J56" s="47"/>
      <c r="K56" s="551">
        <f>((2*4.24)+(2*4.51))</f>
        <v>17.5</v>
      </c>
      <c r="L56" s="552"/>
      <c r="M56" s="551"/>
      <c r="N56" s="552"/>
      <c r="O56" s="551">
        <v>1</v>
      </c>
      <c r="P56" s="552"/>
      <c r="Q56" s="551"/>
      <c r="R56" s="552"/>
      <c r="S56" s="551"/>
      <c r="T56" s="552"/>
      <c r="U56" s="551"/>
      <c r="V56" s="552"/>
      <c r="W56" s="548">
        <f t="shared" si="4"/>
        <v>17.5</v>
      </c>
      <c r="X56" s="549"/>
      <c r="Y56" s="550"/>
      <c r="Z56" s="548">
        <f t="shared" si="5"/>
        <v>10.797499999999999</v>
      </c>
      <c r="AA56" s="549"/>
      <c r="AB56" s="550"/>
      <c r="AC56" s="35"/>
      <c r="AD56" s="36"/>
      <c r="AE56" s="37"/>
      <c r="AF56" s="35"/>
      <c r="AG56" s="36"/>
      <c r="AH56" s="38"/>
    </row>
    <row r="57" spans="1:34" ht="15.75">
      <c r="A57" s="507"/>
      <c r="B57" s="508"/>
      <c r="C57" s="509"/>
      <c r="D57" s="543" t="s">
        <v>768</v>
      </c>
      <c r="E57" s="544"/>
      <c r="F57" s="544"/>
      <c r="G57" s="544"/>
      <c r="H57" s="544"/>
      <c r="I57" s="544"/>
      <c r="J57" s="47"/>
      <c r="K57" s="551">
        <f>((2*5.74)+(2*5.97))</f>
        <v>23.42</v>
      </c>
      <c r="L57" s="552"/>
      <c r="M57" s="551"/>
      <c r="N57" s="552"/>
      <c r="O57" s="551">
        <v>1</v>
      </c>
      <c r="P57" s="552"/>
      <c r="Q57" s="551"/>
      <c r="R57" s="552"/>
      <c r="S57" s="551"/>
      <c r="T57" s="552"/>
      <c r="U57" s="551"/>
      <c r="V57" s="552"/>
      <c r="W57" s="548">
        <f t="shared" si="4"/>
        <v>23.42</v>
      </c>
      <c r="X57" s="549"/>
      <c r="Y57" s="550"/>
      <c r="Z57" s="548">
        <f t="shared" si="5"/>
        <v>14.450140000000001</v>
      </c>
      <c r="AA57" s="549"/>
      <c r="AB57" s="550"/>
      <c r="AC57" s="35"/>
      <c r="AD57" s="36"/>
      <c r="AE57" s="37"/>
      <c r="AF57" s="35"/>
      <c r="AG57" s="36"/>
      <c r="AH57" s="38"/>
    </row>
    <row r="58" spans="1:34" ht="15.75">
      <c r="A58" s="507"/>
      <c r="B58" s="508"/>
      <c r="C58" s="509"/>
      <c r="D58" s="543" t="s">
        <v>769</v>
      </c>
      <c r="E58" s="544"/>
      <c r="F58" s="544"/>
      <c r="G58" s="544"/>
      <c r="H58" s="544"/>
      <c r="I58" s="544"/>
      <c r="J58" s="47"/>
      <c r="K58" s="512">
        <f>((2*11.57)+(2*10.95)+(2*4.2)+(2*4.2)+2.73+(2*11.37)+(2*6.41)+24+6.73+6.78+2.65+2+(2*9.24)+(2*11.98))</f>
        <v>184.73</v>
      </c>
      <c r="L58" s="509"/>
      <c r="M58" s="512"/>
      <c r="N58" s="509"/>
      <c r="O58" s="512">
        <v>1</v>
      </c>
      <c r="P58" s="509"/>
      <c r="Q58" s="512"/>
      <c r="R58" s="509"/>
      <c r="S58" s="512"/>
      <c r="T58" s="509"/>
      <c r="U58" s="512"/>
      <c r="V58" s="509"/>
      <c r="W58" s="548">
        <f t="shared" si="4"/>
        <v>184.73</v>
      </c>
      <c r="X58" s="549"/>
      <c r="Y58" s="550"/>
      <c r="Z58" s="548">
        <f t="shared" si="5"/>
        <v>113.97841</v>
      </c>
      <c r="AA58" s="549"/>
      <c r="AB58" s="550"/>
      <c r="AC58" s="35"/>
      <c r="AD58" s="36"/>
      <c r="AE58" s="37"/>
      <c r="AF58" s="35"/>
      <c r="AG58" s="36"/>
      <c r="AH58" s="38"/>
    </row>
    <row r="59" spans="1:34" ht="15.75">
      <c r="A59" s="507"/>
      <c r="B59" s="508"/>
      <c r="C59" s="509"/>
      <c r="D59" s="545" t="s">
        <v>770</v>
      </c>
      <c r="E59" s="546"/>
      <c r="F59" s="546"/>
      <c r="G59" s="546"/>
      <c r="H59" s="546"/>
      <c r="I59" s="547"/>
      <c r="J59" s="47"/>
      <c r="K59" s="551">
        <f>((2*10.71)+(2*11.12)+3.43+3.66+7.71)</f>
        <v>58.46</v>
      </c>
      <c r="L59" s="552"/>
      <c r="M59" s="551"/>
      <c r="N59" s="552"/>
      <c r="O59" s="512">
        <v>1</v>
      </c>
      <c r="P59" s="509"/>
      <c r="Q59" s="551"/>
      <c r="R59" s="552"/>
      <c r="S59" s="551"/>
      <c r="T59" s="552"/>
      <c r="U59" s="551"/>
      <c r="V59" s="552"/>
      <c r="W59" s="548">
        <f t="shared" si="4"/>
        <v>58.46</v>
      </c>
      <c r="X59" s="549"/>
      <c r="Y59" s="550"/>
      <c r="Z59" s="548">
        <f t="shared" si="5"/>
        <v>36.06982</v>
      </c>
      <c r="AA59" s="549"/>
      <c r="AB59" s="550"/>
      <c r="AC59" s="35"/>
      <c r="AD59" s="36"/>
      <c r="AE59" s="37"/>
      <c r="AF59" s="35"/>
      <c r="AG59" s="36"/>
      <c r="AH59" s="38"/>
    </row>
    <row r="60" spans="1:34" ht="15.75">
      <c r="A60" s="507"/>
      <c r="B60" s="508"/>
      <c r="C60" s="509"/>
      <c r="D60" s="545" t="s">
        <v>771</v>
      </c>
      <c r="E60" s="546"/>
      <c r="F60" s="546"/>
      <c r="G60" s="546"/>
      <c r="H60" s="546"/>
      <c r="I60" s="547"/>
      <c r="J60" s="47"/>
      <c r="K60" s="551">
        <f>((2*11.57)+(2*11.13)+(2*4.2)+(2*9.98)+(2*5.82)+(2*3.96)+(2*12)+1.4+6.35+1.45+24+(2*11.99))</f>
        <v>174.5</v>
      </c>
      <c r="L60" s="552"/>
      <c r="M60" s="551"/>
      <c r="N60" s="552"/>
      <c r="O60" s="512">
        <v>1</v>
      </c>
      <c r="P60" s="509"/>
      <c r="Q60" s="551"/>
      <c r="R60" s="552"/>
      <c r="S60" s="551"/>
      <c r="T60" s="552"/>
      <c r="U60" s="551"/>
      <c r="V60" s="552"/>
      <c r="W60" s="548">
        <f t="shared" si="4"/>
        <v>174.5</v>
      </c>
      <c r="X60" s="549"/>
      <c r="Y60" s="550"/>
      <c r="Z60" s="548">
        <f t="shared" si="5"/>
        <v>107.6665</v>
      </c>
      <c r="AA60" s="549"/>
      <c r="AB60" s="550"/>
      <c r="AC60" s="35"/>
      <c r="AD60" s="36"/>
      <c r="AE60" s="37"/>
      <c r="AF60" s="35"/>
      <c r="AG60" s="36"/>
      <c r="AH60" s="38"/>
    </row>
    <row r="61" spans="1:34" ht="15.75">
      <c r="A61" s="507"/>
      <c r="B61" s="508"/>
      <c r="C61" s="509"/>
      <c r="D61" s="545" t="s">
        <v>772</v>
      </c>
      <c r="E61" s="546"/>
      <c r="F61" s="546"/>
      <c r="G61" s="546"/>
      <c r="H61" s="546"/>
      <c r="I61" s="547"/>
      <c r="J61" s="47"/>
      <c r="K61" s="551">
        <f>((2*10.72)+(2*4.26)+2.09+6.15+(2*10.74))</f>
        <v>59.679999999999993</v>
      </c>
      <c r="L61" s="552"/>
      <c r="M61" s="551"/>
      <c r="N61" s="552"/>
      <c r="O61" s="551">
        <v>1</v>
      </c>
      <c r="P61" s="552"/>
      <c r="Q61" s="551"/>
      <c r="R61" s="552"/>
      <c r="S61" s="551"/>
      <c r="T61" s="552"/>
      <c r="U61" s="551"/>
      <c r="V61" s="552"/>
      <c r="W61" s="548">
        <f t="shared" si="4"/>
        <v>59.679999999999993</v>
      </c>
      <c r="X61" s="549"/>
      <c r="Y61" s="550"/>
      <c r="Z61" s="548">
        <f t="shared" si="5"/>
        <v>36.822559999999996</v>
      </c>
      <c r="AA61" s="549"/>
      <c r="AB61" s="550"/>
      <c r="AC61" s="35"/>
      <c r="AD61" s="36"/>
      <c r="AE61" s="37"/>
      <c r="AF61" s="35"/>
      <c r="AG61" s="36"/>
      <c r="AH61" s="38"/>
    </row>
    <row r="62" spans="1:34" ht="15.75">
      <c r="A62" s="507"/>
      <c r="B62" s="508"/>
      <c r="C62" s="509"/>
      <c r="D62" s="545" t="s">
        <v>773</v>
      </c>
      <c r="E62" s="546"/>
      <c r="F62" s="546"/>
      <c r="G62" s="546"/>
      <c r="H62" s="546"/>
      <c r="I62" s="547"/>
      <c r="J62" s="47"/>
      <c r="K62" s="551">
        <f>((2*10.6)+(2*8.43)+(2*7.43)+24)</f>
        <v>76.92</v>
      </c>
      <c r="L62" s="552"/>
      <c r="M62" s="551"/>
      <c r="N62" s="552"/>
      <c r="O62" s="512">
        <v>1</v>
      </c>
      <c r="P62" s="509"/>
      <c r="Q62" s="551"/>
      <c r="R62" s="552"/>
      <c r="S62" s="551"/>
      <c r="T62" s="552"/>
      <c r="U62" s="551"/>
      <c r="V62" s="552"/>
      <c r="W62" s="548">
        <f t="shared" si="4"/>
        <v>76.92</v>
      </c>
      <c r="X62" s="549"/>
      <c r="Y62" s="550"/>
      <c r="Z62" s="548">
        <f t="shared" si="5"/>
        <v>47.45964</v>
      </c>
      <c r="AA62" s="549"/>
      <c r="AB62" s="550"/>
      <c r="AC62" s="35"/>
      <c r="AD62" s="36"/>
      <c r="AE62" s="37"/>
      <c r="AF62" s="35"/>
      <c r="AG62" s="36"/>
      <c r="AH62" s="38"/>
    </row>
    <row r="63" spans="1:34" ht="15.75">
      <c r="A63" s="507"/>
      <c r="B63" s="508"/>
      <c r="C63" s="509"/>
      <c r="D63" s="545" t="s">
        <v>774</v>
      </c>
      <c r="E63" s="546"/>
      <c r="F63" s="546"/>
      <c r="G63" s="546"/>
      <c r="H63" s="546"/>
      <c r="I63" s="547"/>
      <c r="J63" s="47"/>
      <c r="K63" s="551">
        <f>((2*10.57)+(2*10.71)+(2*9.72)+(2*8.05)+(2*12)+(2*12))</f>
        <v>126.1</v>
      </c>
      <c r="L63" s="552"/>
      <c r="M63" s="551"/>
      <c r="N63" s="552"/>
      <c r="O63" s="551">
        <v>1</v>
      </c>
      <c r="P63" s="552"/>
      <c r="Q63" s="551"/>
      <c r="R63" s="552"/>
      <c r="S63" s="551"/>
      <c r="T63" s="552"/>
      <c r="U63" s="551"/>
      <c r="V63" s="552"/>
      <c r="W63" s="548">
        <f t="shared" si="4"/>
        <v>126.1</v>
      </c>
      <c r="X63" s="549"/>
      <c r="Y63" s="550"/>
      <c r="Z63" s="548">
        <f t="shared" si="5"/>
        <v>77.803699999999992</v>
      </c>
      <c r="AA63" s="549"/>
      <c r="AB63" s="550"/>
      <c r="AC63" s="35"/>
      <c r="AD63" s="36"/>
      <c r="AE63" s="37"/>
      <c r="AF63" s="35"/>
      <c r="AG63" s="36"/>
      <c r="AH63" s="38"/>
    </row>
    <row r="64" spans="1:34" ht="15.75">
      <c r="A64" s="507"/>
      <c r="B64" s="508"/>
      <c r="C64" s="509"/>
      <c r="D64" s="545" t="s">
        <v>775</v>
      </c>
      <c r="E64" s="546"/>
      <c r="F64" s="546"/>
      <c r="G64" s="546"/>
      <c r="H64" s="546"/>
      <c r="I64" s="547"/>
      <c r="J64" s="47"/>
      <c r="K64" s="551">
        <f>((2*10.57)+(2*8.07)+(2*7.24)+(2*12))</f>
        <v>75.760000000000005</v>
      </c>
      <c r="L64" s="552"/>
      <c r="M64" s="551"/>
      <c r="N64" s="552"/>
      <c r="O64" s="551">
        <v>1</v>
      </c>
      <c r="P64" s="552"/>
      <c r="Q64" s="551"/>
      <c r="R64" s="552"/>
      <c r="S64" s="551"/>
      <c r="T64" s="552"/>
      <c r="U64" s="551"/>
      <c r="V64" s="552"/>
      <c r="W64" s="548">
        <f t="shared" si="4"/>
        <v>75.760000000000005</v>
      </c>
      <c r="X64" s="549"/>
      <c r="Y64" s="550"/>
      <c r="Z64" s="548">
        <f t="shared" si="5"/>
        <v>46.743920000000003</v>
      </c>
      <c r="AA64" s="549"/>
      <c r="AB64" s="550"/>
      <c r="AC64" s="35"/>
      <c r="AD64" s="36"/>
      <c r="AE64" s="37"/>
      <c r="AF64" s="35"/>
      <c r="AG64" s="36"/>
      <c r="AH64" s="38"/>
    </row>
    <row r="65" spans="1:35" ht="15.75">
      <c r="A65" s="507"/>
      <c r="B65" s="508"/>
      <c r="C65" s="509"/>
      <c r="D65" s="545" t="s">
        <v>776</v>
      </c>
      <c r="E65" s="546"/>
      <c r="F65" s="546"/>
      <c r="G65" s="546"/>
      <c r="H65" s="546"/>
      <c r="I65" s="547"/>
      <c r="J65" s="47"/>
      <c r="K65" s="551">
        <f>((2*10.57)+(2*11.08)+(2*9.57)+(2*8.27)+1.65+(2*12)+(2*12))</f>
        <v>128.63</v>
      </c>
      <c r="L65" s="552"/>
      <c r="M65" s="551"/>
      <c r="N65" s="552"/>
      <c r="O65" s="551">
        <v>1</v>
      </c>
      <c r="P65" s="552"/>
      <c r="Q65" s="551"/>
      <c r="R65" s="552"/>
      <c r="S65" s="551"/>
      <c r="T65" s="552"/>
      <c r="U65" s="551"/>
      <c r="V65" s="552"/>
      <c r="W65" s="548">
        <f t="shared" si="4"/>
        <v>128.63</v>
      </c>
      <c r="X65" s="549"/>
      <c r="Y65" s="550"/>
      <c r="Z65" s="548">
        <f t="shared" si="5"/>
        <v>79.364710000000002</v>
      </c>
      <c r="AA65" s="549"/>
      <c r="AB65" s="550"/>
      <c r="AC65" s="35"/>
      <c r="AD65" s="36"/>
      <c r="AE65" s="37"/>
      <c r="AF65" s="35"/>
      <c r="AG65" s="36"/>
      <c r="AH65" s="38"/>
    </row>
    <row r="66" spans="1:35" ht="15.75">
      <c r="A66" s="507"/>
      <c r="B66" s="508"/>
      <c r="C66" s="509"/>
      <c r="D66" s="545" t="s">
        <v>777</v>
      </c>
      <c r="E66" s="546"/>
      <c r="F66" s="546"/>
      <c r="G66" s="546"/>
      <c r="H66" s="546"/>
      <c r="I66" s="547"/>
      <c r="J66" s="47"/>
      <c r="K66" s="512">
        <f>((2*9.74)+(2*9.74))</f>
        <v>38.96</v>
      </c>
      <c r="L66" s="509"/>
      <c r="M66" s="512"/>
      <c r="N66" s="509"/>
      <c r="O66" s="551">
        <v>1</v>
      </c>
      <c r="P66" s="552"/>
      <c r="Q66" s="512"/>
      <c r="R66" s="509"/>
      <c r="S66" s="512"/>
      <c r="T66" s="509"/>
      <c r="U66" s="512"/>
      <c r="V66" s="509"/>
      <c r="W66" s="548">
        <f t="shared" si="4"/>
        <v>38.96</v>
      </c>
      <c r="X66" s="549"/>
      <c r="Y66" s="550"/>
      <c r="Z66" s="548">
        <f t="shared" si="5"/>
        <v>24.038319999999999</v>
      </c>
      <c r="AA66" s="549"/>
      <c r="AB66" s="550"/>
      <c r="AC66" s="35"/>
      <c r="AD66" s="36"/>
      <c r="AE66" s="37"/>
      <c r="AF66" s="35"/>
      <c r="AG66" s="36"/>
      <c r="AH66" s="38"/>
    </row>
    <row r="67" spans="1:35" ht="15.75">
      <c r="A67" s="507"/>
      <c r="B67" s="508"/>
      <c r="C67" s="509"/>
      <c r="D67" s="545" t="s">
        <v>778</v>
      </c>
      <c r="E67" s="546"/>
      <c r="F67" s="546"/>
      <c r="G67" s="546"/>
      <c r="H67" s="546"/>
      <c r="I67" s="547"/>
      <c r="J67" s="47"/>
      <c r="K67" s="551">
        <f>1.78+1.78+2.12+2.12</f>
        <v>7.8</v>
      </c>
      <c r="L67" s="552"/>
      <c r="M67" s="551"/>
      <c r="N67" s="552"/>
      <c r="O67" s="551">
        <v>1</v>
      </c>
      <c r="P67" s="552"/>
      <c r="Q67" s="551"/>
      <c r="R67" s="552"/>
      <c r="S67" s="551"/>
      <c r="T67" s="552"/>
      <c r="U67" s="551"/>
      <c r="V67" s="552"/>
      <c r="W67" s="548">
        <f t="shared" si="4"/>
        <v>7.8</v>
      </c>
      <c r="X67" s="549"/>
      <c r="Y67" s="550"/>
      <c r="Z67" s="548">
        <f t="shared" si="5"/>
        <v>4.8125999999999998</v>
      </c>
      <c r="AA67" s="549"/>
      <c r="AB67" s="550"/>
      <c r="AC67" s="35"/>
      <c r="AD67" s="36"/>
      <c r="AE67" s="37"/>
      <c r="AF67" s="35"/>
      <c r="AG67" s="36"/>
      <c r="AH67" s="38"/>
    </row>
    <row r="68" spans="1:35" ht="15.75">
      <c r="A68" s="507"/>
      <c r="B68" s="508"/>
      <c r="C68" s="509"/>
      <c r="D68" s="545" t="s">
        <v>779</v>
      </c>
      <c r="E68" s="546"/>
      <c r="F68" s="546"/>
      <c r="G68" s="546"/>
      <c r="H68" s="546"/>
      <c r="I68" s="547"/>
      <c r="J68" s="47"/>
      <c r="K68" s="551">
        <f>10.61+10.61+10.83+10.83</f>
        <v>42.879999999999995</v>
      </c>
      <c r="L68" s="552"/>
      <c r="M68" s="551"/>
      <c r="N68" s="552"/>
      <c r="O68" s="551">
        <v>1</v>
      </c>
      <c r="P68" s="552"/>
      <c r="Q68" s="551"/>
      <c r="R68" s="552"/>
      <c r="S68" s="551"/>
      <c r="T68" s="552"/>
      <c r="U68" s="551"/>
      <c r="V68" s="552"/>
      <c r="W68" s="548">
        <f t="shared" si="4"/>
        <v>42.879999999999995</v>
      </c>
      <c r="X68" s="549"/>
      <c r="Y68" s="550"/>
      <c r="Z68" s="548">
        <f t="shared" si="5"/>
        <v>26.456959999999995</v>
      </c>
      <c r="AA68" s="549"/>
      <c r="AB68" s="550"/>
      <c r="AC68" s="35"/>
      <c r="AD68" s="36"/>
      <c r="AE68" s="37"/>
      <c r="AF68" s="35"/>
      <c r="AG68" s="36"/>
      <c r="AH68" s="38"/>
    </row>
    <row r="69" spans="1:35" ht="15.75">
      <c r="A69" s="507"/>
      <c r="B69" s="508"/>
      <c r="C69" s="509"/>
      <c r="D69" s="545" t="s">
        <v>780</v>
      </c>
      <c r="E69" s="546"/>
      <c r="F69" s="546"/>
      <c r="G69" s="546"/>
      <c r="H69" s="546"/>
      <c r="I69" s="547"/>
      <c r="J69" s="47"/>
      <c r="K69" s="551">
        <f>10.66+10.66+8.47+8.47+4.26+4.26+7.53+7.53+12+12</f>
        <v>85.84</v>
      </c>
      <c r="L69" s="552"/>
      <c r="M69" s="551"/>
      <c r="N69" s="552"/>
      <c r="O69" s="551">
        <v>1</v>
      </c>
      <c r="P69" s="552"/>
      <c r="Q69" s="551"/>
      <c r="R69" s="552"/>
      <c r="S69" s="551"/>
      <c r="T69" s="552"/>
      <c r="U69" s="551"/>
      <c r="V69" s="552"/>
      <c r="W69" s="548">
        <f t="shared" si="4"/>
        <v>85.84</v>
      </c>
      <c r="X69" s="549"/>
      <c r="Y69" s="550"/>
      <c r="Z69" s="548">
        <f t="shared" si="5"/>
        <v>52.963280000000005</v>
      </c>
      <c r="AA69" s="549"/>
      <c r="AB69" s="550"/>
      <c r="AC69" s="35"/>
      <c r="AD69" s="36"/>
      <c r="AE69" s="37"/>
      <c r="AF69" s="35"/>
      <c r="AG69" s="36"/>
      <c r="AH69" s="38"/>
    </row>
    <row r="70" spans="1:35" ht="15.75">
      <c r="A70" s="507"/>
      <c r="B70" s="508"/>
      <c r="C70" s="509"/>
      <c r="D70" s="545" t="s">
        <v>781</v>
      </c>
      <c r="E70" s="546"/>
      <c r="F70" s="546"/>
      <c r="G70" s="546"/>
      <c r="H70" s="546"/>
      <c r="I70" s="547"/>
      <c r="J70" s="47"/>
      <c r="K70" s="551">
        <f>8.07+8.07+10.04+10.04+9.72+9.72+8.56+8.56+12+12+1.8+1.8+4.47+5.02+12+12</f>
        <v>133.87</v>
      </c>
      <c r="L70" s="552"/>
      <c r="M70" s="551"/>
      <c r="N70" s="552"/>
      <c r="O70" s="551">
        <v>1</v>
      </c>
      <c r="P70" s="552"/>
      <c r="Q70" s="551"/>
      <c r="R70" s="552"/>
      <c r="S70" s="551"/>
      <c r="T70" s="552"/>
      <c r="U70" s="551"/>
      <c r="V70" s="552"/>
      <c r="W70" s="548">
        <f t="shared" si="4"/>
        <v>133.87</v>
      </c>
      <c r="X70" s="549"/>
      <c r="Y70" s="550"/>
      <c r="Z70" s="548">
        <f t="shared" si="5"/>
        <v>82.597790000000003</v>
      </c>
      <c r="AA70" s="549"/>
      <c r="AB70" s="550"/>
      <c r="AC70" s="35"/>
      <c r="AD70" s="36"/>
      <c r="AE70" s="37"/>
      <c r="AF70" s="35"/>
      <c r="AG70" s="36"/>
      <c r="AH70" s="38"/>
    </row>
    <row r="71" spans="1:35" ht="15.75">
      <c r="A71" s="507"/>
      <c r="B71" s="508"/>
      <c r="C71" s="509"/>
      <c r="D71" s="545" t="s">
        <v>782</v>
      </c>
      <c r="E71" s="546"/>
      <c r="F71" s="546"/>
      <c r="G71" s="546"/>
      <c r="H71" s="546"/>
      <c r="I71" s="547"/>
      <c r="J71" s="47"/>
      <c r="K71" s="551">
        <f>10.82+10.82+4.26+4.26+1.91+1.91+1.59+7.15+7.15</f>
        <v>49.86999999999999</v>
      </c>
      <c r="L71" s="552"/>
      <c r="M71" s="551"/>
      <c r="N71" s="552"/>
      <c r="O71" s="551">
        <v>1</v>
      </c>
      <c r="P71" s="552"/>
      <c r="Q71" s="551"/>
      <c r="R71" s="552"/>
      <c r="S71" s="551"/>
      <c r="T71" s="552"/>
      <c r="U71" s="551"/>
      <c r="V71" s="552"/>
      <c r="W71" s="548">
        <f t="shared" si="4"/>
        <v>49.86999999999999</v>
      </c>
      <c r="X71" s="549"/>
      <c r="Y71" s="550"/>
      <c r="Z71" s="548">
        <f t="shared" si="5"/>
        <v>30.769789999999993</v>
      </c>
      <c r="AA71" s="549"/>
      <c r="AB71" s="550"/>
      <c r="AC71" s="35"/>
      <c r="AD71" s="36"/>
      <c r="AE71" s="37"/>
      <c r="AF71" s="35"/>
      <c r="AG71" s="36"/>
      <c r="AH71" s="38"/>
    </row>
    <row r="72" spans="1:35" ht="15.75">
      <c r="A72" s="519" t="str">
        <f>'MEMORIA BM 03'!A36</f>
        <v>5.4</v>
      </c>
      <c r="B72" s="520"/>
      <c r="C72" s="521"/>
      <c r="D72" s="553" t="str">
        <f>'MEMORIA BM 03'!B36</f>
        <v>ARMAÇÃO DE PILAR OU VIGA DE UMA ESTRUTURA CONVENCIONAL DE CONCRETO ARMADO EM UMA EDIFICAÇÃO TÉRREA OU SOBRADO UTILIZANDO AÇO CA-50 DE 12,5 MM - MONTAGEM. AF_12/2015</v>
      </c>
      <c r="E72" s="554"/>
      <c r="F72" s="554"/>
      <c r="G72" s="554"/>
      <c r="H72" s="554"/>
      <c r="I72" s="554"/>
      <c r="J72" s="554"/>
      <c r="K72" s="554"/>
      <c r="L72" s="554"/>
      <c r="M72" s="554"/>
      <c r="N72" s="554"/>
      <c r="O72" s="554"/>
      <c r="P72" s="554"/>
      <c r="Q72" s="554"/>
      <c r="R72" s="554"/>
      <c r="S72" s="554"/>
      <c r="T72" s="554"/>
      <c r="U72" s="554"/>
      <c r="V72" s="554"/>
      <c r="W72" s="554"/>
      <c r="X72" s="554"/>
      <c r="Y72" s="554"/>
      <c r="Z72" s="554"/>
      <c r="AA72" s="554"/>
      <c r="AB72" s="555"/>
      <c r="AC72" s="525">
        <f>SUM(Z73:AB74)</f>
        <v>84.426209999999983</v>
      </c>
      <c r="AD72" s="520"/>
      <c r="AE72" s="521"/>
      <c r="AF72" s="525" t="s">
        <v>359</v>
      </c>
      <c r="AG72" s="520"/>
      <c r="AH72" s="526"/>
      <c r="AI72">
        <v>84.43</v>
      </c>
    </row>
    <row r="73" spans="1:35" ht="15.75">
      <c r="A73" s="507"/>
      <c r="B73" s="508"/>
      <c r="C73" s="509"/>
      <c r="D73" s="545" t="s">
        <v>781</v>
      </c>
      <c r="E73" s="546"/>
      <c r="F73" s="546"/>
      <c r="G73" s="546"/>
      <c r="H73" s="546"/>
      <c r="I73" s="547"/>
      <c r="J73" s="47"/>
      <c r="K73" s="512">
        <f>3.7+3.7+2.09</f>
        <v>9.49</v>
      </c>
      <c r="L73" s="509"/>
      <c r="M73" s="512"/>
      <c r="N73" s="509"/>
      <c r="O73" s="551">
        <v>1</v>
      </c>
      <c r="P73" s="552"/>
      <c r="Q73" s="512"/>
      <c r="R73" s="509"/>
      <c r="S73" s="512"/>
      <c r="T73" s="509"/>
      <c r="U73" s="512"/>
      <c r="V73" s="509"/>
      <c r="W73" s="548">
        <f t="shared" ref="W73:W74" si="6">K73*O73</f>
        <v>9.49</v>
      </c>
      <c r="X73" s="549"/>
      <c r="Y73" s="550"/>
      <c r="Z73" s="548">
        <f>W73*0.963</f>
        <v>9.1388700000000007</v>
      </c>
      <c r="AA73" s="549"/>
      <c r="AB73" s="550"/>
      <c r="AC73" s="35"/>
      <c r="AD73" s="36"/>
      <c r="AE73" s="37"/>
      <c r="AF73" s="35"/>
      <c r="AG73" s="36"/>
      <c r="AH73" s="38"/>
    </row>
    <row r="74" spans="1:35" ht="15.75">
      <c r="A74" s="507"/>
      <c r="B74" s="508"/>
      <c r="C74" s="509"/>
      <c r="D74" s="545" t="s">
        <v>782</v>
      </c>
      <c r="E74" s="546"/>
      <c r="F74" s="546"/>
      <c r="G74" s="546"/>
      <c r="H74" s="546"/>
      <c r="I74" s="547"/>
      <c r="J74" s="47"/>
      <c r="K74" s="551">
        <f>2.9+2.9+3.82+4.39+4.39+2.13+2.13+10.69+10.69+11.97+11.97+3.25+2.8+2.2+1.95</f>
        <v>78.179999999999993</v>
      </c>
      <c r="L74" s="552"/>
      <c r="M74" s="551"/>
      <c r="N74" s="552"/>
      <c r="O74" s="551">
        <v>1</v>
      </c>
      <c r="P74" s="552"/>
      <c r="Q74" s="551"/>
      <c r="R74" s="552"/>
      <c r="S74" s="551"/>
      <c r="T74" s="552"/>
      <c r="U74" s="551"/>
      <c r="V74" s="552"/>
      <c r="W74" s="548">
        <f t="shared" si="6"/>
        <v>78.179999999999993</v>
      </c>
      <c r="X74" s="549"/>
      <c r="Y74" s="550"/>
      <c r="Z74" s="548">
        <f t="shared" ref="Z74" si="7">W74*0.963</f>
        <v>75.287339999999986</v>
      </c>
      <c r="AA74" s="549"/>
      <c r="AB74" s="550"/>
      <c r="AC74" s="35"/>
      <c r="AD74" s="36"/>
      <c r="AE74" s="37"/>
      <c r="AF74" s="35"/>
      <c r="AG74" s="36"/>
      <c r="AH74" s="38"/>
    </row>
    <row r="75" spans="1:35" ht="15.75">
      <c r="A75" s="519" t="str">
        <f>'MEMORIA BM 03'!A37</f>
        <v>5.5</v>
      </c>
      <c r="B75" s="520"/>
      <c r="C75" s="521"/>
      <c r="D75" s="553" t="str">
        <f>'MEMORIA BM 03'!B37</f>
        <v>ARMAÇÃO DE PILAR OU VIGA DE UMA ESTRUTURA CONVENCIONAL DE CONCRETO ARMADO EM UMA EDIFICAÇÃO TÉRREA OU SOBRADO UTILIZANDO AÇO CA-60 DE 5,0 MM - MONTAGEM. AF_12/2015</v>
      </c>
      <c r="E75" s="554"/>
      <c r="F75" s="554"/>
      <c r="G75" s="554"/>
      <c r="H75" s="554"/>
      <c r="I75" s="554"/>
      <c r="J75" s="554"/>
      <c r="K75" s="554"/>
      <c r="L75" s="554"/>
      <c r="M75" s="554"/>
      <c r="N75" s="554"/>
      <c r="O75" s="554"/>
      <c r="P75" s="554"/>
      <c r="Q75" s="554"/>
      <c r="R75" s="554"/>
      <c r="S75" s="554"/>
      <c r="T75" s="554"/>
      <c r="U75" s="554"/>
      <c r="V75" s="554"/>
      <c r="W75" s="554"/>
      <c r="X75" s="554"/>
      <c r="Y75" s="554"/>
      <c r="Z75" s="554"/>
      <c r="AA75" s="554"/>
      <c r="AB75" s="555"/>
      <c r="AC75" s="525">
        <f>SUM(Z76:AB101)</f>
        <v>440.12122000000005</v>
      </c>
      <c r="AD75" s="520"/>
      <c r="AE75" s="521"/>
      <c r="AF75" s="525" t="str">
        <f>'MEMORIA BM 03'!C37</f>
        <v>KG</v>
      </c>
      <c r="AG75" s="520"/>
      <c r="AH75" s="526"/>
      <c r="AI75">
        <v>440.12</v>
      </c>
    </row>
    <row r="76" spans="1:35" ht="15.75">
      <c r="A76" s="507"/>
      <c r="B76" s="508"/>
      <c r="C76" s="509"/>
      <c r="D76" s="543" t="s">
        <v>757</v>
      </c>
      <c r="E76" s="544"/>
      <c r="F76" s="544"/>
      <c r="G76" s="544"/>
      <c r="H76" s="544"/>
      <c r="I76" s="544"/>
      <c r="J76" s="47"/>
      <c r="K76" s="551">
        <f>183*0.77</f>
        <v>140.91</v>
      </c>
      <c r="L76" s="552"/>
      <c r="M76" s="551"/>
      <c r="N76" s="552"/>
      <c r="O76" s="551">
        <v>1</v>
      </c>
      <c r="P76" s="552"/>
      <c r="Q76" s="551"/>
      <c r="R76" s="552"/>
      <c r="S76" s="551"/>
      <c r="T76" s="552"/>
      <c r="U76" s="551"/>
      <c r="V76" s="552"/>
      <c r="W76" s="548">
        <f t="shared" ref="W76:W101" si="8">K76*O76</f>
        <v>140.91</v>
      </c>
      <c r="X76" s="549"/>
      <c r="Y76" s="550"/>
      <c r="Z76" s="548">
        <f>W76*0.154</f>
        <v>21.700139999999998</v>
      </c>
      <c r="AA76" s="549"/>
      <c r="AB76" s="550"/>
      <c r="AC76" s="35"/>
      <c r="AD76" s="36"/>
      <c r="AE76" s="37"/>
      <c r="AF76" s="35"/>
      <c r="AG76" s="36"/>
      <c r="AH76" s="38"/>
    </row>
    <row r="77" spans="1:35" ht="15.75">
      <c r="A77" s="507"/>
      <c r="B77" s="508"/>
      <c r="C77" s="509"/>
      <c r="D77" s="543" t="s">
        <v>758</v>
      </c>
      <c r="E77" s="544"/>
      <c r="F77" s="544"/>
      <c r="G77" s="544"/>
      <c r="H77" s="544"/>
      <c r="I77" s="544"/>
      <c r="J77" s="47"/>
      <c r="K77" s="551">
        <f>26*0.77</f>
        <v>20.02</v>
      </c>
      <c r="L77" s="552"/>
      <c r="M77" s="551"/>
      <c r="N77" s="552"/>
      <c r="O77" s="551">
        <v>1</v>
      </c>
      <c r="P77" s="552"/>
      <c r="Q77" s="551"/>
      <c r="R77" s="552"/>
      <c r="S77" s="551"/>
      <c r="T77" s="552"/>
      <c r="U77" s="551"/>
      <c r="V77" s="552"/>
      <c r="W77" s="548">
        <f t="shared" si="8"/>
        <v>20.02</v>
      </c>
      <c r="X77" s="549"/>
      <c r="Y77" s="550"/>
      <c r="Z77" s="548">
        <f t="shared" ref="Z77:Z101" si="9">W77*0.154</f>
        <v>3.0830799999999998</v>
      </c>
      <c r="AA77" s="549"/>
      <c r="AB77" s="550"/>
      <c r="AC77" s="35"/>
      <c r="AD77" s="36"/>
      <c r="AE77" s="37"/>
      <c r="AF77" s="35"/>
      <c r="AG77" s="36"/>
      <c r="AH77" s="38"/>
    </row>
    <row r="78" spans="1:35" ht="15.75">
      <c r="A78" s="507"/>
      <c r="B78" s="508"/>
      <c r="C78" s="509"/>
      <c r="D78" s="543" t="s">
        <v>759</v>
      </c>
      <c r="E78" s="544"/>
      <c r="F78" s="544"/>
      <c r="G78" s="544"/>
      <c r="H78" s="544"/>
      <c r="I78" s="544"/>
      <c r="J78" s="47"/>
      <c r="K78" s="551">
        <f>25*0.77</f>
        <v>19.25</v>
      </c>
      <c r="L78" s="552"/>
      <c r="M78" s="551"/>
      <c r="N78" s="552"/>
      <c r="O78" s="551">
        <v>1</v>
      </c>
      <c r="P78" s="552"/>
      <c r="Q78" s="551"/>
      <c r="R78" s="552"/>
      <c r="S78" s="551"/>
      <c r="T78" s="552"/>
      <c r="U78" s="551"/>
      <c r="V78" s="552"/>
      <c r="W78" s="548">
        <f t="shared" si="8"/>
        <v>19.25</v>
      </c>
      <c r="X78" s="549"/>
      <c r="Y78" s="550"/>
      <c r="Z78" s="548">
        <f t="shared" si="9"/>
        <v>2.9645000000000001</v>
      </c>
      <c r="AA78" s="549"/>
      <c r="AB78" s="550"/>
      <c r="AC78" s="35"/>
      <c r="AD78" s="36"/>
      <c r="AE78" s="37"/>
      <c r="AF78" s="35"/>
      <c r="AG78" s="36"/>
      <c r="AH78" s="38"/>
    </row>
    <row r="79" spans="1:35" ht="15.75">
      <c r="A79" s="507"/>
      <c r="B79" s="508"/>
      <c r="C79" s="509"/>
      <c r="D79" s="543" t="s">
        <v>760</v>
      </c>
      <c r="E79" s="544"/>
      <c r="F79" s="544"/>
      <c r="G79" s="544"/>
      <c r="H79" s="544"/>
      <c r="I79" s="544"/>
      <c r="J79" s="47"/>
      <c r="K79" s="551">
        <f>26*0.77</f>
        <v>20.02</v>
      </c>
      <c r="L79" s="552"/>
      <c r="M79" s="551"/>
      <c r="N79" s="552"/>
      <c r="O79" s="551">
        <v>1</v>
      </c>
      <c r="P79" s="552"/>
      <c r="Q79" s="551"/>
      <c r="R79" s="552"/>
      <c r="S79" s="551"/>
      <c r="T79" s="552"/>
      <c r="U79" s="551"/>
      <c r="V79" s="552"/>
      <c r="W79" s="548">
        <f t="shared" si="8"/>
        <v>20.02</v>
      </c>
      <c r="X79" s="549"/>
      <c r="Y79" s="550"/>
      <c r="Z79" s="548">
        <f t="shared" si="9"/>
        <v>3.0830799999999998</v>
      </c>
      <c r="AA79" s="549"/>
      <c r="AB79" s="550"/>
      <c r="AC79" s="35"/>
      <c r="AD79" s="36"/>
      <c r="AE79" s="37"/>
      <c r="AF79" s="35"/>
      <c r="AG79" s="36"/>
      <c r="AH79" s="38"/>
    </row>
    <row r="80" spans="1:35" ht="15.75">
      <c r="A80" s="507"/>
      <c r="B80" s="508"/>
      <c r="C80" s="509"/>
      <c r="D80" s="543" t="s">
        <v>761</v>
      </c>
      <c r="E80" s="544"/>
      <c r="F80" s="544"/>
      <c r="G80" s="544"/>
      <c r="H80" s="544"/>
      <c r="I80" s="544"/>
      <c r="J80" s="47"/>
      <c r="K80" s="551">
        <f>51*0.77</f>
        <v>39.270000000000003</v>
      </c>
      <c r="L80" s="552"/>
      <c r="M80" s="551"/>
      <c r="N80" s="552"/>
      <c r="O80" s="551">
        <v>1</v>
      </c>
      <c r="P80" s="552"/>
      <c r="Q80" s="512"/>
      <c r="R80" s="509"/>
      <c r="S80" s="512"/>
      <c r="T80" s="509"/>
      <c r="U80" s="512"/>
      <c r="V80" s="509"/>
      <c r="W80" s="548">
        <f t="shared" si="8"/>
        <v>39.270000000000003</v>
      </c>
      <c r="X80" s="549"/>
      <c r="Y80" s="550"/>
      <c r="Z80" s="548">
        <f t="shared" si="9"/>
        <v>6.0475800000000008</v>
      </c>
      <c r="AA80" s="549"/>
      <c r="AB80" s="550"/>
      <c r="AC80" s="35"/>
      <c r="AD80" s="36"/>
      <c r="AE80" s="37"/>
      <c r="AF80" s="35"/>
      <c r="AG80" s="36"/>
      <c r="AH80" s="38"/>
    </row>
    <row r="81" spans="1:34" ht="15.75">
      <c r="A81" s="507"/>
      <c r="B81" s="508"/>
      <c r="C81" s="509"/>
      <c r="D81" s="543" t="s">
        <v>762</v>
      </c>
      <c r="E81" s="544"/>
      <c r="F81" s="544"/>
      <c r="G81" s="544"/>
      <c r="H81" s="544"/>
      <c r="I81" s="544"/>
      <c r="J81" s="47"/>
      <c r="K81" s="551">
        <f>14*0.77</f>
        <v>10.780000000000001</v>
      </c>
      <c r="L81" s="552"/>
      <c r="M81" s="551"/>
      <c r="N81" s="552"/>
      <c r="O81" s="551">
        <v>1</v>
      </c>
      <c r="P81" s="552"/>
      <c r="Q81" s="551"/>
      <c r="R81" s="552"/>
      <c r="S81" s="551"/>
      <c r="T81" s="552"/>
      <c r="U81" s="551"/>
      <c r="V81" s="552"/>
      <c r="W81" s="548">
        <f t="shared" si="8"/>
        <v>10.780000000000001</v>
      </c>
      <c r="X81" s="549"/>
      <c r="Y81" s="550"/>
      <c r="Z81" s="548">
        <f t="shared" si="9"/>
        <v>1.6601200000000003</v>
      </c>
      <c r="AA81" s="549"/>
      <c r="AB81" s="550"/>
      <c r="AC81" s="35"/>
      <c r="AD81" s="36"/>
      <c r="AE81" s="37"/>
      <c r="AF81" s="35"/>
      <c r="AG81" s="36"/>
      <c r="AH81" s="38"/>
    </row>
    <row r="82" spans="1:34" ht="15.75">
      <c r="A82" s="507"/>
      <c r="B82" s="508"/>
      <c r="C82" s="509"/>
      <c r="D82" s="543" t="s">
        <v>763</v>
      </c>
      <c r="E82" s="544"/>
      <c r="F82" s="544"/>
      <c r="G82" s="544"/>
      <c r="H82" s="544"/>
      <c r="I82" s="544"/>
      <c r="J82" s="47"/>
      <c r="K82" s="551">
        <f>308*0.77</f>
        <v>237.16</v>
      </c>
      <c r="L82" s="552"/>
      <c r="M82" s="551"/>
      <c r="N82" s="552"/>
      <c r="O82" s="551">
        <v>1</v>
      </c>
      <c r="P82" s="552"/>
      <c r="Q82" s="551"/>
      <c r="R82" s="552"/>
      <c r="S82" s="551"/>
      <c r="T82" s="552"/>
      <c r="U82" s="551"/>
      <c r="V82" s="552"/>
      <c r="W82" s="548">
        <f t="shared" si="8"/>
        <v>237.16</v>
      </c>
      <c r="X82" s="549"/>
      <c r="Y82" s="550"/>
      <c r="Z82" s="548">
        <f t="shared" si="9"/>
        <v>36.522639999999996</v>
      </c>
      <c r="AA82" s="549"/>
      <c r="AB82" s="550"/>
      <c r="AC82" s="35"/>
      <c r="AD82" s="36"/>
      <c r="AE82" s="37"/>
      <c r="AF82" s="35"/>
      <c r="AG82" s="36"/>
      <c r="AH82" s="38"/>
    </row>
    <row r="83" spans="1:34" ht="15.75">
      <c r="A83" s="507"/>
      <c r="B83" s="508"/>
      <c r="C83" s="509"/>
      <c r="D83" s="543" t="s">
        <v>764</v>
      </c>
      <c r="E83" s="544"/>
      <c r="F83" s="544"/>
      <c r="G83" s="544"/>
      <c r="H83" s="544"/>
      <c r="I83" s="544"/>
      <c r="J83" s="47"/>
      <c r="K83" s="551">
        <f>52*0.77</f>
        <v>40.04</v>
      </c>
      <c r="L83" s="552"/>
      <c r="M83" s="551"/>
      <c r="N83" s="552"/>
      <c r="O83" s="551">
        <v>1</v>
      </c>
      <c r="P83" s="552"/>
      <c r="Q83" s="551"/>
      <c r="R83" s="552"/>
      <c r="S83" s="551"/>
      <c r="T83" s="552"/>
      <c r="U83" s="551"/>
      <c r="V83" s="552"/>
      <c r="W83" s="548">
        <f t="shared" si="8"/>
        <v>40.04</v>
      </c>
      <c r="X83" s="549"/>
      <c r="Y83" s="550"/>
      <c r="Z83" s="548">
        <f t="shared" si="9"/>
        <v>6.1661599999999996</v>
      </c>
      <c r="AA83" s="549"/>
      <c r="AB83" s="550"/>
      <c r="AC83" s="35"/>
      <c r="AD83" s="36"/>
      <c r="AE83" s="37"/>
      <c r="AF83" s="35"/>
      <c r="AG83" s="36"/>
      <c r="AH83" s="38"/>
    </row>
    <row r="84" spans="1:34" ht="15.75">
      <c r="A84" s="507"/>
      <c r="B84" s="508"/>
      <c r="C84" s="509"/>
      <c r="D84" s="543" t="s">
        <v>765</v>
      </c>
      <c r="E84" s="544"/>
      <c r="F84" s="544"/>
      <c r="G84" s="544"/>
      <c r="H84" s="544"/>
      <c r="I84" s="544"/>
      <c r="J84" s="47"/>
      <c r="K84" s="551">
        <f>13*0.77</f>
        <v>10.01</v>
      </c>
      <c r="L84" s="552"/>
      <c r="M84" s="551"/>
      <c r="N84" s="552"/>
      <c r="O84" s="551">
        <v>1</v>
      </c>
      <c r="P84" s="552"/>
      <c r="Q84" s="551"/>
      <c r="R84" s="552"/>
      <c r="S84" s="551"/>
      <c r="T84" s="552"/>
      <c r="U84" s="551"/>
      <c r="V84" s="552"/>
      <c r="W84" s="548">
        <f t="shared" si="8"/>
        <v>10.01</v>
      </c>
      <c r="X84" s="549"/>
      <c r="Y84" s="550"/>
      <c r="Z84" s="548">
        <f t="shared" si="9"/>
        <v>1.5415399999999999</v>
      </c>
      <c r="AA84" s="549"/>
      <c r="AB84" s="550"/>
      <c r="AC84" s="35"/>
      <c r="AD84" s="36"/>
      <c r="AE84" s="37"/>
      <c r="AF84" s="35"/>
      <c r="AG84" s="36"/>
      <c r="AH84" s="38"/>
    </row>
    <row r="85" spans="1:34" ht="15.75">
      <c r="A85" s="507"/>
      <c r="B85" s="508"/>
      <c r="C85" s="509"/>
      <c r="D85" s="543" t="s">
        <v>766</v>
      </c>
      <c r="E85" s="544"/>
      <c r="F85" s="544"/>
      <c r="G85" s="544"/>
      <c r="H85" s="544"/>
      <c r="I85" s="544"/>
      <c r="J85" s="47"/>
      <c r="K85" s="551">
        <f>295*0.97</f>
        <v>286.14999999999998</v>
      </c>
      <c r="L85" s="552"/>
      <c r="M85" s="551"/>
      <c r="N85" s="552"/>
      <c r="O85" s="551">
        <v>1</v>
      </c>
      <c r="P85" s="552"/>
      <c r="Q85" s="551"/>
      <c r="R85" s="552"/>
      <c r="S85" s="551"/>
      <c r="T85" s="552"/>
      <c r="U85" s="551"/>
      <c r="V85" s="552"/>
      <c r="W85" s="548">
        <f t="shared" si="8"/>
        <v>286.14999999999998</v>
      </c>
      <c r="X85" s="549"/>
      <c r="Y85" s="550"/>
      <c r="Z85" s="548">
        <f t="shared" si="9"/>
        <v>44.067099999999996</v>
      </c>
      <c r="AA85" s="549"/>
      <c r="AB85" s="550"/>
      <c r="AC85" s="35"/>
      <c r="AD85" s="36"/>
      <c r="AE85" s="37"/>
      <c r="AF85" s="35"/>
      <c r="AG85" s="36"/>
      <c r="AH85" s="38"/>
    </row>
    <row r="86" spans="1:34" ht="15.75">
      <c r="A86" s="507"/>
      <c r="B86" s="508"/>
      <c r="C86" s="509"/>
      <c r="D86" s="543" t="s">
        <v>767</v>
      </c>
      <c r="E86" s="544"/>
      <c r="F86" s="544"/>
      <c r="G86" s="544"/>
      <c r="H86" s="544"/>
      <c r="I86" s="544"/>
      <c r="J86" s="47"/>
      <c r="K86" s="551">
        <f>34*0.77</f>
        <v>26.18</v>
      </c>
      <c r="L86" s="552"/>
      <c r="M86" s="551"/>
      <c r="N86" s="552"/>
      <c r="O86" s="551">
        <v>1</v>
      </c>
      <c r="P86" s="552"/>
      <c r="Q86" s="551"/>
      <c r="R86" s="552"/>
      <c r="S86" s="551"/>
      <c r="T86" s="552"/>
      <c r="U86" s="551"/>
      <c r="V86" s="552"/>
      <c r="W86" s="548">
        <f t="shared" si="8"/>
        <v>26.18</v>
      </c>
      <c r="X86" s="549"/>
      <c r="Y86" s="550"/>
      <c r="Z86" s="548">
        <f t="shared" si="9"/>
        <v>4.03172</v>
      </c>
      <c r="AA86" s="549"/>
      <c r="AB86" s="550"/>
      <c r="AC86" s="35"/>
      <c r="AD86" s="36"/>
      <c r="AE86" s="37"/>
      <c r="AF86" s="35"/>
      <c r="AG86" s="36"/>
      <c r="AH86" s="38"/>
    </row>
    <row r="87" spans="1:34" ht="15.75">
      <c r="A87" s="507"/>
      <c r="B87" s="508"/>
      <c r="C87" s="509"/>
      <c r="D87" s="543" t="s">
        <v>768</v>
      </c>
      <c r="E87" s="544"/>
      <c r="F87" s="544"/>
      <c r="G87" s="544"/>
      <c r="H87" s="544"/>
      <c r="I87" s="544"/>
      <c r="J87" s="47"/>
      <c r="K87" s="551">
        <f>44*0.77</f>
        <v>33.880000000000003</v>
      </c>
      <c r="L87" s="552"/>
      <c r="M87" s="551"/>
      <c r="N87" s="552"/>
      <c r="O87" s="551">
        <v>1</v>
      </c>
      <c r="P87" s="552"/>
      <c r="Q87" s="551"/>
      <c r="R87" s="552"/>
      <c r="S87" s="551"/>
      <c r="T87" s="552"/>
      <c r="U87" s="551"/>
      <c r="V87" s="552"/>
      <c r="W87" s="548">
        <f t="shared" si="8"/>
        <v>33.880000000000003</v>
      </c>
      <c r="X87" s="549"/>
      <c r="Y87" s="550"/>
      <c r="Z87" s="548">
        <f t="shared" si="9"/>
        <v>5.2175200000000004</v>
      </c>
      <c r="AA87" s="549"/>
      <c r="AB87" s="550"/>
      <c r="AC87" s="35"/>
      <c r="AD87" s="36"/>
      <c r="AE87" s="37"/>
      <c r="AF87" s="35"/>
      <c r="AG87" s="36"/>
      <c r="AH87" s="38"/>
    </row>
    <row r="88" spans="1:34" ht="15.75">
      <c r="A88" s="507"/>
      <c r="B88" s="508"/>
      <c r="C88" s="509"/>
      <c r="D88" s="543" t="s">
        <v>769</v>
      </c>
      <c r="E88" s="544"/>
      <c r="F88" s="544"/>
      <c r="G88" s="544"/>
      <c r="H88" s="544"/>
      <c r="I88" s="544"/>
      <c r="J88" s="47"/>
      <c r="K88" s="512">
        <f>321*0.97</f>
        <v>311.37</v>
      </c>
      <c r="L88" s="509"/>
      <c r="M88" s="512"/>
      <c r="N88" s="509"/>
      <c r="O88" s="551">
        <v>1</v>
      </c>
      <c r="P88" s="552"/>
      <c r="Q88" s="512"/>
      <c r="R88" s="509"/>
      <c r="S88" s="512"/>
      <c r="T88" s="509"/>
      <c r="U88" s="512"/>
      <c r="V88" s="509"/>
      <c r="W88" s="548">
        <f t="shared" si="8"/>
        <v>311.37</v>
      </c>
      <c r="X88" s="549"/>
      <c r="Y88" s="550"/>
      <c r="Z88" s="548">
        <f t="shared" si="9"/>
        <v>47.950980000000001</v>
      </c>
      <c r="AA88" s="549"/>
      <c r="AB88" s="550"/>
      <c r="AC88" s="35"/>
      <c r="AD88" s="36"/>
      <c r="AE88" s="37"/>
      <c r="AF88" s="35"/>
      <c r="AG88" s="36"/>
      <c r="AH88" s="38"/>
    </row>
    <row r="89" spans="1:34" ht="15.75">
      <c r="A89" s="507"/>
      <c r="B89" s="508"/>
      <c r="C89" s="509"/>
      <c r="D89" s="545" t="s">
        <v>770</v>
      </c>
      <c r="E89" s="546"/>
      <c r="F89" s="546"/>
      <c r="G89" s="546"/>
      <c r="H89" s="546"/>
      <c r="I89" s="547"/>
      <c r="J89" s="47"/>
      <c r="K89" s="551">
        <f>83*0.97</f>
        <v>80.509999999999991</v>
      </c>
      <c r="L89" s="552"/>
      <c r="M89" s="551"/>
      <c r="N89" s="552"/>
      <c r="O89" s="551">
        <v>1</v>
      </c>
      <c r="P89" s="552"/>
      <c r="Q89" s="551"/>
      <c r="R89" s="552"/>
      <c r="S89" s="551"/>
      <c r="T89" s="552"/>
      <c r="U89" s="551"/>
      <c r="V89" s="552"/>
      <c r="W89" s="548">
        <f t="shared" si="8"/>
        <v>80.509999999999991</v>
      </c>
      <c r="X89" s="549"/>
      <c r="Y89" s="550"/>
      <c r="Z89" s="548">
        <f t="shared" si="9"/>
        <v>12.398539999999999</v>
      </c>
      <c r="AA89" s="549"/>
      <c r="AB89" s="550"/>
      <c r="AC89" s="35"/>
      <c r="AD89" s="36"/>
      <c r="AE89" s="37"/>
      <c r="AF89" s="35"/>
      <c r="AG89" s="36"/>
      <c r="AH89" s="38"/>
    </row>
    <row r="90" spans="1:34" ht="15.75">
      <c r="A90" s="507"/>
      <c r="B90" s="508"/>
      <c r="C90" s="509"/>
      <c r="D90" s="545" t="s">
        <v>771</v>
      </c>
      <c r="E90" s="546"/>
      <c r="F90" s="546"/>
      <c r="G90" s="546"/>
      <c r="H90" s="546"/>
      <c r="I90" s="547"/>
      <c r="J90" s="47"/>
      <c r="K90" s="551">
        <f>302*0.77</f>
        <v>232.54</v>
      </c>
      <c r="L90" s="552"/>
      <c r="M90" s="551"/>
      <c r="N90" s="552"/>
      <c r="O90" s="551">
        <v>1</v>
      </c>
      <c r="P90" s="552"/>
      <c r="Q90" s="551"/>
      <c r="R90" s="552"/>
      <c r="S90" s="551"/>
      <c r="T90" s="552"/>
      <c r="U90" s="551"/>
      <c r="V90" s="552"/>
      <c r="W90" s="548">
        <f t="shared" si="8"/>
        <v>232.54</v>
      </c>
      <c r="X90" s="549"/>
      <c r="Y90" s="550"/>
      <c r="Z90" s="548">
        <f t="shared" si="9"/>
        <v>35.811160000000001</v>
      </c>
      <c r="AA90" s="549"/>
      <c r="AB90" s="550"/>
      <c r="AC90" s="35"/>
      <c r="AD90" s="36"/>
      <c r="AE90" s="37"/>
      <c r="AF90" s="35"/>
      <c r="AG90" s="36"/>
      <c r="AH90" s="38"/>
    </row>
    <row r="91" spans="1:34" ht="15.75">
      <c r="A91" s="507"/>
      <c r="B91" s="508"/>
      <c r="C91" s="509"/>
      <c r="D91" s="545" t="s">
        <v>772</v>
      </c>
      <c r="E91" s="546"/>
      <c r="F91" s="546"/>
      <c r="G91" s="546"/>
      <c r="H91" s="546"/>
      <c r="I91" s="547"/>
      <c r="J91" s="47"/>
      <c r="K91" s="551">
        <f>82*0.77</f>
        <v>63.14</v>
      </c>
      <c r="L91" s="552"/>
      <c r="M91" s="551"/>
      <c r="N91" s="552"/>
      <c r="O91" s="551">
        <v>1</v>
      </c>
      <c r="P91" s="552"/>
      <c r="Q91" s="551"/>
      <c r="R91" s="552"/>
      <c r="S91" s="551"/>
      <c r="T91" s="552"/>
      <c r="U91" s="551"/>
      <c r="V91" s="552"/>
      <c r="W91" s="548">
        <f t="shared" si="8"/>
        <v>63.14</v>
      </c>
      <c r="X91" s="549"/>
      <c r="Y91" s="550"/>
      <c r="Z91" s="548">
        <f t="shared" si="9"/>
        <v>9.7235599999999991</v>
      </c>
      <c r="AA91" s="549"/>
      <c r="AB91" s="550"/>
      <c r="AC91" s="35"/>
      <c r="AD91" s="36"/>
      <c r="AE91" s="37"/>
      <c r="AF91" s="35"/>
      <c r="AG91" s="36"/>
      <c r="AH91" s="38"/>
    </row>
    <row r="92" spans="1:34" ht="15.75">
      <c r="A92" s="507"/>
      <c r="B92" s="508"/>
      <c r="C92" s="509"/>
      <c r="D92" s="545" t="s">
        <v>773</v>
      </c>
      <c r="E92" s="546"/>
      <c r="F92" s="546"/>
      <c r="G92" s="546"/>
      <c r="H92" s="546"/>
      <c r="I92" s="547"/>
      <c r="J92" s="47"/>
      <c r="K92" s="551">
        <f>146*0.77</f>
        <v>112.42</v>
      </c>
      <c r="L92" s="552"/>
      <c r="M92" s="551"/>
      <c r="N92" s="552"/>
      <c r="O92" s="551">
        <v>1</v>
      </c>
      <c r="P92" s="552"/>
      <c r="Q92" s="551"/>
      <c r="R92" s="552"/>
      <c r="S92" s="551"/>
      <c r="T92" s="552"/>
      <c r="U92" s="551"/>
      <c r="V92" s="552"/>
      <c r="W92" s="548">
        <f t="shared" si="8"/>
        <v>112.42</v>
      </c>
      <c r="X92" s="549"/>
      <c r="Y92" s="550"/>
      <c r="Z92" s="548">
        <f t="shared" si="9"/>
        <v>17.31268</v>
      </c>
      <c r="AA92" s="549"/>
      <c r="AB92" s="550"/>
      <c r="AC92" s="35"/>
      <c r="AD92" s="36"/>
      <c r="AE92" s="37"/>
      <c r="AF92" s="35"/>
      <c r="AG92" s="36"/>
      <c r="AH92" s="38"/>
    </row>
    <row r="93" spans="1:34" ht="15.75">
      <c r="A93" s="507"/>
      <c r="B93" s="508"/>
      <c r="C93" s="509"/>
      <c r="D93" s="545" t="s">
        <v>774</v>
      </c>
      <c r="E93" s="546"/>
      <c r="F93" s="546"/>
      <c r="G93" s="546"/>
      <c r="H93" s="546"/>
      <c r="I93" s="547"/>
      <c r="J93" s="47"/>
      <c r="K93" s="551">
        <f>240*0.77</f>
        <v>184.8</v>
      </c>
      <c r="L93" s="552"/>
      <c r="M93" s="551"/>
      <c r="N93" s="552"/>
      <c r="O93" s="551">
        <v>1</v>
      </c>
      <c r="P93" s="552"/>
      <c r="Q93" s="551"/>
      <c r="R93" s="552"/>
      <c r="S93" s="551"/>
      <c r="T93" s="552"/>
      <c r="U93" s="551"/>
      <c r="V93" s="552"/>
      <c r="W93" s="548">
        <f t="shared" si="8"/>
        <v>184.8</v>
      </c>
      <c r="X93" s="549"/>
      <c r="Y93" s="550"/>
      <c r="Z93" s="548">
        <f t="shared" si="9"/>
        <v>28.459200000000003</v>
      </c>
      <c r="AA93" s="549"/>
      <c r="AB93" s="550"/>
      <c r="AC93" s="35"/>
      <c r="AD93" s="36"/>
      <c r="AE93" s="37"/>
      <c r="AF93" s="35"/>
      <c r="AG93" s="36"/>
      <c r="AH93" s="38"/>
    </row>
    <row r="94" spans="1:34" ht="15.75">
      <c r="A94" s="507"/>
      <c r="B94" s="508"/>
      <c r="C94" s="509"/>
      <c r="D94" s="545" t="s">
        <v>775</v>
      </c>
      <c r="E94" s="546"/>
      <c r="F94" s="546"/>
      <c r="G94" s="546"/>
      <c r="H94" s="546"/>
      <c r="I94" s="547"/>
      <c r="J94" s="47"/>
      <c r="K94" s="551">
        <f>144*0.77</f>
        <v>110.88</v>
      </c>
      <c r="L94" s="552"/>
      <c r="M94" s="551"/>
      <c r="N94" s="552"/>
      <c r="O94" s="551">
        <v>1</v>
      </c>
      <c r="P94" s="552"/>
      <c r="Q94" s="551"/>
      <c r="R94" s="552"/>
      <c r="S94" s="551"/>
      <c r="T94" s="552"/>
      <c r="U94" s="551"/>
      <c r="V94" s="552"/>
      <c r="W94" s="548">
        <f t="shared" si="8"/>
        <v>110.88</v>
      </c>
      <c r="X94" s="549"/>
      <c r="Y94" s="550"/>
      <c r="Z94" s="548">
        <f t="shared" si="9"/>
        <v>17.075519999999997</v>
      </c>
      <c r="AA94" s="549"/>
      <c r="AB94" s="550"/>
      <c r="AC94" s="35"/>
      <c r="AD94" s="36"/>
      <c r="AE94" s="37"/>
      <c r="AF94" s="35"/>
      <c r="AG94" s="36"/>
      <c r="AH94" s="38"/>
    </row>
    <row r="95" spans="1:34" ht="15.75">
      <c r="A95" s="507"/>
      <c r="B95" s="508"/>
      <c r="C95" s="509"/>
      <c r="D95" s="545" t="s">
        <v>776</v>
      </c>
      <c r="E95" s="546"/>
      <c r="F95" s="546"/>
      <c r="G95" s="546"/>
      <c r="H95" s="546"/>
      <c r="I95" s="547"/>
      <c r="J95" s="47"/>
      <c r="K95" s="551">
        <f>241*0.77</f>
        <v>185.57</v>
      </c>
      <c r="L95" s="552"/>
      <c r="M95" s="551"/>
      <c r="N95" s="552"/>
      <c r="O95" s="551">
        <v>1</v>
      </c>
      <c r="P95" s="552"/>
      <c r="Q95" s="551"/>
      <c r="R95" s="552"/>
      <c r="S95" s="551"/>
      <c r="T95" s="552"/>
      <c r="U95" s="551"/>
      <c r="V95" s="552"/>
      <c r="W95" s="548">
        <f t="shared" si="8"/>
        <v>185.57</v>
      </c>
      <c r="X95" s="549"/>
      <c r="Y95" s="550"/>
      <c r="Z95" s="548">
        <f t="shared" si="9"/>
        <v>28.577779999999997</v>
      </c>
      <c r="AA95" s="549"/>
      <c r="AB95" s="550"/>
      <c r="AC95" s="35"/>
      <c r="AD95" s="36"/>
      <c r="AE95" s="37"/>
      <c r="AF95" s="35"/>
      <c r="AG95" s="36"/>
      <c r="AH95" s="38"/>
    </row>
    <row r="96" spans="1:34" ht="15.75">
      <c r="A96" s="507"/>
      <c r="B96" s="508"/>
      <c r="C96" s="509"/>
      <c r="D96" s="545" t="s">
        <v>777</v>
      </c>
      <c r="E96" s="546"/>
      <c r="F96" s="546"/>
      <c r="G96" s="546"/>
      <c r="H96" s="546"/>
      <c r="I96" s="547"/>
      <c r="J96" s="47"/>
      <c r="K96" s="512">
        <f>72*0.77</f>
        <v>55.44</v>
      </c>
      <c r="L96" s="509"/>
      <c r="M96" s="512"/>
      <c r="N96" s="509"/>
      <c r="O96" s="551">
        <v>1</v>
      </c>
      <c r="P96" s="552"/>
      <c r="Q96" s="512"/>
      <c r="R96" s="509"/>
      <c r="S96" s="512"/>
      <c r="T96" s="509"/>
      <c r="U96" s="512"/>
      <c r="V96" s="509"/>
      <c r="W96" s="548">
        <f t="shared" si="8"/>
        <v>55.44</v>
      </c>
      <c r="X96" s="549"/>
      <c r="Y96" s="550"/>
      <c r="Z96" s="548">
        <f t="shared" si="9"/>
        <v>8.5377599999999987</v>
      </c>
      <c r="AA96" s="549"/>
      <c r="AB96" s="550"/>
      <c r="AC96" s="35"/>
      <c r="AD96" s="36"/>
      <c r="AE96" s="37"/>
      <c r="AF96" s="35"/>
      <c r="AG96" s="36"/>
      <c r="AH96" s="38"/>
    </row>
    <row r="97" spans="1:35" ht="15.75">
      <c r="A97" s="507"/>
      <c r="B97" s="508"/>
      <c r="C97" s="509"/>
      <c r="D97" s="545" t="s">
        <v>778</v>
      </c>
      <c r="E97" s="546"/>
      <c r="F97" s="546"/>
      <c r="G97" s="546"/>
      <c r="H97" s="546"/>
      <c r="I97" s="547"/>
      <c r="J97" s="47"/>
      <c r="K97" s="551">
        <f>13*0.77</f>
        <v>10.01</v>
      </c>
      <c r="L97" s="552"/>
      <c r="M97" s="551"/>
      <c r="N97" s="552"/>
      <c r="O97" s="551">
        <v>1</v>
      </c>
      <c r="P97" s="552"/>
      <c r="Q97" s="551"/>
      <c r="R97" s="552"/>
      <c r="S97" s="551"/>
      <c r="T97" s="552"/>
      <c r="U97" s="551"/>
      <c r="V97" s="552"/>
      <c r="W97" s="548">
        <f t="shared" si="8"/>
        <v>10.01</v>
      </c>
      <c r="X97" s="549"/>
      <c r="Y97" s="550"/>
      <c r="Z97" s="548">
        <f t="shared" si="9"/>
        <v>1.5415399999999999</v>
      </c>
      <c r="AA97" s="549"/>
      <c r="AB97" s="550"/>
      <c r="AC97" s="35"/>
      <c r="AD97" s="36"/>
      <c r="AE97" s="37"/>
      <c r="AF97" s="35"/>
      <c r="AG97" s="36"/>
      <c r="AH97" s="38"/>
    </row>
    <row r="98" spans="1:35" ht="15.75">
      <c r="A98" s="507"/>
      <c r="B98" s="508"/>
      <c r="C98" s="509"/>
      <c r="D98" s="545" t="s">
        <v>779</v>
      </c>
      <c r="E98" s="546"/>
      <c r="F98" s="546"/>
      <c r="G98" s="546"/>
      <c r="H98" s="546"/>
      <c r="I98" s="547"/>
      <c r="J98" s="47"/>
      <c r="K98" s="551">
        <f>81*0.77</f>
        <v>62.370000000000005</v>
      </c>
      <c r="L98" s="552"/>
      <c r="M98" s="551"/>
      <c r="N98" s="552"/>
      <c r="O98" s="551">
        <v>1</v>
      </c>
      <c r="P98" s="552"/>
      <c r="Q98" s="551"/>
      <c r="R98" s="552"/>
      <c r="S98" s="551"/>
      <c r="T98" s="552"/>
      <c r="U98" s="551"/>
      <c r="V98" s="552"/>
      <c r="W98" s="548">
        <f t="shared" si="8"/>
        <v>62.370000000000005</v>
      </c>
      <c r="X98" s="549"/>
      <c r="Y98" s="550"/>
      <c r="Z98" s="548">
        <f t="shared" si="9"/>
        <v>9.6049800000000012</v>
      </c>
      <c r="AA98" s="549"/>
      <c r="AB98" s="550"/>
      <c r="AC98" s="35"/>
      <c r="AD98" s="36"/>
      <c r="AE98" s="37"/>
      <c r="AF98" s="35"/>
      <c r="AG98" s="36"/>
      <c r="AH98" s="38"/>
    </row>
    <row r="99" spans="1:35" ht="15.75">
      <c r="A99" s="507"/>
      <c r="B99" s="508"/>
      <c r="C99" s="509"/>
      <c r="D99" s="545" t="s">
        <v>780</v>
      </c>
      <c r="E99" s="546"/>
      <c r="F99" s="546"/>
      <c r="G99" s="546"/>
      <c r="H99" s="546"/>
      <c r="I99" s="547"/>
      <c r="J99" s="47"/>
      <c r="K99" s="551">
        <f>147*0.77</f>
        <v>113.19</v>
      </c>
      <c r="L99" s="552"/>
      <c r="M99" s="551"/>
      <c r="N99" s="552"/>
      <c r="O99" s="551">
        <v>1</v>
      </c>
      <c r="P99" s="552"/>
      <c r="Q99" s="551"/>
      <c r="R99" s="552"/>
      <c r="S99" s="551"/>
      <c r="T99" s="552"/>
      <c r="U99" s="551"/>
      <c r="V99" s="552"/>
      <c r="W99" s="548">
        <f t="shared" si="8"/>
        <v>113.19</v>
      </c>
      <c r="X99" s="549"/>
      <c r="Y99" s="550"/>
      <c r="Z99" s="548">
        <f t="shared" si="9"/>
        <v>17.431259999999998</v>
      </c>
      <c r="AA99" s="549"/>
      <c r="AB99" s="550"/>
      <c r="AC99" s="35"/>
      <c r="AD99" s="36"/>
      <c r="AE99" s="37"/>
      <c r="AF99" s="35"/>
      <c r="AG99" s="36"/>
      <c r="AH99" s="38"/>
    </row>
    <row r="100" spans="1:35" ht="15.75">
      <c r="A100" s="507"/>
      <c r="B100" s="508"/>
      <c r="C100" s="509"/>
      <c r="D100" s="545" t="s">
        <v>781</v>
      </c>
      <c r="E100" s="546"/>
      <c r="F100" s="546"/>
      <c r="G100" s="546"/>
      <c r="H100" s="546"/>
      <c r="I100" s="547"/>
      <c r="J100" s="47"/>
      <c r="K100" s="551">
        <f>233*0.97</f>
        <v>226.01</v>
      </c>
      <c r="L100" s="552"/>
      <c r="M100" s="551"/>
      <c r="N100" s="552"/>
      <c r="O100" s="551">
        <v>1</v>
      </c>
      <c r="P100" s="552"/>
      <c r="Q100" s="551"/>
      <c r="R100" s="552"/>
      <c r="S100" s="551"/>
      <c r="T100" s="552"/>
      <c r="U100" s="551"/>
      <c r="V100" s="552"/>
      <c r="W100" s="548">
        <f t="shared" si="8"/>
        <v>226.01</v>
      </c>
      <c r="X100" s="549"/>
      <c r="Y100" s="550"/>
      <c r="Z100" s="548">
        <f t="shared" si="9"/>
        <v>34.805540000000001</v>
      </c>
      <c r="AA100" s="549"/>
      <c r="AB100" s="550"/>
      <c r="AC100" s="35"/>
      <c r="AD100" s="36"/>
      <c r="AE100" s="37"/>
      <c r="AF100" s="35"/>
      <c r="AG100" s="36"/>
      <c r="AH100" s="38"/>
    </row>
    <row r="101" spans="1:35" ht="15.75">
      <c r="A101" s="507"/>
      <c r="B101" s="508"/>
      <c r="C101" s="509"/>
      <c r="D101" s="545" t="s">
        <v>782</v>
      </c>
      <c r="E101" s="546"/>
      <c r="F101" s="546"/>
      <c r="G101" s="546"/>
      <c r="H101" s="546"/>
      <c r="I101" s="547"/>
      <c r="J101" s="47"/>
      <c r="K101" s="551">
        <f>233*0.97</f>
        <v>226.01</v>
      </c>
      <c r="L101" s="552"/>
      <c r="M101" s="551"/>
      <c r="N101" s="552"/>
      <c r="O101" s="551">
        <v>1</v>
      </c>
      <c r="P101" s="552"/>
      <c r="Q101" s="551"/>
      <c r="R101" s="552"/>
      <c r="S101" s="551"/>
      <c r="T101" s="552"/>
      <c r="U101" s="551"/>
      <c r="V101" s="552"/>
      <c r="W101" s="548">
        <f t="shared" si="8"/>
        <v>226.01</v>
      </c>
      <c r="X101" s="549"/>
      <c r="Y101" s="550"/>
      <c r="Z101" s="548">
        <f t="shared" si="9"/>
        <v>34.805540000000001</v>
      </c>
      <c r="AA101" s="549"/>
      <c r="AB101" s="550"/>
      <c r="AC101" s="35"/>
      <c r="AD101" s="36"/>
      <c r="AE101" s="37"/>
      <c r="AF101" s="35"/>
      <c r="AG101" s="36"/>
      <c r="AH101" s="38"/>
    </row>
    <row r="102" spans="1:35" ht="15.75">
      <c r="A102" s="519" t="str">
        <f>'MEMORIA BM 03'!A38</f>
        <v>5.6</v>
      </c>
      <c r="B102" s="520"/>
      <c r="C102" s="521"/>
      <c r="D102" s="553" t="str">
        <f>'MEMORIA BM 03'!B38</f>
        <v>CONCRETO FCK = 25MPA, TRAÇO 1:2,3:2,7 (EM MASSA SECA DE CIMENTO/ AREIA MÉDIA/ BRITA 1) - PREPARO MECÂNICO COM BETONEIRA 600 L. AF_05/2021</v>
      </c>
      <c r="E102" s="554"/>
      <c r="F102" s="554"/>
      <c r="G102" s="554"/>
      <c r="H102" s="554"/>
      <c r="I102" s="554"/>
      <c r="J102" s="554"/>
      <c r="K102" s="554"/>
      <c r="L102" s="554"/>
      <c r="M102" s="554"/>
      <c r="N102" s="554"/>
      <c r="O102" s="554"/>
      <c r="P102" s="554"/>
      <c r="Q102" s="554"/>
      <c r="R102" s="554"/>
      <c r="S102" s="554"/>
      <c r="T102" s="554"/>
      <c r="U102" s="554"/>
      <c r="V102" s="554"/>
      <c r="W102" s="554"/>
      <c r="X102" s="554"/>
      <c r="Y102" s="554"/>
      <c r="Z102" s="554"/>
      <c r="AA102" s="554"/>
      <c r="AB102" s="555"/>
      <c r="AC102" s="525">
        <f>SUM(Z103:AB128)</f>
        <v>20.8111</v>
      </c>
      <c r="AD102" s="520"/>
      <c r="AE102" s="521"/>
      <c r="AF102" s="525" t="str">
        <f>'MEMORIA BM 03'!C38</f>
        <v>M3</v>
      </c>
      <c r="AG102" s="520"/>
      <c r="AH102" s="526"/>
      <c r="AI102">
        <v>20.81</v>
      </c>
    </row>
    <row r="103" spans="1:35" ht="15.75">
      <c r="A103" s="507"/>
      <c r="B103" s="508"/>
      <c r="C103" s="509"/>
      <c r="D103" s="543" t="s">
        <v>757</v>
      </c>
      <c r="E103" s="544"/>
      <c r="F103" s="544"/>
      <c r="G103" s="544"/>
      <c r="H103" s="544"/>
      <c r="I103" s="544"/>
      <c r="J103" s="47"/>
      <c r="K103" s="551">
        <v>0.15</v>
      </c>
      <c r="L103" s="552"/>
      <c r="M103" s="551"/>
      <c r="N103" s="552"/>
      <c r="O103" s="551">
        <v>0.3</v>
      </c>
      <c r="P103" s="552"/>
      <c r="Q103" s="551"/>
      <c r="R103" s="552"/>
      <c r="S103" s="512">
        <f>11.89+11.86</f>
        <v>23.75</v>
      </c>
      <c r="T103" s="509"/>
      <c r="U103" s="551"/>
      <c r="V103" s="552"/>
      <c r="W103" s="527">
        <f>K103*O103</f>
        <v>4.4999999999999998E-2</v>
      </c>
      <c r="X103" s="528"/>
      <c r="Y103" s="529"/>
      <c r="Z103" s="527">
        <f>W103*S103</f>
        <v>1.0687499999999999</v>
      </c>
      <c r="AA103" s="528"/>
      <c r="AB103" s="529"/>
      <c r="AC103" s="35"/>
      <c r="AD103" s="36"/>
      <c r="AE103" s="37"/>
      <c r="AF103" s="35"/>
      <c r="AG103" s="36"/>
      <c r="AH103" s="38"/>
    </row>
    <row r="104" spans="1:35" ht="15.75">
      <c r="A104" s="507"/>
      <c r="B104" s="508"/>
      <c r="C104" s="509"/>
      <c r="D104" s="543" t="s">
        <v>758</v>
      </c>
      <c r="E104" s="544"/>
      <c r="F104" s="544"/>
      <c r="G104" s="544"/>
      <c r="H104" s="544"/>
      <c r="I104" s="544"/>
      <c r="J104" s="47"/>
      <c r="K104" s="551">
        <v>0.2</v>
      </c>
      <c r="L104" s="552"/>
      <c r="M104" s="551"/>
      <c r="N104" s="552"/>
      <c r="O104" s="551">
        <v>0.3</v>
      </c>
      <c r="P104" s="552"/>
      <c r="Q104" s="551"/>
      <c r="R104" s="552"/>
      <c r="S104" s="512">
        <v>3.39</v>
      </c>
      <c r="T104" s="509"/>
      <c r="U104" s="551"/>
      <c r="V104" s="552"/>
      <c r="W104" s="548">
        <f t="shared" ref="W104:W128" si="10">K104*O104</f>
        <v>0.06</v>
      </c>
      <c r="X104" s="549"/>
      <c r="Y104" s="550"/>
      <c r="Z104" s="527">
        <f t="shared" ref="Z104:Z128" si="11">W104*S104</f>
        <v>0.2034</v>
      </c>
      <c r="AA104" s="528"/>
      <c r="AB104" s="529"/>
      <c r="AC104" s="35"/>
      <c r="AD104" s="36"/>
      <c r="AE104" s="37"/>
      <c r="AF104" s="35"/>
      <c r="AG104" s="36"/>
      <c r="AH104" s="38"/>
    </row>
    <row r="105" spans="1:35" ht="15.75">
      <c r="A105" s="507"/>
      <c r="B105" s="508"/>
      <c r="C105" s="509"/>
      <c r="D105" s="543" t="s">
        <v>759</v>
      </c>
      <c r="E105" s="544"/>
      <c r="F105" s="544"/>
      <c r="G105" s="544"/>
      <c r="H105" s="544"/>
      <c r="I105" s="544"/>
      <c r="J105" s="47"/>
      <c r="K105" s="551">
        <v>0.2</v>
      </c>
      <c r="L105" s="552"/>
      <c r="M105" s="551"/>
      <c r="N105" s="552"/>
      <c r="O105" s="551">
        <v>0.3</v>
      </c>
      <c r="P105" s="552"/>
      <c r="Q105" s="551"/>
      <c r="R105" s="552"/>
      <c r="S105" s="512">
        <v>3.39</v>
      </c>
      <c r="T105" s="509"/>
      <c r="U105" s="551"/>
      <c r="V105" s="552"/>
      <c r="W105" s="548">
        <f t="shared" si="10"/>
        <v>0.06</v>
      </c>
      <c r="X105" s="549"/>
      <c r="Y105" s="550"/>
      <c r="Z105" s="527">
        <f t="shared" si="11"/>
        <v>0.2034</v>
      </c>
      <c r="AA105" s="528"/>
      <c r="AB105" s="529"/>
      <c r="AC105" s="35"/>
      <c r="AD105" s="36"/>
      <c r="AE105" s="37"/>
      <c r="AF105" s="35"/>
      <c r="AG105" s="36"/>
      <c r="AH105" s="38"/>
    </row>
    <row r="106" spans="1:35" ht="15.75">
      <c r="A106" s="507"/>
      <c r="B106" s="508"/>
      <c r="C106" s="509"/>
      <c r="D106" s="543" t="s">
        <v>760</v>
      </c>
      <c r="E106" s="544"/>
      <c r="F106" s="544"/>
      <c r="G106" s="544"/>
      <c r="H106" s="544"/>
      <c r="I106" s="544"/>
      <c r="J106" s="47"/>
      <c r="K106" s="551">
        <v>0.2</v>
      </c>
      <c r="L106" s="552"/>
      <c r="M106" s="551"/>
      <c r="N106" s="552"/>
      <c r="O106" s="551">
        <v>0.3</v>
      </c>
      <c r="P106" s="552"/>
      <c r="Q106" s="551"/>
      <c r="R106" s="552"/>
      <c r="S106" s="512">
        <v>3.26</v>
      </c>
      <c r="T106" s="509"/>
      <c r="U106" s="551"/>
      <c r="V106" s="552"/>
      <c r="W106" s="548">
        <f t="shared" si="10"/>
        <v>0.06</v>
      </c>
      <c r="X106" s="549"/>
      <c r="Y106" s="550"/>
      <c r="Z106" s="527">
        <f t="shared" si="11"/>
        <v>0.19559999999999997</v>
      </c>
      <c r="AA106" s="528"/>
      <c r="AB106" s="529"/>
      <c r="AC106" s="35"/>
      <c r="AD106" s="36"/>
      <c r="AE106" s="37"/>
      <c r="AF106" s="35"/>
      <c r="AG106" s="36"/>
      <c r="AH106" s="38"/>
    </row>
    <row r="107" spans="1:35" ht="15.75">
      <c r="A107" s="507"/>
      <c r="B107" s="508"/>
      <c r="C107" s="509"/>
      <c r="D107" s="543" t="s">
        <v>761</v>
      </c>
      <c r="E107" s="544"/>
      <c r="F107" s="544"/>
      <c r="G107" s="544"/>
      <c r="H107" s="544"/>
      <c r="I107" s="544"/>
      <c r="J107" s="47"/>
      <c r="K107" s="551">
        <v>0.15</v>
      </c>
      <c r="L107" s="552"/>
      <c r="M107" s="551"/>
      <c r="N107" s="552"/>
      <c r="O107" s="551">
        <v>0.3</v>
      </c>
      <c r="P107" s="552"/>
      <c r="Q107" s="551"/>
      <c r="R107" s="552"/>
      <c r="S107" s="512">
        <v>6.4</v>
      </c>
      <c r="T107" s="509"/>
      <c r="U107" s="512"/>
      <c r="V107" s="509"/>
      <c r="W107" s="548">
        <f t="shared" si="10"/>
        <v>4.4999999999999998E-2</v>
      </c>
      <c r="X107" s="549"/>
      <c r="Y107" s="550"/>
      <c r="Z107" s="527">
        <f t="shared" si="11"/>
        <v>0.28799999999999998</v>
      </c>
      <c r="AA107" s="528"/>
      <c r="AB107" s="529"/>
      <c r="AC107" s="35"/>
      <c r="AD107" s="36"/>
      <c r="AE107" s="37"/>
      <c r="AF107" s="35"/>
      <c r="AG107" s="36"/>
      <c r="AH107" s="38"/>
    </row>
    <row r="108" spans="1:35" ht="15.75">
      <c r="A108" s="507"/>
      <c r="B108" s="508"/>
      <c r="C108" s="509"/>
      <c r="D108" s="543" t="s">
        <v>762</v>
      </c>
      <c r="E108" s="544"/>
      <c r="F108" s="544"/>
      <c r="G108" s="544"/>
      <c r="H108" s="544"/>
      <c r="I108" s="544"/>
      <c r="J108" s="47"/>
      <c r="K108" s="551">
        <v>0.15</v>
      </c>
      <c r="L108" s="552"/>
      <c r="M108" s="551"/>
      <c r="N108" s="552"/>
      <c r="O108" s="551">
        <v>0.3</v>
      </c>
      <c r="P108" s="552"/>
      <c r="Q108" s="551"/>
      <c r="R108" s="552"/>
      <c r="S108" s="512">
        <v>2.04</v>
      </c>
      <c r="T108" s="509"/>
      <c r="U108" s="551"/>
      <c r="V108" s="552"/>
      <c r="W108" s="548">
        <f t="shared" si="10"/>
        <v>4.4999999999999998E-2</v>
      </c>
      <c r="X108" s="549"/>
      <c r="Y108" s="550"/>
      <c r="Z108" s="527">
        <f t="shared" si="11"/>
        <v>9.1799999999999993E-2</v>
      </c>
      <c r="AA108" s="528"/>
      <c r="AB108" s="529"/>
      <c r="AC108" s="35"/>
      <c r="AD108" s="36"/>
      <c r="AE108" s="37"/>
      <c r="AF108" s="35"/>
      <c r="AG108" s="36"/>
      <c r="AH108" s="38"/>
    </row>
    <row r="109" spans="1:35" ht="15.75">
      <c r="A109" s="507"/>
      <c r="B109" s="508"/>
      <c r="C109" s="509"/>
      <c r="D109" s="543" t="s">
        <v>763</v>
      </c>
      <c r="E109" s="544"/>
      <c r="F109" s="544"/>
      <c r="G109" s="544"/>
      <c r="H109" s="544"/>
      <c r="I109" s="544"/>
      <c r="J109" s="47"/>
      <c r="K109" s="551">
        <v>0.15</v>
      </c>
      <c r="L109" s="552"/>
      <c r="M109" s="551"/>
      <c r="N109" s="552"/>
      <c r="O109" s="551">
        <v>0.3</v>
      </c>
      <c r="P109" s="552"/>
      <c r="Q109" s="551"/>
      <c r="R109" s="552"/>
      <c r="S109" s="512">
        <f>11.89+12+12+3.74</f>
        <v>39.630000000000003</v>
      </c>
      <c r="T109" s="509"/>
      <c r="U109" s="551"/>
      <c r="V109" s="552"/>
      <c r="W109" s="548">
        <f t="shared" si="10"/>
        <v>4.4999999999999998E-2</v>
      </c>
      <c r="X109" s="549"/>
      <c r="Y109" s="550"/>
      <c r="Z109" s="527">
        <f t="shared" si="11"/>
        <v>1.78335</v>
      </c>
      <c r="AA109" s="528"/>
      <c r="AB109" s="529"/>
      <c r="AC109" s="35"/>
      <c r="AD109" s="36"/>
      <c r="AE109" s="37"/>
      <c r="AF109" s="35"/>
      <c r="AG109" s="36"/>
      <c r="AH109" s="38"/>
    </row>
    <row r="110" spans="1:35" ht="15.75">
      <c r="A110" s="507"/>
      <c r="B110" s="508"/>
      <c r="C110" s="509"/>
      <c r="D110" s="543" t="s">
        <v>764</v>
      </c>
      <c r="E110" s="544"/>
      <c r="F110" s="544"/>
      <c r="G110" s="544"/>
      <c r="H110" s="544"/>
      <c r="I110" s="544"/>
      <c r="J110" s="47"/>
      <c r="K110" s="551">
        <v>0.15</v>
      </c>
      <c r="L110" s="552"/>
      <c r="M110" s="551"/>
      <c r="N110" s="552"/>
      <c r="O110" s="551">
        <v>0.3</v>
      </c>
      <c r="P110" s="552"/>
      <c r="Q110" s="551"/>
      <c r="R110" s="552"/>
      <c r="S110" s="512">
        <v>6.4</v>
      </c>
      <c r="T110" s="509"/>
      <c r="U110" s="551"/>
      <c r="V110" s="552"/>
      <c r="W110" s="548">
        <f t="shared" si="10"/>
        <v>4.4999999999999998E-2</v>
      </c>
      <c r="X110" s="549"/>
      <c r="Y110" s="550"/>
      <c r="Z110" s="527">
        <f t="shared" si="11"/>
        <v>0.28799999999999998</v>
      </c>
      <c r="AA110" s="528"/>
      <c r="AB110" s="529"/>
      <c r="AC110" s="35"/>
      <c r="AD110" s="36"/>
      <c r="AE110" s="37"/>
      <c r="AF110" s="35"/>
      <c r="AG110" s="36"/>
      <c r="AH110" s="38"/>
    </row>
    <row r="111" spans="1:35" ht="15.75">
      <c r="A111" s="507"/>
      <c r="B111" s="508"/>
      <c r="C111" s="509"/>
      <c r="D111" s="543" t="s">
        <v>765</v>
      </c>
      <c r="E111" s="544"/>
      <c r="F111" s="544"/>
      <c r="G111" s="544"/>
      <c r="H111" s="544"/>
      <c r="I111" s="544"/>
      <c r="J111" s="47"/>
      <c r="K111" s="551">
        <v>0.15</v>
      </c>
      <c r="L111" s="552"/>
      <c r="M111" s="551"/>
      <c r="N111" s="552"/>
      <c r="O111" s="551">
        <v>0.3</v>
      </c>
      <c r="P111" s="552"/>
      <c r="Q111" s="551"/>
      <c r="R111" s="552"/>
      <c r="S111" s="512">
        <v>1.7</v>
      </c>
      <c r="T111" s="509"/>
      <c r="U111" s="551"/>
      <c r="V111" s="552"/>
      <c r="W111" s="548">
        <f t="shared" si="10"/>
        <v>4.4999999999999998E-2</v>
      </c>
      <c r="X111" s="549"/>
      <c r="Y111" s="550"/>
      <c r="Z111" s="527">
        <f t="shared" si="11"/>
        <v>7.6499999999999999E-2</v>
      </c>
      <c r="AA111" s="528"/>
      <c r="AB111" s="529"/>
      <c r="AC111" s="35"/>
      <c r="AD111" s="36"/>
      <c r="AE111" s="37"/>
      <c r="AF111" s="35"/>
      <c r="AG111" s="36"/>
      <c r="AH111" s="38"/>
    </row>
    <row r="112" spans="1:35" ht="15.75">
      <c r="A112" s="507"/>
      <c r="B112" s="508"/>
      <c r="C112" s="509"/>
      <c r="D112" s="543" t="s">
        <v>766</v>
      </c>
      <c r="E112" s="544"/>
      <c r="F112" s="544"/>
      <c r="G112" s="544"/>
      <c r="H112" s="544"/>
      <c r="I112" s="544"/>
      <c r="J112" s="47"/>
      <c r="K112" s="551">
        <v>0.15</v>
      </c>
      <c r="L112" s="552"/>
      <c r="M112" s="551"/>
      <c r="N112" s="552"/>
      <c r="O112" s="551">
        <v>0.3</v>
      </c>
      <c r="P112" s="552"/>
      <c r="Q112" s="551"/>
      <c r="R112" s="552"/>
      <c r="S112" s="512">
        <f>11.81+8.84+12+6.85</f>
        <v>39.5</v>
      </c>
      <c r="T112" s="509"/>
      <c r="U112" s="551"/>
      <c r="V112" s="552"/>
      <c r="W112" s="548">
        <f t="shared" si="10"/>
        <v>4.4999999999999998E-2</v>
      </c>
      <c r="X112" s="549"/>
      <c r="Y112" s="550"/>
      <c r="Z112" s="527">
        <f t="shared" si="11"/>
        <v>1.7774999999999999</v>
      </c>
      <c r="AA112" s="528"/>
      <c r="AB112" s="529"/>
      <c r="AC112" s="35"/>
      <c r="AD112" s="36"/>
      <c r="AE112" s="37"/>
      <c r="AF112" s="35"/>
      <c r="AG112" s="36"/>
      <c r="AH112" s="38"/>
    </row>
    <row r="113" spans="1:34" ht="15.75">
      <c r="A113" s="507"/>
      <c r="B113" s="508"/>
      <c r="C113" s="509"/>
      <c r="D113" s="543" t="s">
        <v>767</v>
      </c>
      <c r="E113" s="544"/>
      <c r="F113" s="544"/>
      <c r="G113" s="544"/>
      <c r="H113" s="544"/>
      <c r="I113" s="544"/>
      <c r="J113" s="47"/>
      <c r="K113" s="551">
        <v>0.15</v>
      </c>
      <c r="L113" s="552"/>
      <c r="M113" s="551"/>
      <c r="N113" s="552"/>
      <c r="O113" s="551">
        <v>0.3</v>
      </c>
      <c r="P113" s="552"/>
      <c r="Q113" s="551"/>
      <c r="R113" s="552"/>
      <c r="S113" s="512">
        <v>4.24</v>
      </c>
      <c r="T113" s="509"/>
      <c r="U113" s="551"/>
      <c r="V113" s="552"/>
      <c r="W113" s="548">
        <f t="shared" si="10"/>
        <v>4.4999999999999998E-2</v>
      </c>
      <c r="X113" s="549"/>
      <c r="Y113" s="550"/>
      <c r="Z113" s="527">
        <f t="shared" si="11"/>
        <v>0.1908</v>
      </c>
      <c r="AA113" s="528"/>
      <c r="AB113" s="529"/>
      <c r="AC113" s="35"/>
      <c r="AD113" s="36"/>
      <c r="AE113" s="37"/>
      <c r="AF113" s="35"/>
      <c r="AG113" s="36"/>
      <c r="AH113" s="38"/>
    </row>
    <row r="114" spans="1:34" ht="15.75">
      <c r="A114" s="507"/>
      <c r="B114" s="508"/>
      <c r="C114" s="509"/>
      <c r="D114" s="543" t="s">
        <v>768</v>
      </c>
      <c r="E114" s="544"/>
      <c r="F114" s="544"/>
      <c r="G114" s="544"/>
      <c r="H114" s="544"/>
      <c r="I114" s="544"/>
      <c r="J114" s="47"/>
      <c r="K114" s="551">
        <v>0.15</v>
      </c>
      <c r="L114" s="552"/>
      <c r="M114" s="551"/>
      <c r="N114" s="552"/>
      <c r="O114" s="551">
        <v>0.3</v>
      </c>
      <c r="P114" s="552"/>
      <c r="Q114" s="551"/>
      <c r="R114" s="552"/>
      <c r="S114" s="512">
        <v>5.64</v>
      </c>
      <c r="T114" s="509"/>
      <c r="U114" s="551"/>
      <c r="V114" s="552"/>
      <c r="W114" s="548">
        <f t="shared" si="10"/>
        <v>4.4999999999999998E-2</v>
      </c>
      <c r="X114" s="549"/>
      <c r="Y114" s="550"/>
      <c r="Z114" s="527">
        <f t="shared" si="11"/>
        <v>0.25379999999999997</v>
      </c>
      <c r="AA114" s="528"/>
      <c r="AB114" s="529"/>
      <c r="AC114" s="35"/>
      <c r="AD114" s="36"/>
      <c r="AE114" s="37"/>
      <c r="AF114" s="35"/>
      <c r="AG114" s="36"/>
      <c r="AH114" s="38"/>
    </row>
    <row r="115" spans="1:34" ht="15.75">
      <c r="A115" s="507"/>
      <c r="B115" s="508"/>
      <c r="C115" s="509"/>
      <c r="D115" s="543" t="s">
        <v>769</v>
      </c>
      <c r="E115" s="544"/>
      <c r="F115" s="544"/>
      <c r="G115" s="544"/>
      <c r="H115" s="544"/>
      <c r="I115" s="544"/>
      <c r="J115" s="47"/>
      <c r="K115" s="512">
        <v>0.2</v>
      </c>
      <c r="L115" s="509"/>
      <c r="M115" s="512"/>
      <c r="N115" s="509"/>
      <c r="O115" s="551">
        <v>0.3</v>
      </c>
      <c r="P115" s="552"/>
      <c r="Q115" s="512"/>
      <c r="R115" s="509"/>
      <c r="S115" s="512">
        <f>11.81+9.24+12+6.41</f>
        <v>39.459999999999994</v>
      </c>
      <c r="T115" s="509"/>
      <c r="U115" s="512"/>
      <c r="V115" s="509"/>
      <c r="W115" s="548">
        <f t="shared" si="10"/>
        <v>0.06</v>
      </c>
      <c r="X115" s="549"/>
      <c r="Y115" s="550"/>
      <c r="Z115" s="527">
        <f t="shared" si="11"/>
        <v>2.3675999999999995</v>
      </c>
      <c r="AA115" s="528"/>
      <c r="AB115" s="529"/>
      <c r="AC115" s="35"/>
      <c r="AD115" s="36"/>
      <c r="AE115" s="37"/>
      <c r="AF115" s="35"/>
      <c r="AG115" s="36"/>
      <c r="AH115" s="38"/>
    </row>
    <row r="116" spans="1:34" ht="15.75">
      <c r="A116" s="507"/>
      <c r="B116" s="508"/>
      <c r="C116" s="509"/>
      <c r="D116" s="545" t="s">
        <v>770</v>
      </c>
      <c r="E116" s="546"/>
      <c r="F116" s="546"/>
      <c r="G116" s="546"/>
      <c r="H116" s="546"/>
      <c r="I116" s="547"/>
      <c r="J116" s="47"/>
      <c r="K116" s="551">
        <v>0.15</v>
      </c>
      <c r="L116" s="552"/>
      <c r="M116" s="551"/>
      <c r="N116" s="552"/>
      <c r="O116" s="551">
        <v>0.3</v>
      </c>
      <c r="P116" s="552"/>
      <c r="Q116" s="551"/>
      <c r="R116" s="552"/>
      <c r="S116" s="512">
        <f>10.61</f>
        <v>10.61</v>
      </c>
      <c r="T116" s="509"/>
      <c r="U116" s="551"/>
      <c r="V116" s="552"/>
      <c r="W116" s="548">
        <f t="shared" si="10"/>
        <v>4.4999999999999998E-2</v>
      </c>
      <c r="X116" s="549"/>
      <c r="Y116" s="550"/>
      <c r="Z116" s="527">
        <f t="shared" si="11"/>
        <v>0.47744999999999993</v>
      </c>
      <c r="AA116" s="528"/>
      <c r="AB116" s="529"/>
      <c r="AC116" s="35"/>
      <c r="AD116" s="36"/>
      <c r="AE116" s="37"/>
      <c r="AF116" s="35"/>
      <c r="AG116" s="36"/>
      <c r="AH116" s="38"/>
    </row>
    <row r="117" spans="1:34" ht="15.75">
      <c r="A117" s="507"/>
      <c r="B117" s="508"/>
      <c r="C117" s="509"/>
      <c r="D117" s="545" t="s">
        <v>771</v>
      </c>
      <c r="E117" s="546"/>
      <c r="F117" s="546"/>
      <c r="G117" s="546"/>
      <c r="H117" s="546"/>
      <c r="I117" s="547"/>
      <c r="J117" s="47"/>
      <c r="K117" s="551">
        <v>0.15</v>
      </c>
      <c r="L117" s="552"/>
      <c r="M117" s="551"/>
      <c r="N117" s="552"/>
      <c r="O117" s="551">
        <v>0.3</v>
      </c>
      <c r="P117" s="552"/>
      <c r="Q117" s="551"/>
      <c r="R117" s="552"/>
      <c r="S117" s="512">
        <f>11.89+12+12+3.96</f>
        <v>39.85</v>
      </c>
      <c r="T117" s="509"/>
      <c r="U117" s="551"/>
      <c r="V117" s="552"/>
      <c r="W117" s="548">
        <f t="shared" si="10"/>
        <v>4.4999999999999998E-2</v>
      </c>
      <c r="X117" s="549"/>
      <c r="Y117" s="550"/>
      <c r="Z117" s="527">
        <f t="shared" si="11"/>
        <v>1.79325</v>
      </c>
      <c r="AA117" s="528"/>
      <c r="AB117" s="529"/>
      <c r="AC117" s="35"/>
      <c r="AD117" s="36"/>
      <c r="AE117" s="37"/>
      <c r="AF117" s="35"/>
      <c r="AG117" s="36"/>
      <c r="AH117" s="38"/>
    </row>
    <row r="118" spans="1:34" ht="15.75">
      <c r="A118" s="507"/>
      <c r="B118" s="508"/>
      <c r="C118" s="509"/>
      <c r="D118" s="545" t="s">
        <v>772</v>
      </c>
      <c r="E118" s="546"/>
      <c r="F118" s="546"/>
      <c r="G118" s="546"/>
      <c r="H118" s="546"/>
      <c r="I118" s="547"/>
      <c r="J118" s="47"/>
      <c r="K118" s="551">
        <v>0.15</v>
      </c>
      <c r="L118" s="552"/>
      <c r="M118" s="551"/>
      <c r="N118" s="552"/>
      <c r="O118" s="551">
        <v>0.3</v>
      </c>
      <c r="P118" s="552"/>
      <c r="Q118" s="551"/>
      <c r="R118" s="552"/>
      <c r="S118" s="512">
        <v>10.62</v>
      </c>
      <c r="T118" s="509"/>
      <c r="U118" s="551"/>
      <c r="V118" s="552"/>
      <c r="W118" s="548">
        <f t="shared" si="10"/>
        <v>4.4999999999999998E-2</v>
      </c>
      <c r="X118" s="549"/>
      <c r="Y118" s="550"/>
      <c r="Z118" s="527">
        <f t="shared" si="11"/>
        <v>0.47789999999999994</v>
      </c>
      <c r="AA118" s="528"/>
      <c r="AB118" s="529"/>
      <c r="AC118" s="35"/>
      <c r="AD118" s="36"/>
      <c r="AE118" s="37"/>
      <c r="AF118" s="35"/>
      <c r="AG118" s="36"/>
      <c r="AH118" s="38"/>
    </row>
    <row r="119" spans="1:34" ht="15.75">
      <c r="A119" s="507"/>
      <c r="B119" s="508"/>
      <c r="C119" s="509"/>
      <c r="D119" s="545" t="s">
        <v>773</v>
      </c>
      <c r="E119" s="546"/>
      <c r="F119" s="546"/>
      <c r="G119" s="546"/>
      <c r="H119" s="546"/>
      <c r="I119" s="547"/>
      <c r="J119" s="47"/>
      <c r="K119" s="551">
        <v>0.15</v>
      </c>
      <c r="L119" s="552"/>
      <c r="M119" s="551"/>
      <c r="N119" s="552"/>
      <c r="O119" s="551">
        <v>0.3</v>
      </c>
      <c r="P119" s="552"/>
      <c r="Q119" s="551"/>
      <c r="R119" s="552"/>
      <c r="S119" s="512">
        <f>12+7.43</f>
        <v>19.43</v>
      </c>
      <c r="T119" s="509"/>
      <c r="U119" s="551"/>
      <c r="V119" s="552"/>
      <c r="W119" s="548">
        <f t="shared" si="10"/>
        <v>4.4999999999999998E-2</v>
      </c>
      <c r="X119" s="549"/>
      <c r="Y119" s="550"/>
      <c r="Z119" s="527">
        <f t="shared" si="11"/>
        <v>0.87434999999999996</v>
      </c>
      <c r="AA119" s="528"/>
      <c r="AB119" s="529"/>
      <c r="AC119" s="35"/>
      <c r="AD119" s="36"/>
      <c r="AE119" s="37"/>
      <c r="AF119" s="35"/>
      <c r="AG119" s="36"/>
      <c r="AH119" s="38"/>
    </row>
    <row r="120" spans="1:34" ht="15.75">
      <c r="A120" s="507"/>
      <c r="B120" s="508"/>
      <c r="C120" s="509"/>
      <c r="D120" s="545" t="s">
        <v>774</v>
      </c>
      <c r="E120" s="546"/>
      <c r="F120" s="546"/>
      <c r="G120" s="546"/>
      <c r="H120" s="546"/>
      <c r="I120" s="547"/>
      <c r="J120" s="47"/>
      <c r="K120" s="551">
        <v>0.15</v>
      </c>
      <c r="L120" s="552"/>
      <c r="M120" s="551"/>
      <c r="N120" s="552"/>
      <c r="O120" s="551">
        <v>0.3</v>
      </c>
      <c r="P120" s="552"/>
      <c r="Q120" s="551"/>
      <c r="R120" s="552"/>
      <c r="S120" s="512">
        <f>12+12+8.05</f>
        <v>32.049999999999997</v>
      </c>
      <c r="T120" s="509"/>
      <c r="U120" s="551"/>
      <c r="V120" s="552"/>
      <c r="W120" s="548">
        <f t="shared" si="10"/>
        <v>4.4999999999999998E-2</v>
      </c>
      <c r="X120" s="549"/>
      <c r="Y120" s="550"/>
      <c r="Z120" s="527">
        <f t="shared" si="11"/>
        <v>1.4422499999999998</v>
      </c>
      <c r="AA120" s="528"/>
      <c r="AB120" s="529"/>
      <c r="AC120" s="35"/>
      <c r="AD120" s="36"/>
      <c r="AE120" s="37"/>
      <c r="AF120" s="35"/>
      <c r="AG120" s="36"/>
      <c r="AH120" s="38"/>
    </row>
    <row r="121" spans="1:34" ht="15.75">
      <c r="A121" s="507"/>
      <c r="B121" s="508"/>
      <c r="C121" s="509"/>
      <c r="D121" s="545" t="s">
        <v>775</v>
      </c>
      <c r="E121" s="546"/>
      <c r="F121" s="546"/>
      <c r="G121" s="546"/>
      <c r="H121" s="546"/>
      <c r="I121" s="547"/>
      <c r="J121" s="47"/>
      <c r="K121" s="551">
        <v>0.15</v>
      </c>
      <c r="L121" s="552"/>
      <c r="M121" s="551"/>
      <c r="N121" s="552"/>
      <c r="O121" s="551">
        <v>0.3</v>
      </c>
      <c r="P121" s="552"/>
      <c r="Q121" s="551"/>
      <c r="R121" s="552"/>
      <c r="S121" s="512">
        <f>12+7.24</f>
        <v>19.240000000000002</v>
      </c>
      <c r="T121" s="509"/>
      <c r="U121" s="551"/>
      <c r="V121" s="552"/>
      <c r="W121" s="548">
        <f t="shared" si="10"/>
        <v>4.4999999999999998E-2</v>
      </c>
      <c r="X121" s="549"/>
      <c r="Y121" s="550"/>
      <c r="Z121" s="527">
        <f t="shared" si="11"/>
        <v>0.86580000000000001</v>
      </c>
      <c r="AA121" s="528"/>
      <c r="AB121" s="529"/>
      <c r="AC121" s="35"/>
      <c r="AD121" s="36"/>
      <c r="AE121" s="37"/>
      <c r="AF121" s="35"/>
      <c r="AG121" s="36"/>
      <c r="AH121" s="38"/>
    </row>
    <row r="122" spans="1:34" ht="15.75">
      <c r="A122" s="507"/>
      <c r="B122" s="508"/>
      <c r="C122" s="509"/>
      <c r="D122" s="545" t="s">
        <v>776</v>
      </c>
      <c r="E122" s="546"/>
      <c r="F122" s="546"/>
      <c r="G122" s="546"/>
      <c r="H122" s="546"/>
      <c r="I122" s="547"/>
      <c r="J122" s="47"/>
      <c r="K122" s="551">
        <v>0.15</v>
      </c>
      <c r="L122" s="552"/>
      <c r="M122" s="551"/>
      <c r="N122" s="552"/>
      <c r="O122" s="551">
        <v>0.3</v>
      </c>
      <c r="P122" s="552"/>
      <c r="Q122" s="551"/>
      <c r="R122" s="552"/>
      <c r="S122" s="512">
        <f>12+12+8.27</f>
        <v>32.269999999999996</v>
      </c>
      <c r="T122" s="509"/>
      <c r="U122" s="551"/>
      <c r="V122" s="552"/>
      <c r="W122" s="548">
        <f t="shared" si="10"/>
        <v>4.4999999999999998E-2</v>
      </c>
      <c r="X122" s="549"/>
      <c r="Y122" s="550"/>
      <c r="Z122" s="527">
        <f t="shared" si="11"/>
        <v>1.4521499999999998</v>
      </c>
      <c r="AA122" s="528"/>
      <c r="AB122" s="529"/>
      <c r="AC122" s="35"/>
      <c r="AD122" s="36"/>
      <c r="AE122" s="37"/>
      <c r="AF122" s="35"/>
      <c r="AG122" s="36"/>
      <c r="AH122" s="38"/>
    </row>
    <row r="123" spans="1:34" ht="15.75">
      <c r="A123" s="507"/>
      <c r="B123" s="508"/>
      <c r="C123" s="509"/>
      <c r="D123" s="545" t="s">
        <v>777</v>
      </c>
      <c r="E123" s="546"/>
      <c r="F123" s="546"/>
      <c r="G123" s="546"/>
      <c r="H123" s="546"/>
      <c r="I123" s="547"/>
      <c r="J123" s="47"/>
      <c r="K123" s="512">
        <v>0.15</v>
      </c>
      <c r="L123" s="509"/>
      <c r="M123" s="512"/>
      <c r="N123" s="509"/>
      <c r="O123" s="551">
        <v>0.4</v>
      </c>
      <c r="P123" s="552"/>
      <c r="Q123" s="512"/>
      <c r="R123" s="509"/>
      <c r="S123" s="512">
        <f>9.74</f>
        <v>9.74</v>
      </c>
      <c r="T123" s="509"/>
      <c r="U123" s="512"/>
      <c r="V123" s="509"/>
      <c r="W123" s="548">
        <f t="shared" si="10"/>
        <v>0.06</v>
      </c>
      <c r="X123" s="549"/>
      <c r="Y123" s="550"/>
      <c r="Z123" s="527">
        <f t="shared" si="11"/>
        <v>0.58440000000000003</v>
      </c>
      <c r="AA123" s="528"/>
      <c r="AB123" s="529"/>
      <c r="AC123" s="35"/>
      <c r="AD123" s="36"/>
      <c r="AE123" s="37"/>
      <c r="AF123" s="35"/>
      <c r="AG123" s="36"/>
      <c r="AH123" s="38"/>
    </row>
    <row r="124" spans="1:34" ht="15.75">
      <c r="A124" s="507"/>
      <c r="B124" s="508"/>
      <c r="C124" s="509"/>
      <c r="D124" s="545" t="s">
        <v>778</v>
      </c>
      <c r="E124" s="546"/>
      <c r="F124" s="546"/>
      <c r="G124" s="546"/>
      <c r="H124" s="546"/>
      <c r="I124" s="547"/>
      <c r="J124" s="47"/>
      <c r="K124" s="551">
        <v>0.2</v>
      </c>
      <c r="L124" s="552"/>
      <c r="M124" s="551"/>
      <c r="N124" s="552"/>
      <c r="O124" s="551">
        <v>0.4</v>
      </c>
      <c r="P124" s="552"/>
      <c r="Q124" s="551"/>
      <c r="R124" s="552"/>
      <c r="S124" s="512">
        <v>1.7</v>
      </c>
      <c r="T124" s="509"/>
      <c r="U124" s="551"/>
      <c r="V124" s="552"/>
      <c r="W124" s="548">
        <f t="shared" si="10"/>
        <v>8.0000000000000016E-2</v>
      </c>
      <c r="X124" s="549"/>
      <c r="Y124" s="550"/>
      <c r="Z124" s="527">
        <f t="shared" si="11"/>
        <v>0.13600000000000001</v>
      </c>
      <c r="AA124" s="528"/>
      <c r="AB124" s="529"/>
      <c r="AC124" s="35"/>
      <c r="AD124" s="36"/>
      <c r="AE124" s="37"/>
      <c r="AF124" s="35"/>
      <c r="AG124" s="36"/>
      <c r="AH124" s="38"/>
    </row>
    <row r="125" spans="1:34" ht="15.75">
      <c r="A125" s="507"/>
      <c r="B125" s="508"/>
      <c r="C125" s="509"/>
      <c r="D125" s="545" t="s">
        <v>779</v>
      </c>
      <c r="E125" s="546"/>
      <c r="F125" s="546"/>
      <c r="G125" s="546"/>
      <c r="H125" s="546"/>
      <c r="I125" s="547"/>
      <c r="J125" s="47"/>
      <c r="K125" s="551">
        <v>0.15</v>
      </c>
      <c r="L125" s="552"/>
      <c r="M125" s="551"/>
      <c r="N125" s="552"/>
      <c r="O125" s="551">
        <v>0.3</v>
      </c>
      <c r="P125" s="552"/>
      <c r="Q125" s="551"/>
      <c r="R125" s="552"/>
      <c r="S125" s="512">
        <v>10.61</v>
      </c>
      <c r="T125" s="509"/>
      <c r="U125" s="551"/>
      <c r="V125" s="552"/>
      <c r="W125" s="548">
        <f t="shared" si="10"/>
        <v>4.4999999999999998E-2</v>
      </c>
      <c r="X125" s="549"/>
      <c r="Y125" s="550"/>
      <c r="Z125" s="527">
        <f t="shared" si="11"/>
        <v>0.47744999999999993</v>
      </c>
      <c r="AA125" s="528"/>
      <c r="AB125" s="529"/>
      <c r="AC125" s="35"/>
      <c r="AD125" s="36"/>
      <c r="AE125" s="37"/>
      <c r="AF125" s="35"/>
      <c r="AG125" s="36"/>
      <c r="AH125" s="38"/>
    </row>
    <row r="126" spans="1:34" ht="15.75">
      <c r="A126" s="507"/>
      <c r="B126" s="508"/>
      <c r="C126" s="509"/>
      <c r="D126" s="545" t="s">
        <v>780</v>
      </c>
      <c r="E126" s="546"/>
      <c r="F126" s="546"/>
      <c r="G126" s="546"/>
      <c r="H126" s="546"/>
      <c r="I126" s="547"/>
      <c r="J126" s="47"/>
      <c r="K126" s="551">
        <v>0.15</v>
      </c>
      <c r="L126" s="552"/>
      <c r="M126" s="551"/>
      <c r="N126" s="552"/>
      <c r="O126" s="551">
        <v>0.3</v>
      </c>
      <c r="P126" s="552"/>
      <c r="Q126" s="551"/>
      <c r="R126" s="552"/>
      <c r="S126" s="512">
        <f>12+7.53</f>
        <v>19.53</v>
      </c>
      <c r="T126" s="509"/>
      <c r="U126" s="551"/>
      <c r="V126" s="552"/>
      <c r="W126" s="548">
        <f t="shared" si="10"/>
        <v>4.4999999999999998E-2</v>
      </c>
      <c r="X126" s="549"/>
      <c r="Y126" s="550"/>
      <c r="Z126" s="527">
        <f t="shared" si="11"/>
        <v>0.87885000000000002</v>
      </c>
      <c r="AA126" s="528"/>
      <c r="AB126" s="529"/>
      <c r="AC126" s="35"/>
      <c r="AD126" s="36"/>
      <c r="AE126" s="37"/>
      <c r="AF126" s="35"/>
      <c r="AG126" s="36"/>
      <c r="AH126" s="38"/>
    </row>
    <row r="127" spans="1:34" ht="15.75">
      <c r="A127" s="507"/>
      <c r="B127" s="508"/>
      <c r="C127" s="509"/>
      <c r="D127" s="545" t="s">
        <v>781</v>
      </c>
      <c r="E127" s="546"/>
      <c r="F127" s="546"/>
      <c r="G127" s="546"/>
      <c r="H127" s="546"/>
      <c r="I127" s="547"/>
      <c r="J127" s="47"/>
      <c r="K127" s="551">
        <v>0.15</v>
      </c>
      <c r="L127" s="552"/>
      <c r="M127" s="551"/>
      <c r="N127" s="552"/>
      <c r="O127" s="551">
        <v>0.3</v>
      </c>
      <c r="P127" s="552"/>
      <c r="Q127" s="551"/>
      <c r="R127" s="552"/>
      <c r="S127" s="512">
        <f>12+12+8.39</f>
        <v>32.39</v>
      </c>
      <c r="T127" s="509"/>
      <c r="U127" s="551"/>
      <c r="V127" s="552"/>
      <c r="W127" s="548">
        <f t="shared" si="10"/>
        <v>4.4999999999999998E-2</v>
      </c>
      <c r="X127" s="549"/>
      <c r="Y127" s="550"/>
      <c r="Z127" s="527">
        <f t="shared" si="11"/>
        <v>1.4575499999999999</v>
      </c>
      <c r="AA127" s="528"/>
      <c r="AB127" s="529"/>
      <c r="AC127" s="35"/>
      <c r="AD127" s="36"/>
      <c r="AE127" s="37"/>
      <c r="AF127" s="35"/>
      <c r="AG127" s="36"/>
      <c r="AH127" s="38"/>
    </row>
    <row r="128" spans="1:34" ht="15.75">
      <c r="A128" s="507"/>
      <c r="B128" s="508"/>
      <c r="C128" s="509"/>
      <c r="D128" s="545" t="s">
        <v>782</v>
      </c>
      <c r="E128" s="546"/>
      <c r="F128" s="546"/>
      <c r="G128" s="546"/>
      <c r="H128" s="546"/>
      <c r="I128" s="547"/>
      <c r="J128" s="47"/>
      <c r="K128" s="551">
        <v>0.15</v>
      </c>
      <c r="L128" s="552"/>
      <c r="M128" s="551"/>
      <c r="N128" s="552"/>
      <c r="O128" s="551">
        <v>0.3</v>
      </c>
      <c r="P128" s="552"/>
      <c r="Q128" s="551"/>
      <c r="R128" s="552"/>
      <c r="S128" s="512">
        <f>11.85+10.69+2.02</f>
        <v>24.56</v>
      </c>
      <c r="T128" s="509"/>
      <c r="U128" s="551"/>
      <c r="V128" s="552"/>
      <c r="W128" s="548">
        <f t="shared" si="10"/>
        <v>4.4999999999999998E-2</v>
      </c>
      <c r="X128" s="549"/>
      <c r="Y128" s="550"/>
      <c r="Z128" s="527">
        <f t="shared" si="11"/>
        <v>1.1052</v>
      </c>
      <c r="AA128" s="528"/>
      <c r="AB128" s="529"/>
      <c r="AC128" s="35"/>
      <c r="AD128" s="36"/>
      <c r="AE128" s="37"/>
      <c r="AF128" s="35"/>
      <c r="AG128" s="36"/>
      <c r="AH128" s="38"/>
    </row>
    <row r="129" spans="1:35" ht="15.75">
      <c r="A129" s="519" t="str">
        <f>'MEMORIA BM 03'!A39</f>
        <v>5.7</v>
      </c>
      <c r="B129" s="520"/>
      <c r="C129" s="521"/>
      <c r="D129" s="553" t="str">
        <f>'MEMORIA BM 03'!B39</f>
        <v>LANÇAMENTO COM USO DE BOMBA, ADENSAMENTO E ACABAMENTO DE CONCRETO EM ESTRUTURAS. AF_12/2015</v>
      </c>
      <c r="E129" s="554"/>
      <c r="F129" s="554"/>
      <c r="G129" s="554"/>
      <c r="H129" s="554"/>
      <c r="I129" s="554"/>
      <c r="J129" s="554"/>
      <c r="K129" s="554"/>
      <c r="L129" s="554"/>
      <c r="M129" s="554"/>
      <c r="N129" s="554"/>
      <c r="O129" s="554"/>
      <c r="P129" s="554"/>
      <c r="Q129" s="554"/>
      <c r="R129" s="554"/>
      <c r="S129" s="554"/>
      <c r="T129" s="554"/>
      <c r="U129" s="554"/>
      <c r="V129" s="554"/>
      <c r="W129" s="554"/>
      <c r="X129" s="554"/>
      <c r="Y129" s="554"/>
      <c r="Z129" s="554"/>
      <c r="AA129" s="554"/>
      <c r="AB129" s="555"/>
      <c r="AC129" s="525">
        <f>SUM(Z130:AB155)</f>
        <v>20.8111</v>
      </c>
      <c r="AD129" s="520"/>
      <c r="AE129" s="521"/>
      <c r="AF129" s="525" t="str">
        <f>'MEMORIA BM 03'!C39</f>
        <v>M3</v>
      </c>
      <c r="AG129" s="520"/>
      <c r="AH129" s="526"/>
      <c r="AI129">
        <v>20.81</v>
      </c>
    </row>
    <row r="130" spans="1:35" ht="15.75">
      <c r="A130" s="507"/>
      <c r="B130" s="508"/>
      <c r="C130" s="509"/>
      <c r="D130" s="543" t="s">
        <v>757</v>
      </c>
      <c r="E130" s="544"/>
      <c r="F130" s="544"/>
      <c r="G130" s="544"/>
      <c r="H130" s="544"/>
      <c r="I130" s="544"/>
      <c r="J130" s="47"/>
      <c r="K130" s="551">
        <v>0.15</v>
      </c>
      <c r="L130" s="552"/>
      <c r="M130" s="551"/>
      <c r="N130" s="552"/>
      <c r="O130" s="551">
        <v>0.3</v>
      </c>
      <c r="P130" s="552"/>
      <c r="Q130" s="551"/>
      <c r="R130" s="552"/>
      <c r="S130" s="512">
        <f>11.89+11.86</f>
        <v>23.75</v>
      </c>
      <c r="T130" s="509"/>
      <c r="U130" s="551"/>
      <c r="V130" s="552"/>
      <c r="W130" s="527">
        <f>K130*O130</f>
        <v>4.4999999999999998E-2</v>
      </c>
      <c r="X130" s="528"/>
      <c r="Y130" s="529"/>
      <c r="Z130" s="527">
        <f>W130*S130</f>
        <v>1.0687499999999999</v>
      </c>
      <c r="AA130" s="528"/>
      <c r="AB130" s="529"/>
      <c r="AC130" s="35"/>
      <c r="AD130" s="36"/>
      <c r="AE130" s="37"/>
      <c r="AF130" s="35"/>
      <c r="AG130" s="36"/>
      <c r="AH130" s="38"/>
    </row>
    <row r="131" spans="1:35" ht="15.75">
      <c r="A131" s="507"/>
      <c r="B131" s="508"/>
      <c r="C131" s="509"/>
      <c r="D131" s="543" t="s">
        <v>758</v>
      </c>
      <c r="E131" s="544"/>
      <c r="F131" s="544"/>
      <c r="G131" s="544"/>
      <c r="H131" s="544"/>
      <c r="I131" s="544"/>
      <c r="J131" s="47"/>
      <c r="K131" s="551">
        <v>0.2</v>
      </c>
      <c r="L131" s="552"/>
      <c r="M131" s="551"/>
      <c r="N131" s="552"/>
      <c r="O131" s="551">
        <v>0.3</v>
      </c>
      <c r="P131" s="552"/>
      <c r="Q131" s="551"/>
      <c r="R131" s="552"/>
      <c r="S131" s="512">
        <v>3.39</v>
      </c>
      <c r="T131" s="509"/>
      <c r="U131" s="551"/>
      <c r="V131" s="552"/>
      <c r="W131" s="548">
        <f t="shared" ref="W131:W155" si="12">K131*O131</f>
        <v>0.06</v>
      </c>
      <c r="X131" s="549"/>
      <c r="Y131" s="550"/>
      <c r="Z131" s="527">
        <f t="shared" ref="Z131:Z155" si="13">W131*S131</f>
        <v>0.2034</v>
      </c>
      <c r="AA131" s="528"/>
      <c r="AB131" s="529"/>
      <c r="AC131" s="35"/>
      <c r="AD131" s="36"/>
      <c r="AE131" s="37"/>
      <c r="AF131" s="35"/>
      <c r="AG131" s="36"/>
      <c r="AH131" s="38"/>
    </row>
    <row r="132" spans="1:35" ht="15.75">
      <c r="A132" s="507"/>
      <c r="B132" s="508"/>
      <c r="C132" s="509"/>
      <c r="D132" s="543" t="s">
        <v>759</v>
      </c>
      <c r="E132" s="544"/>
      <c r="F132" s="544"/>
      <c r="G132" s="544"/>
      <c r="H132" s="544"/>
      <c r="I132" s="544"/>
      <c r="J132" s="47"/>
      <c r="K132" s="551">
        <v>0.2</v>
      </c>
      <c r="L132" s="552"/>
      <c r="M132" s="551"/>
      <c r="N132" s="552"/>
      <c r="O132" s="551">
        <v>0.3</v>
      </c>
      <c r="P132" s="552"/>
      <c r="Q132" s="551"/>
      <c r="R132" s="552"/>
      <c r="S132" s="512">
        <v>3.39</v>
      </c>
      <c r="T132" s="509"/>
      <c r="U132" s="551"/>
      <c r="V132" s="552"/>
      <c r="W132" s="548">
        <f t="shared" si="12"/>
        <v>0.06</v>
      </c>
      <c r="X132" s="549"/>
      <c r="Y132" s="550"/>
      <c r="Z132" s="527">
        <f t="shared" si="13"/>
        <v>0.2034</v>
      </c>
      <c r="AA132" s="528"/>
      <c r="AB132" s="529"/>
      <c r="AC132" s="35"/>
      <c r="AD132" s="36"/>
      <c r="AE132" s="37"/>
      <c r="AF132" s="35"/>
      <c r="AG132" s="36"/>
      <c r="AH132" s="38"/>
    </row>
    <row r="133" spans="1:35" ht="15.75">
      <c r="A133" s="507"/>
      <c r="B133" s="508"/>
      <c r="C133" s="509"/>
      <c r="D133" s="543" t="s">
        <v>760</v>
      </c>
      <c r="E133" s="544"/>
      <c r="F133" s="544"/>
      <c r="G133" s="544"/>
      <c r="H133" s="544"/>
      <c r="I133" s="544"/>
      <c r="J133" s="47"/>
      <c r="K133" s="551">
        <v>0.2</v>
      </c>
      <c r="L133" s="552"/>
      <c r="M133" s="551"/>
      <c r="N133" s="552"/>
      <c r="O133" s="551">
        <v>0.3</v>
      </c>
      <c r="P133" s="552"/>
      <c r="Q133" s="551"/>
      <c r="R133" s="552"/>
      <c r="S133" s="512">
        <v>3.26</v>
      </c>
      <c r="T133" s="509"/>
      <c r="U133" s="551"/>
      <c r="V133" s="552"/>
      <c r="W133" s="548">
        <f t="shared" si="12"/>
        <v>0.06</v>
      </c>
      <c r="X133" s="549"/>
      <c r="Y133" s="550"/>
      <c r="Z133" s="527">
        <f t="shared" si="13"/>
        <v>0.19559999999999997</v>
      </c>
      <c r="AA133" s="528"/>
      <c r="AB133" s="529"/>
      <c r="AC133" s="35"/>
      <c r="AD133" s="36"/>
      <c r="AE133" s="37"/>
      <c r="AF133" s="35"/>
      <c r="AG133" s="36"/>
      <c r="AH133" s="38"/>
    </row>
    <row r="134" spans="1:35" ht="15.75">
      <c r="A134" s="507"/>
      <c r="B134" s="508"/>
      <c r="C134" s="509"/>
      <c r="D134" s="543" t="s">
        <v>761</v>
      </c>
      <c r="E134" s="544"/>
      <c r="F134" s="544"/>
      <c r="G134" s="544"/>
      <c r="H134" s="544"/>
      <c r="I134" s="544"/>
      <c r="J134" s="47"/>
      <c r="K134" s="551">
        <v>0.15</v>
      </c>
      <c r="L134" s="552"/>
      <c r="M134" s="551"/>
      <c r="N134" s="552"/>
      <c r="O134" s="551">
        <v>0.3</v>
      </c>
      <c r="P134" s="552"/>
      <c r="Q134" s="551"/>
      <c r="R134" s="552"/>
      <c r="S134" s="512">
        <v>6.4</v>
      </c>
      <c r="T134" s="509"/>
      <c r="U134" s="512"/>
      <c r="V134" s="509"/>
      <c r="W134" s="548">
        <f t="shared" si="12"/>
        <v>4.4999999999999998E-2</v>
      </c>
      <c r="X134" s="549"/>
      <c r="Y134" s="550"/>
      <c r="Z134" s="527">
        <f t="shared" si="13"/>
        <v>0.28799999999999998</v>
      </c>
      <c r="AA134" s="528"/>
      <c r="AB134" s="529"/>
      <c r="AC134" s="35"/>
      <c r="AD134" s="36"/>
      <c r="AE134" s="37"/>
      <c r="AF134" s="35"/>
      <c r="AG134" s="36"/>
      <c r="AH134" s="38"/>
    </row>
    <row r="135" spans="1:35" ht="15.75">
      <c r="A135" s="507"/>
      <c r="B135" s="508"/>
      <c r="C135" s="509"/>
      <c r="D135" s="543" t="s">
        <v>762</v>
      </c>
      <c r="E135" s="544"/>
      <c r="F135" s="544"/>
      <c r="G135" s="544"/>
      <c r="H135" s="544"/>
      <c r="I135" s="544"/>
      <c r="J135" s="47"/>
      <c r="K135" s="551">
        <v>0.15</v>
      </c>
      <c r="L135" s="552"/>
      <c r="M135" s="551"/>
      <c r="N135" s="552"/>
      <c r="O135" s="551">
        <v>0.3</v>
      </c>
      <c r="P135" s="552"/>
      <c r="Q135" s="551"/>
      <c r="R135" s="552"/>
      <c r="S135" s="512">
        <v>2.04</v>
      </c>
      <c r="T135" s="509"/>
      <c r="U135" s="551"/>
      <c r="V135" s="552"/>
      <c r="W135" s="548">
        <f t="shared" si="12"/>
        <v>4.4999999999999998E-2</v>
      </c>
      <c r="X135" s="549"/>
      <c r="Y135" s="550"/>
      <c r="Z135" s="527">
        <f t="shared" si="13"/>
        <v>9.1799999999999993E-2</v>
      </c>
      <c r="AA135" s="528"/>
      <c r="AB135" s="529"/>
      <c r="AC135" s="35"/>
      <c r="AD135" s="36"/>
      <c r="AE135" s="37"/>
      <c r="AF135" s="35"/>
      <c r="AG135" s="36"/>
      <c r="AH135" s="38"/>
    </row>
    <row r="136" spans="1:35" ht="15.75">
      <c r="A136" s="507"/>
      <c r="B136" s="508"/>
      <c r="C136" s="509"/>
      <c r="D136" s="543" t="s">
        <v>763</v>
      </c>
      <c r="E136" s="544"/>
      <c r="F136" s="544"/>
      <c r="G136" s="544"/>
      <c r="H136" s="544"/>
      <c r="I136" s="544"/>
      <c r="J136" s="47"/>
      <c r="K136" s="551">
        <v>0.15</v>
      </c>
      <c r="L136" s="552"/>
      <c r="M136" s="551"/>
      <c r="N136" s="552"/>
      <c r="O136" s="551">
        <v>0.3</v>
      </c>
      <c r="P136" s="552"/>
      <c r="Q136" s="551"/>
      <c r="R136" s="552"/>
      <c r="S136" s="512">
        <f>11.89+12+12+3.74</f>
        <v>39.630000000000003</v>
      </c>
      <c r="T136" s="509"/>
      <c r="U136" s="551"/>
      <c r="V136" s="552"/>
      <c r="W136" s="548">
        <f t="shared" si="12"/>
        <v>4.4999999999999998E-2</v>
      </c>
      <c r="X136" s="549"/>
      <c r="Y136" s="550"/>
      <c r="Z136" s="527">
        <f t="shared" si="13"/>
        <v>1.78335</v>
      </c>
      <c r="AA136" s="528"/>
      <c r="AB136" s="529"/>
      <c r="AC136" s="35"/>
      <c r="AD136" s="36"/>
      <c r="AE136" s="37"/>
      <c r="AF136" s="35"/>
      <c r="AG136" s="36"/>
      <c r="AH136" s="38"/>
    </row>
    <row r="137" spans="1:35" ht="15.75">
      <c r="A137" s="507"/>
      <c r="B137" s="508"/>
      <c r="C137" s="509"/>
      <c r="D137" s="543" t="s">
        <v>764</v>
      </c>
      <c r="E137" s="544"/>
      <c r="F137" s="544"/>
      <c r="G137" s="544"/>
      <c r="H137" s="544"/>
      <c r="I137" s="544"/>
      <c r="J137" s="47"/>
      <c r="K137" s="551">
        <v>0.15</v>
      </c>
      <c r="L137" s="552"/>
      <c r="M137" s="551"/>
      <c r="N137" s="552"/>
      <c r="O137" s="551">
        <v>0.3</v>
      </c>
      <c r="P137" s="552"/>
      <c r="Q137" s="551"/>
      <c r="R137" s="552"/>
      <c r="S137" s="512">
        <v>6.4</v>
      </c>
      <c r="T137" s="509"/>
      <c r="U137" s="551"/>
      <c r="V137" s="552"/>
      <c r="W137" s="548">
        <f t="shared" si="12"/>
        <v>4.4999999999999998E-2</v>
      </c>
      <c r="X137" s="549"/>
      <c r="Y137" s="550"/>
      <c r="Z137" s="527">
        <f t="shared" si="13"/>
        <v>0.28799999999999998</v>
      </c>
      <c r="AA137" s="528"/>
      <c r="AB137" s="529"/>
      <c r="AC137" s="35"/>
      <c r="AD137" s="36"/>
      <c r="AE137" s="37"/>
      <c r="AF137" s="35"/>
      <c r="AG137" s="36"/>
      <c r="AH137" s="38"/>
    </row>
    <row r="138" spans="1:35" ht="15.75">
      <c r="A138" s="507"/>
      <c r="B138" s="508"/>
      <c r="C138" s="509"/>
      <c r="D138" s="543" t="s">
        <v>765</v>
      </c>
      <c r="E138" s="544"/>
      <c r="F138" s="544"/>
      <c r="G138" s="544"/>
      <c r="H138" s="544"/>
      <c r="I138" s="544"/>
      <c r="J138" s="47"/>
      <c r="K138" s="551">
        <v>0.15</v>
      </c>
      <c r="L138" s="552"/>
      <c r="M138" s="551"/>
      <c r="N138" s="552"/>
      <c r="O138" s="551">
        <v>0.3</v>
      </c>
      <c r="P138" s="552"/>
      <c r="Q138" s="551"/>
      <c r="R138" s="552"/>
      <c r="S138" s="512">
        <v>1.7</v>
      </c>
      <c r="T138" s="509"/>
      <c r="U138" s="551"/>
      <c r="V138" s="552"/>
      <c r="W138" s="548">
        <f t="shared" si="12"/>
        <v>4.4999999999999998E-2</v>
      </c>
      <c r="X138" s="549"/>
      <c r="Y138" s="550"/>
      <c r="Z138" s="527">
        <f t="shared" si="13"/>
        <v>7.6499999999999999E-2</v>
      </c>
      <c r="AA138" s="528"/>
      <c r="AB138" s="529"/>
      <c r="AC138" s="35"/>
      <c r="AD138" s="36"/>
      <c r="AE138" s="37"/>
      <c r="AF138" s="35"/>
      <c r="AG138" s="36"/>
      <c r="AH138" s="38"/>
    </row>
    <row r="139" spans="1:35" ht="15.75">
      <c r="A139" s="507"/>
      <c r="B139" s="508"/>
      <c r="C139" s="509"/>
      <c r="D139" s="543" t="s">
        <v>766</v>
      </c>
      <c r="E139" s="544"/>
      <c r="F139" s="544"/>
      <c r="G139" s="544"/>
      <c r="H139" s="544"/>
      <c r="I139" s="544"/>
      <c r="J139" s="47"/>
      <c r="K139" s="551">
        <v>0.15</v>
      </c>
      <c r="L139" s="552"/>
      <c r="M139" s="551"/>
      <c r="N139" s="552"/>
      <c r="O139" s="551">
        <v>0.3</v>
      </c>
      <c r="P139" s="552"/>
      <c r="Q139" s="551"/>
      <c r="R139" s="552"/>
      <c r="S139" s="512">
        <f>11.81+8.84+12+6.85</f>
        <v>39.5</v>
      </c>
      <c r="T139" s="509"/>
      <c r="U139" s="551"/>
      <c r="V139" s="552"/>
      <c r="W139" s="548">
        <f t="shared" si="12"/>
        <v>4.4999999999999998E-2</v>
      </c>
      <c r="X139" s="549"/>
      <c r="Y139" s="550"/>
      <c r="Z139" s="527">
        <f t="shared" si="13"/>
        <v>1.7774999999999999</v>
      </c>
      <c r="AA139" s="528"/>
      <c r="AB139" s="529"/>
      <c r="AC139" s="35"/>
      <c r="AD139" s="36"/>
      <c r="AE139" s="37"/>
      <c r="AF139" s="35"/>
      <c r="AG139" s="36"/>
      <c r="AH139" s="38"/>
    </row>
    <row r="140" spans="1:35" ht="15.75">
      <c r="A140" s="507"/>
      <c r="B140" s="508"/>
      <c r="C140" s="509"/>
      <c r="D140" s="543" t="s">
        <v>767</v>
      </c>
      <c r="E140" s="544"/>
      <c r="F140" s="544"/>
      <c r="G140" s="544"/>
      <c r="H140" s="544"/>
      <c r="I140" s="544"/>
      <c r="J140" s="47"/>
      <c r="K140" s="551">
        <v>0.15</v>
      </c>
      <c r="L140" s="552"/>
      <c r="M140" s="551"/>
      <c r="N140" s="552"/>
      <c r="O140" s="551">
        <v>0.3</v>
      </c>
      <c r="P140" s="552"/>
      <c r="Q140" s="551"/>
      <c r="R140" s="552"/>
      <c r="S140" s="512">
        <v>4.24</v>
      </c>
      <c r="T140" s="509"/>
      <c r="U140" s="551"/>
      <c r="V140" s="552"/>
      <c r="W140" s="548">
        <f t="shared" si="12"/>
        <v>4.4999999999999998E-2</v>
      </c>
      <c r="X140" s="549"/>
      <c r="Y140" s="550"/>
      <c r="Z140" s="527">
        <f t="shared" si="13"/>
        <v>0.1908</v>
      </c>
      <c r="AA140" s="528"/>
      <c r="AB140" s="529"/>
      <c r="AC140" s="35"/>
      <c r="AD140" s="36"/>
      <c r="AE140" s="37"/>
      <c r="AF140" s="35"/>
      <c r="AG140" s="36"/>
      <c r="AH140" s="38"/>
    </row>
    <row r="141" spans="1:35" ht="15.75">
      <c r="A141" s="507"/>
      <c r="B141" s="508"/>
      <c r="C141" s="509"/>
      <c r="D141" s="543" t="s">
        <v>768</v>
      </c>
      <c r="E141" s="544"/>
      <c r="F141" s="544"/>
      <c r="G141" s="544"/>
      <c r="H141" s="544"/>
      <c r="I141" s="544"/>
      <c r="J141" s="47"/>
      <c r="K141" s="551">
        <v>0.15</v>
      </c>
      <c r="L141" s="552"/>
      <c r="M141" s="551"/>
      <c r="N141" s="552"/>
      <c r="O141" s="551">
        <v>0.3</v>
      </c>
      <c r="P141" s="552"/>
      <c r="Q141" s="551"/>
      <c r="R141" s="552"/>
      <c r="S141" s="512">
        <v>5.64</v>
      </c>
      <c r="T141" s="509"/>
      <c r="U141" s="551"/>
      <c r="V141" s="552"/>
      <c r="W141" s="548">
        <f t="shared" si="12"/>
        <v>4.4999999999999998E-2</v>
      </c>
      <c r="X141" s="549"/>
      <c r="Y141" s="550"/>
      <c r="Z141" s="527">
        <f t="shared" si="13"/>
        <v>0.25379999999999997</v>
      </c>
      <c r="AA141" s="528"/>
      <c r="AB141" s="529"/>
      <c r="AC141" s="35"/>
      <c r="AD141" s="36"/>
      <c r="AE141" s="37"/>
      <c r="AF141" s="35"/>
      <c r="AG141" s="36"/>
      <c r="AH141" s="38"/>
    </row>
    <row r="142" spans="1:35" ht="15.75">
      <c r="A142" s="507"/>
      <c r="B142" s="508"/>
      <c r="C142" s="509"/>
      <c r="D142" s="543" t="s">
        <v>769</v>
      </c>
      <c r="E142" s="544"/>
      <c r="F142" s="544"/>
      <c r="G142" s="544"/>
      <c r="H142" s="544"/>
      <c r="I142" s="544"/>
      <c r="J142" s="47"/>
      <c r="K142" s="512">
        <v>0.2</v>
      </c>
      <c r="L142" s="509"/>
      <c r="M142" s="512"/>
      <c r="N142" s="509"/>
      <c r="O142" s="551">
        <v>0.3</v>
      </c>
      <c r="P142" s="552"/>
      <c r="Q142" s="512"/>
      <c r="R142" s="509"/>
      <c r="S142" s="512">
        <f>11.81+9.24+12+6.41</f>
        <v>39.459999999999994</v>
      </c>
      <c r="T142" s="509"/>
      <c r="U142" s="512"/>
      <c r="V142" s="509"/>
      <c r="W142" s="548">
        <f t="shared" si="12"/>
        <v>0.06</v>
      </c>
      <c r="X142" s="549"/>
      <c r="Y142" s="550"/>
      <c r="Z142" s="527">
        <f t="shared" si="13"/>
        <v>2.3675999999999995</v>
      </c>
      <c r="AA142" s="528"/>
      <c r="AB142" s="529"/>
      <c r="AC142" s="35"/>
      <c r="AD142" s="36"/>
      <c r="AE142" s="37"/>
      <c r="AF142" s="35"/>
      <c r="AG142" s="36"/>
      <c r="AH142" s="38"/>
    </row>
    <row r="143" spans="1:35" ht="15.75">
      <c r="A143" s="507"/>
      <c r="B143" s="508"/>
      <c r="C143" s="509"/>
      <c r="D143" s="545" t="s">
        <v>770</v>
      </c>
      <c r="E143" s="546"/>
      <c r="F143" s="546"/>
      <c r="G143" s="546"/>
      <c r="H143" s="546"/>
      <c r="I143" s="547"/>
      <c r="J143" s="47"/>
      <c r="K143" s="551">
        <v>0.15</v>
      </c>
      <c r="L143" s="552"/>
      <c r="M143" s="551"/>
      <c r="N143" s="552"/>
      <c r="O143" s="551">
        <v>0.3</v>
      </c>
      <c r="P143" s="552"/>
      <c r="Q143" s="551"/>
      <c r="R143" s="552"/>
      <c r="S143" s="512">
        <f>10.61</f>
        <v>10.61</v>
      </c>
      <c r="T143" s="509"/>
      <c r="U143" s="551"/>
      <c r="V143" s="552"/>
      <c r="W143" s="548">
        <f t="shared" si="12"/>
        <v>4.4999999999999998E-2</v>
      </c>
      <c r="X143" s="549"/>
      <c r="Y143" s="550"/>
      <c r="Z143" s="527">
        <f t="shared" si="13"/>
        <v>0.47744999999999993</v>
      </c>
      <c r="AA143" s="528"/>
      <c r="AB143" s="529"/>
      <c r="AC143" s="35"/>
      <c r="AD143" s="36"/>
      <c r="AE143" s="37"/>
      <c r="AF143" s="35"/>
      <c r="AG143" s="36"/>
      <c r="AH143" s="38"/>
    </row>
    <row r="144" spans="1:35" ht="15.75">
      <c r="A144" s="507"/>
      <c r="B144" s="508"/>
      <c r="C144" s="509"/>
      <c r="D144" s="545" t="s">
        <v>771</v>
      </c>
      <c r="E144" s="546"/>
      <c r="F144" s="546"/>
      <c r="G144" s="546"/>
      <c r="H144" s="546"/>
      <c r="I144" s="547"/>
      <c r="J144" s="47"/>
      <c r="K144" s="551">
        <v>0.15</v>
      </c>
      <c r="L144" s="552"/>
      <c r="M144" s="551"/>
      <c r="N144" s="552"/>
      <c r="O144" s="551">
        <v>0.3</v>
      </c>
      <c r="P144" s="552"/>
      <c r="Q144" s="551"/>
      <c r="R144" s="552"/>
      <c r="S144" s="512">
        <f>11.89+12+12+3.96</f>
        <v>39.85</v>
      </c>
      <c r="T144" s="509"/>
      <c r="U144" s="551"/>
      <c r="V144" s="552"/>
      <c r="W144" s="548">
        <f t="shared" si="12"/>
        <v>4.4999999999999998E-2</v>
      </c>
      <c r="X144" s="549"/>
      <c r="Y144" s="550"/>
      <c r="Z144" s="527">
        <f t="shared" si="13"/>
        <v>1.79325</v>
      </c>
      <c r="AA144" s="528"/>
      <c r="AB144" s="529"/>
      <c r="AC144" s="35"/>
      <c r="AD144" s="36"/>
      <c r="AE144" s="37"/>
      <c r="AF144" s="35"/>
      <c r="AG144" s="36"/>
      <c r="AH144" s="38"/>
    </row>
    <row r="145" spans="1:34" ht="15.75">
      <c r="A145" s="507"/>
      <c r="B145" s="508"/>
      <c r="C145" s="509"/>
      <c r="D145" s="545" t="s">
        <v>772</v>
      </c>
      <c r="E145" s="546"/>
      <c r="F145" s="546"/>
      <c r="G145" s="546"/>
      <c r="H145" s="546"/>
      <c r="I145" s="547"/>
      <c r="J145" s="47"/>
      <c r="K145" s="551">
        <v>0.15</v>
      </c>
      <c r="L145" s="552"/>
      <c r="M145" s="551"/>
      <c r="N145" s="552"/>
      <c r="O145" s="551">
        <v>0.3</v>
      </c>
      <c r="P145" s="552"/>
      <c r="Q145" s="551"/>
      <c r="R145" s="552"/>
      <c r="S145" s="512">
        <v>10.62</v>
      </c>
      <c r="T145" s="509"/>
      <c r="U145" s="551"/>
      <c r="V145" s="552"/>
      <c r="W145" s="548">
        <f t="shared" si="12"/>
        <v>4.4999999999999998E-2</v>
      </c>
      <c r="X145" s="549"/>
      <c r="Y145" s="550"/>
      <c r="Z145" s="527">
        <f t="shared" si="13"/>
        <v>0.47789999999999994</v>
      </c>
      <c r="AA145" s="528"/>
      <c r="AB145" s="529"/>
      <c r="AC145" s="35"/>
      <c r="AD145" s="36"/>
      <c r="AE145" s="37"/>
      <c r="AF145" s="35"/>
      <c r="AG145" s="36"/>
      <c r="AH145" s="38"/>
    </row>
    <row r="146" spans="1:34" ht="15.75">
      <c r="A146" s="507"/>
      <c r="B146" s="508"/>
      <c r="C146" s="509"/>
      <c r="D146" s="545" t="s">
        <v>773</v>
      </c>
      <c r="E146" s="546"/>
      <c r="F146" s="546"/>
      <c r="G146" s="546"/>
      <c r="H146" s="546"/>
      <c r="I146" s="547"/>
      <c r="J146" s="47"/>
      <c r="K146" s="551">
        <v>0.15</v>
      </c>
      <c r="L146" s="552"/>
      <c r="M146" s="551"/>
      <c r="N146" s="552"/>
      <c r="O146" s="551">
        <v>0.3</v>
      </c>
      <c r="P146" s="552"/>
      <c r="Q146" s="551"/>
      <c r="R146" s="552"/>
      <c r="S146" s="512">
        <f>12+7.43</f>
        <v>19.43</v>
      </c>
      <c r="T146" s="509"/>
      <c r="U146" s="551"/>
      <c r="V146" s="552"/>
      <c r="W146" s="548">
        <f t="shared" si="12"/>
        <v>4.4999999999999998E-2</v>
      </c>
      <c r="X146" s="549"/>
      <c r="Y146" s="550"/>
      <c r="Z146" s="527">
        <f t="shared" si="13"/>
        <v>0.87434999999999996</v>
      </c>
      <c r="AA146" s="528"/>
      <c r="AB146" s="529"/>
      <c r="AC146" s="35"/>
      <c r="AD146" s="36"/>
      <c r="AE146" s="37"/>
      <c r="AF146" s="35"/>
      <c r="AG146" s="36"/>
      <c r="AH146" s="38"/>
    </row>
    <row r="147" spans="1:34" ht="15.75">
      <c r="A147" s="507"/>
      <c r="B147" s="508"/>
      <c r="C147" s="509"/>
      <c r="D147" s="545" t="s">
        <v>774</v>
      </c>
      <c r="E147" s="546"/>
      <c r="F147" s="546"/>
      <c r="G147" s="546"/>
      <c r="H147" s="546"/>
      <c r="I147" s="547"/>
      <c r="J147" s="47"/>
      <c r="K147" s="551">
        <v>0.15</v>
      </c>
      <c r="L147" s="552"/>
      <c r="M147" s="551"/>
      <c r="N147" s="552"/>
      <c r="O147" s="551">
        <v>0.3</v>
      </c>
      <c r="P147" s="552"/>
      <c r="Q147" s="551"/>
      <c r="R147" s="552"/>
      <c r="S147" s="512">
        <f>12+12+8.05</f>
        <v>32.049999999999997</v>
      </c>
      <c r="T147" s="509"/>
      <c r="U147" s="551"/>
      <c r="V147" s="552"/>
      <c r="W147" s="548">
        <f t="shared" si="12"/>
        <v>4.4999999999999998E-2</v>
      </c>
      <c r="X147" s="549"/>
      <c r="Y147" s="550"/>
      <c r="Z147" s="527">
        <f t="shared" si="13"/>
        <v>1.4422499999999998</v>
      </c>
      <c r="AA147" s="528"/>
      <c r="AB147" s="529"/>
      <c r="AC147" s="35"/>
      <c r="AD147" s="36"/>
      <c r="AE147" s="37"/>
      <c r="AF147" s="35"/>
      <c r="AG147" s="36"/>
      <c r="AH147" s="38"/>
    </row>
    <row r="148" spans="1:34" ht="15.75">
      <c r="A148" s="507"/>
      <c r="B148" s="508"/>
      <c r="C148" s="509"/>
      <c r="D148" s="545" t="s">
        <v>775</v>
      </c>
      <c r="E148" s="546"/>
      <c r="F148" s="546"/>
      <c r="G148" s="546"/>
      <c r="H148" s="546"/>
      <c r="I148" s="547"/>
      <c r="J148" s="47"/>
      <c r="K148" s="551">
        <v>0.15</v>
      </c>
      <c r="L148" s="552"/>
      <c r="M148" s="551"/>
      <c r="N148" s="552"/>
      <c r="O148" s="551">
        <v>0.3</v>
      </c>
      <c r="P148" s="552"/>
      <c r="Q148" s="551"/>
      <c r="R148" s="552"/>
      <c r="S148" s="512">
        <f>12+7.24</f>
        <v>19.240000000000002</v>
      </c>
      <c r="T148" s="509"/>
      <c r="U148" s="551"/>
      <c r="V148" s="552"/>
      <c r="W148" s="548">
        <f t="shared" si="12"/>
        <v>4.4999999999999998E-2</v>
      </c>
      <c r="X148" s="549"/>
      <c r="Y148" s="550"/>
      <c r="Z148" s="527">
        <f t="shared" si="13"/>
        <v>0.86580000000000001</v>
      </c>
      <c r="AA148" s="528"/>
      <c r="AB148" s="529"/>
      <c r="AC148" s="35"/>
      <c r="AD148" s="36"/>
      <c r="AE148" s="37"/>
      <c r="AF148" s="35"/>
      <c r="AG148" s="36"/>
      <c r="AH148" s="38"/>
    </row>
    <row r="149" spans="1:34" ht="15.75">
      <c r="A149" s="507"/>
      <c r="B149" s="508"/>
      <c r="C149" s="509"/>
      <c r="D149" s="545" t="s">
        <v>776</v>
      </c>
      <c r="E149" s="546"/>
      <c r="F149" s="546"/>
      <c r="G149" s="546"/>
      <c r="H149" s="546"/>
      <c r="I149" s="547"/>
      <c r="J149" s="47"/>
      <c r="K149" s="551">
        <v>0.15</v>
      </c>
      <c r="L149" s="552"/>
      <c r="M149" s="551"/>
      <c r="N149" s="552"/>
      <c r="O149" s="551">
        <v>0.3</v>
      </c>
      <c r="P149" s="552"/>
      <c r="Q149" s="551"/>
      <c r="R149" s="552"/>
      <c r="S149" s="512">
        <f>12+12+8.27</f>
        <v>32.269999999999996</v>
      </c>
      <c r="T149" s="509"/>
      <c r="U149" s="551"/>
      <c r="V149" s="552"/>
      <c r="W149" s="548">
        <f t="shared" si="12"/>
        <v>4.4999999999999998E-2</v>
      </c>
      <c r="X149" s="549"/>
      <c r="Y149" s="550"/>
      <c r="Z149" s="527">
        <f t="shared" si="13"/>
        <v>1.4521499999999998</v>
      </c>
      <c r="AA149" s="528"/>
      <c r="AB149" s="529"/>
      <c r="AC149" s="35"/>
      <c r="AD149" s="36"/>
      <c r="AE149" s="37"/>
      <c r="AF149" s="35"/>
      <c r="AG149" s="36"/>
      <c r="AH149" s="38"/>
    </row>
    <row r="150" spans="1:34" ht="15.75">
      <c r="A150" s="507"/>
      <c r="B150" s="508"/>
      <c r="C150" s="509"/>
      <c r="D150" s="545" t="s">
        <v>777</v>
      </c>
      <c r="E150" s="546"/>
      <c r="F150" s="546"/>
      <c r="G150" s="546"/>
      <c r="H150" s="546"/>
      <c r="I150" s="547"/>
      <c r="J150" s="47"/>
      <c r="K150" s="512">
        <v>0.15</v>
      </c>
      <c r="L150" s="509"/>
      <c r="M150" s="512"/>
      <c r="N150" s="509"/>
      <c r="O150" s="551">
        <v>0.4</v>
      </c>
      <c r="P150" s="552"/>
      <c r="Q150" s="512"/>
      <c r="R150" s="509"/>
      <c r="S150" s="512">
        <f>9.74</f>
        <v>9.74</v>
      </c>
      <c r="T150" s="509"/>
      <c r="U150" s="512"/>
      <c r="V150" s="509"/>
      <c r="W150" s="548">
        <f t="shared" si="12"/>
        <v>0.06</v>
      </c>
      <c r="X150" s="549"/>
      <c r="Y150" s="550"/>
      <c r="Z150" s="527">
        <f t="shared" si="13"/>
        <v>0.58440000000000003</v>
      </c>
      <c r="AA150" s="528"/>
      <c r="AB150" s="529"/>
      <c r="AC150" s="35"/>
      <c r="AD150" s="36"/>
      <c r="AE150" s="37"/>
      <c r="AF150" s="35"/>
      <c r="AG150" s="36"/>
      <c r="AH150" s="38"/>
    </row>
    <row r="151" spans="1:34" ht="15.75">
      <c r="A151" s="507"/>
      <c r="B151" s="508"/>
      <c r="C151" s="509"/>
      <c r="D151" s="545" t="s">
        <v>778</v>
      </c>
      <c r="E151" s="546"/>
      <c r="F151" s="546"/>
      <c r="G151" s="546"/>
      <c r="H151" s="546"/>
      <c r="I151" s="547"/>
      <c r="J151" s="47"/>
      <c r="K151" s="551">
        <v>0.2</v>
      </c>
      <c r="L151" s="552"/>
      <c r="M151" s="551"/>
      <c r="N151" s="552"/>
      <c r="O151" s="551">
        <v>0.4</v>
      </c>
      <c r="P151" s="552"/>
      <c r="Q151" s="551"/>
      <c r="R151" s="552"/>
      <c r="S151" s="512">
        <v>1.7</v>
      </c>
      <c r="T151" s="509"/>
      <c r="U151" s="551"/>
      <c r="V151" s="552"/>
      <c r="W151" s="548">
        <f t="shared" si="12"/>
        <v>8.0000000000000016E-2</v>
      </c>
      <c r="X151" s="549"/>
      <c r="Y151" s="550"/>
      <c r="Z151" s="527">
        <f t="shared" si="13"/>
        <v>0.13600000000000001</v>
      </c>
      <c r="AA151" s="528"/>
      <c r="AB151" s="529"/>
      <c r="AC151" s="35"/>
      <c r="AD151" s="36"/>
      <c r="AE151" s="37"/>
      <c r="AF151" s="35"/>
      <c r="AG151" s="36"/>
      <c r="AH151" s="38"/>
    </row>
    <row r="152" spans="1:34" ht="15.75">
      <c r="A152" s="507"/>
      <c r="B152" s="508"/>
      <c r="C152" s="509"/>
      <c r="D152" s="545" t="s">
        <v>779</v>
      </c>
      <c r="E152" s="546"/>
      <c r="F152" s="546"/>
      <c r="G152" s="546"/>
      <c r="H152" s="546"/>
      <c r="I152" s="547"/>
      <c r="J152" s="47"/>
      <c r="K152" s="551">
        <v>0.15</v>
      </c>
      <c r="L152" s="552"/>
      <c r="M152" s="551"/>
      <c r="N152" s="552"/>
      <c r="O152" s="551">
        <v>0.3</v>
      </c>
      <c r="P152" s="552"/>
      <c r="Q152" s="551"/>
      <c r="R152" s="552"/>
      <c r="S152" s="512">
        <v>10.61</v>
      </c>
      <c r="T152" s="509"/>
      <c r="U152" s="551"/>
      <c r="V152" s="552"/>
      <c r="W152" s="548">
        <f t="shared" si="12"/>
        <v>4.4999999999999998E-2</v>
      </c>
      <c r="X152" s="549"/>
      <c r="Y152" s="550"/>
      <c r="Z152" s="527">
        <f t="shared" si="13"/>
        <v>0.47744999999999993</v>
      </c>
      <c r="AA152" s="528"/>
      <c r="AB152" s="529"/>
      <c r="AC152" s="35"/>
      <c r="AD152" s="36"/>
      <c r="AE152" s="37"/>
      <c r="AF152" s="35"/>
      <c r="AG152" s="36"/>
      <c r="AH152" s="38"/>
    </row>
    <row r="153" spans="1:34" ht="15.75">
      <c r="A153" s="507"/>
      <c r="B153" s="508"/>
      <c r="C153" s="509"/>
      <c r="D153" s="545" t="s">
        <v>780</v>
      </c>
      <c r="E153" s="546"/>
      <c r="F153" s="546"/>
      <c r="G153" s="546"/>
      <c r="H153" s="546"/>
      <c r="I153" s="547"/>
      <c r="J153" s="47"/>
      <c r="K153" s="551">
        <v>0.15</v>
      </c>
      <c r="L153" s="552"/>
      <c r="M153" s="551"/>
      <c r="N153" s="552"/>
      <c r="O153" s="551">
        <v>0.3</v>
      </c>
      <c r="P153" s="552"/>
      <c r="Q153" s="551"/>
      <c r="R153" s="552"/>
      <c r="S153" s="512">
        <f>12+7.53</f>
        <v>19.53</v>
      </c>
      <c r="T153" s="509"/>
      <c r="U153" s="551"/>
      <c r="V153" s="552"/>
      <c r="W153" s="548">
        <f t="shared" si="12"/>
        <v>4.4999999999999998E-2</v>
      </c>
      <c r="X153" s="549"/>
      <c r="Y153" s="550"/>
      <c r="Z153" s="527">
        <f t="shared" si="13"/>
        <v>0.87885000000000002</v>
      </c>
      <c r="AA153" s="528"/>
      <c r="AB153" s="529"/>
      <c r="AC153" s="35"/>
      <c r="AD153" s="36"/>
      <c r="AE153" s="37"/>
      <c r="AF153" s="35"/>
      <c r="AG153" s="36"/>
      <c r="AH153" s="38"/>
    </row>
    <row r="154" spans="1:34" ht="15.75">
      <c r="A154" s="507"/>
      <c r="B154" s="508"/>
      <c r="C154" s="509"/>
      <c r="D154" s="545" t="s">
        <v>781</v>
      </c>
      <c r="E154" s="546"/>
      <c r="F154" s="546"/>
      <c r="G154" s="546"/>
      <c r="H154" s="546"/>
      <c r="I154" s="547"/>
      <c r="J154" s="47"/>
      <c r="K154" s="551">
        <v>0.15</v>
      </c>
      <c r="L154" s="552"/>
      <c r="M154" s="551"/>
      <c r="N154" s="552"/>
      <c r="O154" s="551">
        <v>0.3</v>
      </c>
      <c r="P154" s="552"/>
      <c r="Q154" s="551"/>
      <c r="R154" s="552"/>
      <c r="S154" s="512">
        <f>12+12+8.39</f>
        <v>32.39</v>
      </c>
      <c r="T154" s="509"/>
      <c r="U154" s="551"/>
      <c r="V154" s="552"/>
      <c r="W154" s="548">
        <f t="shared" si="12"/>
        <v>4.4999999999999998E-2</v>
      </c>
      <c r="X154" s="549"/>
      <c r="Y154" s="550"/>
      <c r="Z154" s="527">
        <f t="shared" si="13"/>
        <v>1.4575499999999999</v>
      </c>
      <c r="AA154" s="528"/>
      <c r="AB154" s="529"/>
      <c r="AC154" s="35"/>
      <c r="AD154" s="36"/>
      <c r="AE154" s="37"/>
      <c r="AF154" s="35"/>
      <c r="AG154" s="36"/>
      <c r="AH154" s="38"/>
    </row>
    <row r="155" spans="1:34" ht="15.75">
      <c r="A155" s="507"/>
      <c r="B155" s="508"/>
      <c r="C155" s="509"/>
      <c r="D155" s="545" t="s">
        <v>782</v>
      </c>
      <c r="E155" s="546"/>
      <c r="F155" s="546"/>
      <c r="G155" s="546"/>
      <c r="H155" s="546"/>
      <c r="I155" s="547"/>
      <c r="J155" s="47"/>
      <c r="K155" s="551">
        <v>0.15</v>
      </c>
      <c r="L155" s="552"/>
      <c r="M155" s="551"/>
      <c r="N155" s="552"/>
      <c r="O155" s="551">
        <v>0.3</v>
      </c>
      <c r="P155" s="552"/>
      <c r="Q155" s="551"/>
      <c r="R155" s="552"/>
      <c r="S155" s="512">
        <f>11.85+10.69+2.02</f>
        <v>24.56</v>
      </c>
      <c r="T155" s="509"/>
      <c r="U155" s="551"/>
      <c r="V155" s="552"/>
      <c r="W155" s="548">
        <f t="shared" si="12"/>
        <v>4.4999999999999998E-2</v>
      </c>
      <c r="X155" s="549"/>
      <c r="Y155" s="550"/>
      <c r="Z155" s="527">
        <f t="shared" si="13"/>
        <v>1.1052</v>
      </c>
      <c r="AA155" s="528"/>
      <c r="AB155" s="529"/>
      <c r="AC155" s="35"/>
      <c r="AD155" s="36"/>
      <c r="AE155" s="37"/>
      <c r="AF155" s="35"/>
      <c r="AG155" s="36"/>
      <c r="AH155" s="38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5:C125"/>
    <mergeCell ref="K125:L125"/>
    <mergeCell ref="M125:N125"/>
    <mergeCell ref="O125:P125"/>
    <mergeCell ref="Q125:R125"/>
    <mergeCell ref="U125:V125"/>
    <mergeCell ref="A123:C123"/>
    <mergeCell ref="K123:L123"/>
    <mergeCell ref="M123:N123"/>
    <mergeCell ref="O123:P123"/>
    <mergeCell ref="Q123:R123"/>
    <mergeCell ref="U123:V123"/>
    <mergeCell ref="A122:C122"/>
    <mergeCell ref="K122:L122"/>
    <mergeCell ref="M122:N122"/>
    <mergeCell ref="O122:P122"/>
    <mergeCell ref="Q122:R122"/>
    <mergeCell ref="U122:V122"/>
    <mergeCell ref="D122:I122"/>
    <mergeCell ref="S120:T120"/>
    <mergeCell ref="W123:Y123"/>
    <mergeCell ref="A124:C124"/>
    <mergeCell ref="K124:L124"/>
    <mergeCell ref="M124:N124"/>
    <mergeCell ref="O124:P124"/>
    <mergeCell ref="Q124:R124"/>
    <mergeCell ref="U124:V124"/>
    <mergeCell ref="A121:C121"/>
    <mergeCell ref="K121:L121"/>
    <mergeCell ref="M121:N121"/>
    <mergeCell ref="O121:P121"/>
    <mergeCell ref="Q121:R121"/>
    <mergeCell ref="A120:C120"/>
    <mergeCell ref="K120:L120"/>
    <mergeCell ref="M120:N120"/>
    <mergeCell ref="O120:P120"/>
    <mergeCell ref="Q120:R120"/>
    <mergeCell ref="U120:V120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19:Y119"/>
    <mergeCell ref="D118:I118"/>
    <mergeCell ref="S119:T119"/>
    <mergeCell ref="D119:I119"/>
    <mergeCell ref="A117:C117"/>
    <mergeCell ref="K117:L117"/>
    <mergeCell ref="M117:N117"/>
    <mergeCell ref="O117:P117"/>
    <mergeCell ref="Q117:R117"/>
    <mergeCell ref="U117:V117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5:Y115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AC72:AE7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Z119:AB119"/>
    <mergeCell ref="D120:I120"/>
    <mergeCell ref="S118:T118"/>
    <mergeCell ref="Z118:AB118"/>
    <mergeCell ref="M81:N81"/>
    <mergeCell ref="Z121:AB121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W112:Y112"/>
    <mergeCell ref="W116:Y116"/>
    <mergeCell ref="W120:Y120"/>
    <mergeCell ref="U121:V121"/>
    <mergeCell ref="W121:Y121"/>
    <mergeCell ref="W124:Y124"/>
    <mergeCell ref="S121:T121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D98:I98"/>
    <mergeCell ref="D97:I9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D61:I61"/>
    <mergeCell ref="Q62:R62"/>
    <mergeCell ref="S62:T62"/>
    <mergeCell ref="U62:V62"/>
    <mergeCell ref="W62:Y62"/>
    <mergeCell ref="Q58:R58"/>
    <mergeCell ref="S58:T58"/>
    <mergeCell ref="U58:V58"/>
    <mergeCell ref="W58:Y58"/>
    <mergeCell ref="A59:C59"/>
    <mergeCell ref="K59:L59"/>
    <mergeCell ref="M59:N59"/>
    <mergeCell ref="O59:P59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U60:V60"/>
    <mergeCell ref="W60:Y60"/>
    <mergeCell ref="Q53:R53"/>
    <mergeCell ref="S53:T53"/>
    <mergeCell ref="U53:V53"/>
    <mergeCell ref="W53:Y53"/>
    <mergeCell ref="A54:C54"/>
    <mergeCell ref="K54:L54"/>
    <mergeCell ref="M54:N54"/>
    <mergeCell ref="O54:P54"/>
    <mergeCell ref="D59:I59"/>
    <mergeCell ref="Q59:R59"/>
    <mergeCell ref="S59:T59"/>
    <mergeCell ref="U59:V59"/>
    <mergeCell ref="W59:Y59"/>
    <mergeCell ref="A60:C60"/>
    <mergeCell ref="K60:L60"/>
    <mergeCell ref="M60:N60"/>
    <mergeCell ref="O60:P60"/>
    <mergeCell ref="W55:Y55"/>
    <mergeCell ref="A56:C56"/>
    <mergeCell ref="K56:L56"/>
    <mergeCell ref="M56:N56"/>
    <mergeCell ref="O56:P56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Q78:R78"/>
    <mergeCell ref="O81:P81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K44:L44"/>
    <mergeCell ref="M44:N44"/>
    <mergeCell ref="O44:P44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I170"/>
  <sheetViews>
    <sheetView view="pageBreakPreview" topLeftCell="A150" zoomScaleSheetLayoutView="100" workbookViewId="0">
      <selection activeCell="J146" sqref="J146"/>
    </sheetView>
  </sheetViews>
  <sheetFormatPr defaultRowHeight="15"/>
  <cols>
    <col min="1" max="1" width="8.28515625" style="83" customWidth="1"/>
    <col min="2" max="2" width="36.7109375" style="83" customWidth="1"/>
    <col min="3" max="3" width="2.42578125" style="83" customWidth="1"/>
    <col min="4" max="6" width="5" style="83" customWidth="1"/>
    <col min="7" max="9" width="10" style="83" customWidth="1"/>
    <col min="10" max="16384" width="9.140625" style="83"/>
  </cols>
  <sheetData>
    <row r="1" spans="1:9" ht="126.95" customHeight="1">
      <c r="A1" s="573"/>
      <c r="B1" s="573"/>
      <c r="C1" s="573"/>
      <c r="D1" s="573"/>
      <c r="E1" s="573"/>
      <c r="F1" s="573"/>
      <c r="G1" s="573"/>
      <c r="H1" s="573"/>
      <c r="I1" s="573"/>
    </row>
    <row r="2" spans="1:9" ht="9.9499999999999993" customHeight="1">
      <c r="A2" s="84"/>
      <c r="B2" s="84"/>
      <c r="C2" s="84"/>
      <c r="D2" s="574"/>
      <c r="E2" s="574"/>
      <c r="F2" s="574"/>
      <c r="G2" s="84"/>
      <c r="H2" s="84"/>
      <c r="I2" s="84"/>
    </row>
    <row r="3" spans="1:9" ht="27" customHeight="1">
      <c r="A3" s="575" t="s">
        <v>876</v>
      </c>
      <c r="B3" s="575"/>
      <c r="C3" s="575"/>
      <c r="D3" s="575"/>
      <c r="E3" s="575"/>
      <c r="F3" s="575"/>
      <c r="G3" s="575"/>
      <c r="H3" s="575"/>
      <c r="I3" s="575"/>
    </row>
    <row r="4" spans="1:9" ht="15" customHeight="1">
      <c r="A4" s="571" t="s">
        <v>877</v>
      </c>
      <c r="B4" s="571"/>
      <c r="C4" s="571"/>
      <c r="D4" s="572" t="s">
        <v>3</v>
      </c>
      <c r="E4" s="572"/>
      <c r="F4" s="85" t="s">
        <v>878</v>
      </c>
      <c r="G4" s="85" t="s">
        <v>879</v>
      </c>
      <c r="H4" s="85" t="s">
        <v>880</v>
      </c>
      <c r="I4" s="85" t="s">
        <v>606</v>
      </c>
    </row>
    <row r="5" spans="1:9" ht="45" customHeight="1">
      <c r="A5" s="86" t="s">
        <v>881</v>
      </c>
      <c r="B5" s="568" t="s">
        <v>882</v>
      </c>
      <c r="C5" s="568"/>
      <c r="D5" s="569" t="s">
        <v>19</v>
      </c>
      <c r="E5" s="569"/>
      <c r="F5" s="86" t="s">
        <v>883</v>
      </c>
      <c r="G5" s="87">
        <v>4.9000000000000002E-2</v>
      </c>
      <c r="H5" s="88">
        <v>37.67</v>
      </c>
      <c r="I5" s="88">
        <v>1.84</v>
      </c>
    </row>
    <row r="6" spans="1:9" ht="45" customHeight="1">
      <c r="A6" s="86" t="s">
        <v>884</v>
      </c>
      <c r="B6" s="568" t="s">
        <v>885</v>
      </c>
      <c r="C6" s="568"/>
      <c r="D6" s="569" t="s">
        <v>19</v>
      </c>
      <c r="E6" s="569"/>
      <c r="F6" s="86" t="s">
        <v>886</v>
      </c>
      <c r="G6" s="87">
        <v>4.0599999999999997E-2</v>
      </c>
      <c r="H6" s="88">
        <v>102.41</v>
      </c>
      <c r="I6" s="88">
        <v>4.1500000000000004</v>
      </c>
    </row>
    <row r="7" spans="1:9" ht="15" customHeight="1">
      <c r="A7" s="84"/>
      <c r="B7" s="84"/>
      <c r="C7" s="84"/>
      <c r="D7" s="84"/>
      <c r="E7" s="84"/>
      <c r="F7" s="84"/>
      <c r="G7" s="570" t="s">
        <v>887</v>
      </c>
      <c r="H7" s="570"/>
      <c r="I7" s="89">
        <v>5.99</v>
      </c>
    </row>
    <row r="8" spans="1:9" ht="15" customHeight="1">
      <c r="A8" s="571" t="s">
        <v>888</v>
      </c>
      <c r="B8" s="571"/>
      <c r="C8" s="571"/>
      <c r="D8" s="572" t="s">
        <v>3</v>
      </c>
      <c r="E8" s="572"/>
      <c r="F8" s="85" t="s">
        <v>878</v>
      </c>
      <c r="G8" s="85" t="s">
        <v>879</v>
      </c>
      <c r="H8" s="85" t="s">
        <v>880</v>
      </c>
      <c r="I8" s="85" t="s">
        <v>606</v>
      </c>
    </row>
    <row r="9" spans="1:9" ht="15" customHeight="1">
      <c r="A9" s="86" t="s">
        <v>889</v>
      </c>
      <c r="B9" s="568" t="s">
        <v>890</v>
      </c>
      <c r="C9" s="568"/>
      <c r="D9" s="569" t="s">
        <v>19</v>
      </c>
      <c r="E9" s="569"/>
      <c r="F9" s="86" t="s">
        <v>798</v>
      </c>
      <c r="G9" s="87">
        <v>8.9599999999999999E-2</v>
      </c>
      <c r="H9" s="88">
        <v>13.94</v>
      </c>
      <c r="I9" s="88">
        <v>1.24</v>
      </c>
    </row>
    <row r="10" spans="1:9" ht="18" customHeight="1">
      <c r="A10" s="84"/>
      <c r="B10" s="84"/>
      <c r="C10" s="84"/>
      <c r="D10" s="84"/>
      <c r="E10" s="84"/>
      <c r="F10" s="84"/>
      <c r="G10" s="570" t="s">
        <v>891</v>
      </c>
      <c r="H10" s="570"/>
      <c r="I10" s="89">
        <v>1.24</v>
      </c>
    </row>
    <row r="11" spans="1:9" ht="15" customHeight="1">
      <c r="A11" s="84"/>
      <c r="B11" s="84"/>
      <c r="C11" s="84"/>
      <c r="D11" s="84"/>
      <c r="E11" s="84"/>
      <c r="F11" s="84"/>
      <c r="G11" s="576" t="s">
        <v>892</v>
      </c>
      <c r="H11" s="576"/>
      <c r="I11" s="90">
        <v>7.23</v>
      </c>
    </row>
    <row r="12" spans="1:9" ht="15" customHeight="1">
      <c r="A12" s="84"/>
      <c r="B12" s="84"/>
      <c r="C12" s="84"/>
      <c r="D12" s="84"/>
      <c r="E12" s="84"/>
      <c r="F12" s="84"/>
      <c r="G12" s="576" t="s">
        <v>1002</v>
      </c>
      <c r="H12" s="576"/>
      <c r="I12" s="90">
        <v>9.2100000000000009</v>
      </c>
    </row>
    <row r="13" spans="1:9" ht="15" customHeight="1">
      <c r="A13" s="84"/>
      <c r="B13" s="84"/>
      <c r="C13" s="84"/>
      <c r="D13" s="84"/>
      <c r="E13" s="84"/>
      <c r="F13" s="84"/>
      <c r="G13" s="576" t="s">
        <v>1001</v>
      </c>
      <c r="H13" s="576"/>
      <c r="I13" s="90">
        <f>'1º aditivo de valor'!J20</f>
        <v>7.0019276581350001</v>
      </c>
    </row>
    <row r="14" spans="1:9" ht="9.9499999999999993" customHeight="1">
      <c r="A14" s="84"/>
      <c r="B14" s="84"/>
      <c r="C14" s="84"/>
      <c r="D14" s="574"/>
      <c r="E14" s="574"/>
      <c r="F14" s="574"/>
      <c r="G14" s="84"/>
      <c r="H14" s="84"/>
      <c r="I14" s="84"/>
    </row>
    <row r="15" spans="1:9" ht="20.100000000000001" customHeight="1">
      <c r="A15" s="575" t="s">
        <v>893</v>
      </c>
      <c r="B15" s="575"/>
      <c r="C15" s="575"/>
      <c r="D15" s="575"/>
      <c r="E15" s="575"/>
      <c r="F15" s="575"/>
      <c r="G15" s="575"/>
      <c r="H15" s="575"/>
      <c r="I15" s="575"/>
    </row>
    <row r="16" spans="1:9" ht="12.95" customHeight="1">
      <c r="A16" s="577" t="s">
        <v>894</v>
      </c>
      <c r="B16" s="577"/>
      <c r="C16" s="578" t="s">
        <v>895</v>
      </c>
      <c r="D16" s="578"/>
      <c r="E16" s="579" t="s">
        <v>896</v>
      </c>
      <c r="F16" s="579"/>
      <c r="G16" s="579" t="s">
        <v>897</v>
      </c>
      <c r="H16" s="579"/>
      <c r="I16" s="579" t="s">
        <v>898</v>
      </c>
    </row>
    <row r="17" spans="1:9" ht="12" customHeight="1">
      <c r="A17" s="577"/>
      <c r="B17" s="577"/>
      <c r="C17" s="578"/>
      <c r="D17" s="578"/>
      <c r="E17" s="85" t="s">
        <v>899</v>
      </c>
      <c r="F17" s="85" t="s">
        <v>900</v>
      </c>
      <c r="G17" s="85" t="s">
        <v>899</v>
      </c>
      <c r="H17" s="85" t="s">
        <v>900</v>
      </c>
      <c r="I17" s="579"/>
    </row>
    <row r="18" spans="1:9" ht="15.95" customHeight="1">
      <c r="A18" s="91" t="s">
        <v>901</v>
      </c>
      <c r="B18" s="92" t="s">
        <v>902</v>
      </c>
      <c r="C18" s="583">
        <v>1</v>
      </c>
      <c r="D18" s="583"/>
      <c r="E18" s="93">
        <v>1</v>
      </c>
      <c r="F18" s="93">
        <v>0</v>
      </c>
      <c r="G18" s="94">
        <v>249.56</v>
      </c>
      <c r="H18" s="94">
        <v>17.75</v>
      </c>
      <c r="I18" s="94">
        <v>249.56</v>
      </c>
    </row>
    <row r="19" spans="1:9" ht="15" customHeight="1">
      <c r="A19" s="84"/>
      <c r="B19" s="84"/>
      <c r="C19" s="84"/>
      <c r="D19" s="84"/>
      <c r="E19" s="84"/>
      <c r="F19" s="84"/>
      <c r="G19" s="582" t="s">
        <v>903</v>
      </c>
      <c r="H19" s="582"/>
      <c r="I19" s="95">
        <v>249.56</v>
      </c>
    </row>
    <row r="20" spans="1:9" ht="20.100000000000001" customHeight="1">
      <c r="A20" s="580" t="s">
        <v>904</v>
      </c>
      <c r="B20" s="580"/>
      <c r="C20" s="580"/>
      <c r="D20" s="580"/>
      <c r="E20" s="580"/>
      <c r="F20" s="96" t="s">
        <v>878</v>
      </c>
      <c r="G20" s="96" t="s">
        <v>905</v>
      </c>
      <c r="H20" s="96" t="s">
        <v>906</v>
      </c>
      <c r="I20" s="96" t="s">
        <v>898</v>
      </c>
    </row>
    <row r="21" spans="1:9" ht="15" customHeight="1">
      <c r="A21" s="91" t="s">
        <v>907</v>
      </c>
      <c r="B21" s="584" t="s">
        <v>908</v>
      </c>
      <c r="C21" s="584"/>
      <c r="D21" s="584"/>
      <c r="E21" s="584"/>
      <c r="F21" s="91" t="s">
        <v>608</v>
      </c>
      <c r="G21" s="97">
        <v>0.3</v>
      </c>
      <c r="H21" s="98">
        <v>32.76</v>
      </c>
      <c r="I21" s="98">
        <v>9.83</v>
      </c>
    </row>
    <row r="22" spans="1:9" ht="15" customHeight="1">
      <c r="A22" s="91" t="s">
        <v>909</v>
      </c>
      <c r="B22" s="584" t="s">
        <v>910</v>
      </c>
      <c r="C22" s="584"/>
      <c r="D22" s="584"/>
      <c r="E22" s="584"/>
      <c r="F22" s="91" t="s">
        <v>608</v>
      </c>
      <c r="G22" s="97">
        <v>2</v>
      </c>
      <c r="H22" s="98">
        <v>10.55</v>
      </c>
      <c r="I22" s="98">
        <v>21.1</v>
      </c>
    </row>
    <row r="23" spans="1:9" ht="15" customHeight="1">
      <c r="A23" s="84"/>
      <c r="B23" s="84"/>
      <c r="C23" s="84"/>
      <c r="D23" s="84"/>
      <c r="E23" s="84"/>
      <c r="F23" s="84"/>
      <c r="G23" s="582" t="s">
        <v>911</v>
      </c>
      <c r="H23" s="582"/>
      <c r="I23" s="90">
        <v>30.93</v>
      </c>
    </row>
    <row r="24" spans="1:9" ht="15" customHeight="1">
      <c r="A24" s="84"/>
      <c r="B24" s="84"/>
      <c r="C24" s="84"/>
      <c r="D24" s="84"/>
      <c r="E24" s="84"/>
      <c r="F24" s="84"/>
      <c r="G24" s="576" t="s">
        <v>912</v>
      </c>
      <c r="H24" s="576"/>
      <c r="I24" s="94">
        <v>280.49</v>
      </c>
    </row>
    <row r="25" spans="1:9" ht="15" customHeight="1">
      <c r="A25" s="84"/>
      <c r="B25" s="84"/>
      <c r="C25" s="84"/>
      <c r="D25" s="84"/>
      <c r="E25" s="84"/>
      <c r="F25" s="84"/>
      <c r="G25" s="576" t="s">
        <v>913</v>
      </c>
      <c r="H25" s="576"/>
      <c r="I25" s="94">
        <v>32</v>
      </c>
    </row>
    <row r="26" spans="1:9" ht="15" customHeight="1">
      <c r="A26" s="84"/>
      <c r="B26" s="84"/>
      <c r="C26" s="84"/>
      <c r="D26" s="84"/>
      <c r="E26" s="84"/>
      <c r="F26" s="84"/>
      <c r="G26" s="576" t="s">
        <v>914</v>
      </c>
      <c r="H26" s="576"/>
      <c r="I26" s="94">
        <v>8.77</v>
      </c>
    </row>
    <row r="27" spans="1:9" ht="20.100000000000001" customHeight="1">
      <c r="A27" s="580" t="s">
        <v>915</v>
      </c>
      <c r="B27" s="580"/>
      <c r="C27" s="580"/>
      <c r="D27" s="580"/>
      <c r="E27" s="580"/>
      <c r="F27" s="96" t="s">
        <v>878</v>
      </c>
      <c r="G27" s="96" t="s">
        <v>905</v>
      </c>
      <c r="H27" s="96" t="s">
        <v>880</v>
      </c>
      <c r="I27" s="96" t="s">
        <v>916</v>
      </c>
    </row>
    <row r="28" spans="1:9" ht="15" customHeight="1">
      <c r="A28" s="91" t="s">
        <v>917</v>
      </c>
      <c r="B28" s="581" t="s">
        <v>918</v>
      </c>
      <c r="C28" s="581"/>
      <c r="D28" s="581"/>
      <c r="E28" s="581"/>
      <c r="F28" s="91" t="s">
        <v>608</v>
      </c>
      <c r="G28" s="99">
        <v>6.25E-2</v>
      </c>
      <c r="H28" s="98">
        <v>3.56</v>
      </c>
      <c r="I28" s="98">
        <v>0.22</v>
      </c>
    </row>
    <row r="29" spans="1:9" ht="15" customHeight="1">
      <c r="A29" s="84"/>
      <c r="B29" s="84"/>
      <c r="C29" s="84"/>
      <c r="D29" s="84"/>
      <c r="E29" s="84"/>
      <c r="F29" s="84"/>
      <c r="G29" s="582" t="s">
        <v>919</v>
      </c>
      <c r="H29" s="582"/>
      <c r="I29" s="90">
        <v>0.22</v>
      </c>
    </row>
    <row r="30" spans="1:9" ht="15" customHeight="1">
      <c r="A30" s="84"/>
      <c r="B30" s="84"/>
      <c r="C30" s="84"/>
      <c r="D30" s="84"/>
      <c r="E30" s="84"/>
      <c r="F30" s="84"/>
      <c r="G30" s="576" t="s">
        <v>920</v>
      </c>
      <c r="H30" s="576"/>
      <c r="I30" s="98">
        <v>8.99</v>
      </c>
    </row>
    <row r="31" spans="1:9" ht="15" customHeight="1">
      <c r="A31" s="84"/>
      <c r="B31" s="84"/>
      <c r="C31" s="84"/>
      <c r="D31" s="84"/>
      <c r="E31" s="84"/>
      <c r="F31" s="84"/>
      <c r="G31" s="576" t="s">
        <v>892</v>
      </c>
      <c r="H31" s="576"/>
      <c r="I31" s="90">
        <v>8.9700000000000006</v>
      </c>
    </row>
    <row r="32" spans="1:9" ht="15" customHeight="1">
      <c r="A32" s="84"/>
      <c r="B32" s="84"/>
      <c r="C32" s="84"/>
      <c r="D32" s="84"/>
      <c r="E32" s="84"/>
      <c r="F32" s="84"/>
      <c r="G32" s="576" t="s">
        <v>1002</v>
      </c>
      <c r="H32" s="576"/>
      <c r="I32" s="90">
        <v>11.42</v>
      </c>
    </row>
    <row r="33" spans="1:9" ht="15" customHeight="1">
      <c r="A33" s="84"/>
      <c r="B33" s="84"/>
      <c r="C33" s="84"/>
      <c r="D33" s="84"/>
      <c r="E33" s="84"/>
      <c r="F33" s="84"/>
      <c r="G33" s="576" t="s">
        <v>1001</v>
      </c>
      <c r="H33" s="576"/>
      <c r="I33" s="90" t="e">
        <f>'1º aditivo de valor'!#REF!</f>
        <v>#REF!</v>
      </c>
    </row>
    <row r="34" spans="1:9" ht="9.9499999999999993" customHeight="1">
      <c r="A34" s="84"/>
      <c r="B34" s="84"/>
      <c r="C34" s="84"/>
      <c r="D34" s="574"/>
      <c r="E34" s="574"/>
      <c r="F34" s="574"/>
      <c r="G34" s="84"/>
      <c r="H34" s="84"/>
      <c r="I34" s="84"/>
    </row>
    <row r="35" spans="1:9" ht="20.100000000000001" customHeight="1">
      <c r="A35" s="575" t="s">
        <v>921</v>
      </c>
      <c r="B35" s="575"/>
      <c r="C35" s="575"/>
      <c r="D35" s="575"/>
      <c r="E35" s="575"/>
      <c r="F35" s="575"/>
      <c r="G35" s="575"/>
      <c r="H35" s="575"/>
      <c r="I35" s="575"/>
    </row>
    <row r="36" spans="1:9" ht="15" customHeight="1">
      <c r="A36" s="571" t="s">
        <v>922</v>
      </c>
      <c r="B36" s="571"/>
      <c r="C36" s="571"/>
      <c r="D36" s="572" t="s">
        <v>3</v>
      </c>
      <c r="E36" s="572"/>
      <c r="F36" s="85" t="s">
        <v>878</v>
      </c>
      <c r="G36" s="85" t="s">
        <v>879</v>
      </c>
      <c r="H36" s="85" t="s">
        <v>880</v>
      </c>
      <c r="I36" s="85" t="s">
        <v>606</v>
      </c>
    </row>
    <row r="37" spans="1:9" ht="15" customHeight="1">
      <c r="A37" s="86" t="s">
        <v>923</v>
      </c>
      <c r="B37" s="568" t="s">
        <v>924</v>
      </c>
      <c r="C37" s="568"/>
      <c r="D37" s="569" t="s">
        <v>259</v>
      </c>
      <c r="E37" s="569"/>
      <c r="F37" s="86" t="s">
        <v>20</v>
      </c>
      <c r="G37" s="87">
        <v>1</v>
      </c>
      <c r="H37" s="100">
        <v>54.52</v>
      </c>
      <c r="I37" s="100">
        <v>54.52</v>
      </c>
    </row>
    <row r="38" spans="1:9" ht="15" customHeight="1">
      <c r="A38" s="84"/>
      <c r="B38" s="84"/>
      <c r="C38" s="84"/>
      <c r="D38" s="84"/>
      <c r="E38" s="84"/>
      <c r="F38" s="84"/>
      <c r="G38" s="570" t="s">
        <v>925</v>
      </c>
      <c r="H38" s="570"/>
      <c r="I38" s="101">
        <v>54.52</v>
      </c>
    </row>
    <row r="39" spans="1:9" ht="15" customHeight="1">
      <c r="A39" s="84"/>
      <c r="B39" s="84"/>
      <c r="C39" s="84"/>
      <c r="D39" s="84"/>
      <c r="E39" s="84"/>
      <c r="F39" s="84"/>
      <c r="G39" s="576" t="s">
        <v>892</v>
      </c>
      <c r="H39" s="576"/>
      <c r="I39" s="90">
        <v>54.52</v>
      </c>
    </row>
    <row r="40" spans="1:9" ht="15" customHeight="1">
      <c r="A40" s="84"/>
      <c r="B40" s="84"/>
      <c r="C40" s="84"/>
      <c r="D40" s="84"/>
      <c r="E40" s="84"/>
      <c r="F40" s="84"/>
      <c r="G40" s="576" t="s">
        <v>1002</v>
      </c>
      <c r="H40" s="576"/>
      <c r="I40" s="90">
        <v>69.430000000000007</v>
      </c>
    </row>
    <row r="41" spans="1:9" ht="15" customHeight="1">
      <c r="A41" s="84"/>
      <c r="B41" s="84"/>
      <c r="C41" s="84"/>
      <c r="D41" s="84"/>
      <c r="E41" s="84"/>
      <c r="F41" s="84"/>
      <c r="G41" s="576" t="s">
        <v>1001</v>
      </c>
      <c r="H41" s="576"/>
      <c r="I41" s="90">
        <f>'1º aditivo de valor'!J22</f>
        <v>52.800151579740003</v>
      </c>
    </row>
    <row r="42" spans="1:9" ht="9.9499999999999993" customHeight="1">
      <c r="A42" s="84"/>
      <c r="B42" s="84"/>
      <c r="C42" s="84"/>
      <c r="D42" s="574"/>
      <c r="E42" s="574"/>
      <c r="F42" s="574"/>
      <c r="G42" s="84"/>
      <c r="H42" s="84"/>
      <c r="I42" s="84"/>
    </row>
    <row r="43" spans="1:9" ht="20.100000000000001" customHeight="1">
      <c r="A43" s="575" t="s">
        <v>926</v>
      </c>
      <c r="B43" s="575"/>
      <c r="C43" s="575"/>
      <c r="D43" s="575"/>
      <c r="E43" s="575"/>
      <c r="F43" s="575"/>
      <c r="G43" s="575"/>
      <c r="H43" s="575"/>
      <c r="I43" s="575"/>
    </row>
    <row r="44" spans="1:9" ht="15" customHeight="1">
      <c r="A44" s="571" t="s">
        <v>877</v>
      </c>
      <c r="B44" s="571"/>
      <c r="C44" s="571"/>
      <c r="D44" s="572" t="s">
        <v>3</v>
      </c>
      <c r="E44" s="572"/>
      <c r="F44" s="85" t="s">
        <v>878</v>
      </c>
      <c r="G44" s="85" t="s">
        <v>879</v>
      </c>
      <c r="H44" s="85" t="s">
        <v>880</v>
      </c>
      <c r="I44" s="85" t="s">
        <v>606</v>
      </c>
    </row>
    <row r="45" spans="1:9" ht="29.1" customHeight="1">
      <c r="A45" s="86" t="s">
        <v>927</v>
      </c>
      <c r="B45" s="568" t="s">
        <v>928</v>
      </c>
      <c r="C45" s="568"/>
      <c r="D45" s="569" t="s">
        <v>19</v>
      </c>
      <c r="E45" s="569"/>
      <c r="F45" s="86" t="s">
        <v>883</v>
      </c>
      <c r="G45" s="87">
        <v>6.6600000000000006E-2</v>
      </c>
      <c r="H45" s="88">
        <v>15.46</v>
      </c>
      <c r="I45" s="88">
        <v>1.02</v>
      </c>
    </row>
    <row r="46" spans="1:9" ht="29.1" customHeight="1">
      <c r="A46" s="86" t="s">
        <v>929</v>
      </c>
      <c r="B46" s="568" t="s">
        <v>930</v>
      </c>
      <c r="C46" s="568"/>
      <c r="D46" s="569" t="s">
        <v>19</v>
      </c>
      <c r="E46" s="569"/>
      <c r="F46" s="86" t="s">
        <v>886</v>
      </c>
      <c r="G46" s="87">
        <v>7.1800000000000003E-2</v>
      </c>
      <c r="H46" s="88">
        <v>22.45</v>
      </c>
      <c r="I46" s="88">
        <v>1.61</v>
      </c>
    </row>
    <row r="47" spans="1:9" ht="15" customHeight="1">
      <c r="A47" s="84"/>
      <c r="B47" s="84"/>
      <c r="C47" s="84"/>
      <c r="D47" s="84"/>
      <c r="E47" s="84"/>
      <c r="F47" s="84"/>
      <c r="G47" s="570" t="s">
        <v>887</v>
      </c>
      <c r="H47" s="570"/>
      <c r="I47" s="89">
        <v>2.63</v>
      </c>
    </row>
    <row r="48" spans="1:9" ht="15" customHeight="1">
      <c r="A48" s="571" t="s">
        <v>922</v>
      </c>
      <c r="B48" s="571"/>
      <c r="C48" s="571"/>
      <c r="D48" s="572" t="s">
        <v>3</v>
      </c>
      <c r="E48" s="572"/>
      <c r="F48" s="85" t="s">
        <v>878</v>
      </c>
      <c r="G48" s="85" t="s">
        <v>879</v>
      </c>
      <c r="H48" s="85" t="s">
        <v>880</v>
      </c>
      <c r="I48" s="85" t="s">
        <v>606</v>
      </c>
    </row>
    <row r="49" spans="1:9" ht="20.100000000000001" customHeight="1">
      <c r="A49" s="86" t="s">
        <v>931</v>
      </c>
      <c r="B49" s="568" t="s">
        <v>932</v>
      </c>
      <c r="C49" s="568"/>
      <c r="D49" s="569" t="s">
        <v>19</v>
      </c>
      <c r="E49" s="569"/>
      <c r="F49" s="86" t="s">
        <v>29</v>
      </c>
      <c r="G49" s="87">
        <v>1.1000000000000001</v>
      </c>
      <c r="H49" s="88">
        <v>85</v>
      </c>
      <c r="I49" s="88">
        <v>93.5</v>
      </c>
    </row>
    <row r="50" spans="1:9" ht="15" customHeight="1">
      <c r="A50" s="84"/>
      <c r="B50" s="84"/>
      <c r="C50" s="84"/>
      <c r="D50" s="84"/>
      <c r="E50" s="84"/>
      <c r="F50" s="84"/>
      <c r="G50" s="570" t="s">
        <v>925</v>
      </c>
      <c r="H50" s="570"/>
      <c r="I50" s="89">
        <v>93.5</v>
      </c>
    </row>
    <row r="51" spans="1:9" ht="15" customHeight="1">
      <c r="A51" s="571" t="s">
        <v>888</v>
      </c>
      <c r="B51" s="571"/>
      <c r="C51" s="571"/>
      <c r="D51" s="572" t="s">
        <v>3</v>
      </c>
      <c r="E51" s="572"/>
      <c r="F51" s="85" t="s">
        <v>878</v>
      </c>
      <c r="G51" s="85" t="s">
        <v>879</v>
      </c>
      <c r="H51" s="85" t="s">
        <v>880</v>
      </c>
      <c r="I51" s="85" t="s">
        <v>606</v>
      </c>
    </row>
    <row r="52" spans="1:9" ht="15" customHeight="1">
      <c r="A52" s="86" t="s">
        <v>933</v>
      </c>
      <c r="B52" s="568" t="s">
        <v>934</v>
      </c>
      <c r="C52" s="568"/>
      <c r="D52" s="569" t="s">
        <v>19</v>
      </c>
      <c r="E52" s="569"/>
      <c r="F52" s="86" t="s">
        <v>798</v>
      </c>
      <c r="G52" s="87">
        <v>2.0219</v>
      </c>
      <c r="H52" s="88">
        <v>17.59</v>
      </c>
      <c r="I52" s="88">
        <v>35.56</v>
      </c>
    </row>
    <row r="53" spans="1:9" ht="15" customHeight="1">
      <c r="A53" s="86" t="s">
        <v>889</v>
      </c>
      <c r="B53" s="568" t="s">
        <v>890</v>
      </c>
      <c r="C53" s="568"/>
      <c r="D53" s="569" t="s">
        <v>19</v>
      </c>
      <c r="E53" s="569"/>
      <c r="F53" s="86" t="s">
        <v>798</v>
      </c>
      <c r="G53" s="87">
        <v>3.0329000000000002</v>
      </c>
      <c r="H53" s="88">
        <v>13.94</v>
      </c>
      <c r="I53" s="88">
        <v>42.27</v>
      </c>
    </row>
    <row r="54" spans="1:9" ht="18" customHeight="1">
      <c r="A54" s="84"/>
      <c r="B54" s="84"/>
      <c r="C54" s="84"/>
      <c r="D54" s="84"/>
      <c r="E54" s="84"/>
      <c r="F54" s="84"/>
      <c r="G54" s="570" t="s">
        <v>891</v>
      </c>
      <c r="H54" s="570"/>
      <c r="I54" s="89">
        <v>77.83</v>
      </c>
    </row>
    <row r="55" spans="1:9" ht="15" customHeight="1">
      <c r="A55" s="84"/>
      <c r="B55" s="84"/>
      <c r="C55" s="84"/>
      <c r="D55" s="84"/>
      <c r="E55" s="84"/>
      <c r="F55" s="84"/>
      <c r="G55" s="576" t="s">
        <v>892</v>
      </c>
      <c r="H55" s="576"/>
      <c r="I55" s="90">
        <v>173.96</v>
      </c>
    </row>
    <row r="56" spans="1:9" ht="15" customHeight="1">
      <c r="A56" s="84"/>
      <c r="B56" s="84"/>
      <c r="C56" s="84"/>
      <c r="D56" s="84"/>
      <c r="E56" s="84"/>
      <c r="F56" s="84"/>
      <c r="G56" s="576" t="s">
        <v>1002</v>
      </c>
      <c r="H56" s="576"/>
      <c r="I56" s="90">
        <v>221.54</v>
      </c>
    </row>
    <row r="57" spans="1:9" ht="15" customHeight="1">
      <c r="A57" s="84"/>
      <c r="B57" s="84"/>
      <c r="C57" s="84"/>
      <c r="D57" s="84"/>
      <c r="E57" s="84"/>
      <c r="F57" s="84"/>
      <c r="G57" s="576" t="s">
        <v>1001</v>
      </c>
      <c r="H57" s="576"/>
      <c r="I57" s="90">
        <f>'1º aditivo de valor'!J23</f>
        <v>0</v>
      </c>
    </row>
    <row r="58" spans="1:9" ht="9.9499999999999993" customHeight="1">
      <c r="A58" s="84"/>
      <c r="B58" s="84"/>
      <c r="C58" s="84"/>
      <c r="D58" s="574"/>
      <c r="E58" s="574"/>
      <c r="F58" s="574"/>
      <c r="G58" s="84"/>
      <c r="H58" s="84"/>
      <c r="I58" s="84"/>
    </row>
    <row r="59" spans="1:9" ht="20.100000000000001" customHeight="1">
      <c r="A59" s="575" t="s">
        <v>935</v>
      </c>
      <c r="B59" s="575"/>
      <c r="C59" s="575"/>
      <c r="D59" s="575"/>
      <c r="E59" s="575"/>
      <c r="F59" s="575"/>
      <c r="G59" s="575"/>
      <c r="H59" s="575"/>
      <c r="I59" s="575"/>
    </row>
    <row r="60" spans="1:9" ht="15" customHeight="1">
      <c r="A60" s="571" t="s">
        <v>936</v>
      </c>
      <c r="B60" s="571"/>
      <c r="C60" s="571"/>
      <c r="D60" s="572" t="s">
        <v>3</v>
      </c>
      <c r="E60" s="572"/>
      <c r="F60" s="85" t="s">
        <v>878</v>
      </c>
      <c r="G60" s="85" t="s">
        <v>879</v>
      </c>
      <c r="H60" s="85" t="s">
        <v>880</v>
      </c>
      <c r="I60" s="85" t="s">
        <v>606</v>
      </c>
    </row>
    <row r="61" spans="1:9" ht="15" customHeight="1">
      <c r="A61" s="86" t="s">
        <v>937</v>
      </c>
      <c r="B61" s="568" t="s">
        <v>938</v>
      </c>
      <c r="C61" s="568"/>
      <c r="D61" s="569" t="s">
        <v>10</v>
      </c>
      <c r="E61" s="569"/>
      <c r="F61" s="86" t="s">
        <v>608</v>
      </c>
      <c r="G61" s="87">
        <v>2.98E-2</v>
      </c>
      <c r="H61" s="88">
        <v>3.44</v>
      </c>
      <c r="I61" s="88">
        <v>0.1</v>
      </c>
    </row>
    <row r="62" spans="1:9" ht="15" customHeight="1">
      <c r="A62" s="86" t="s">
        <v>917</v>
      </c>
      <c r="B62" s="568" t="s">
        <v>918</v>
      </c>
      <c r="C62" s="568"/>
      <c r="D62" s="569" t="s">
        <v>10</v>
      </c>
      <c r="E62" s="569"/>
      <c r="F62" s="86" t="s">
        <v>608</v>
      </c>
      <c r="G62" s="87">
        <v>2.98E-2</v>
      </c>
      <c r="H62" s="88">
        <v>3.56</v>
      </c>
      <c r="I62" s="88">
        <v>0.11</v>
      </c>
    </row>
    <row r="63" spans="1:9" ht="15" customHeight="1">
      <c r="A63" s="84"/>
      <c r="B63" s="84"/>
      <c r="C63" s="84"/>
      <c r="D63" s="84"/>
      <c r="E63" s="84"/>
      <c r="F63" s="84"/>
      <c r="G63" s="570" t="s">
        <v>939</v>
      </c>
      <c r="H63" s="570"/>
      <c r="I63" s="89">
        <v>0.21</v>
      </c>
    </row>
    <row r="64" spans="1:9" ht="15" customHeight="1">
      <c r="A64" s="571" t="s">
        <v>940</v>
      </c>
      <c r="B64" s="571"/>
      <c r="C64" s="571"/>
      <c r="D64" s="572" t="s">
        <v>3</v>
      </c>
      <c r="E64" s="572"/>
      <c r="F64" s="85" t="s">
        <v>878</v>
      </c>
      <c r="G64" s="85" t="s">
        <v>879</v>
      </c>
      <c r="H64" s="85" t="s">
        <v>880</v>
      </c>
      <c r="I64" s="85" t="s">
        <v>606</v>
      </c>
    </row>
    <row r="65" spans="1:9" ht="15" customHeight="1">
      <c r="A65" s="86" t="s">
        <v>941</v>
      </c>
      <c r="B65" s="568" t="s">
        <v>942</v>
      </c>
      <c r="C65" s="568"/>
      <c r="D65" s="569" t="s">
        <v>10</v>
      </c>
      <c r="E65" s="569"/>
      <c r="F65" s="86" t="s">
        <v>608</v>
      </c>
      <c r="G65" s="87">
        <v>0.125</v>
      </c>
      <c r="H65" s="88">
        <v>3.5</v>
      </c>
      <c r="I65" s="88">
        <v>0.44</v>
      </c>
    </row>
    <row r="66" spans="1:9" ht="15" customHeight="1">
      <c r="A66" s="84"/>
      <c r="B66" s="84"/>
      <c r="C66" s="84"/>
      <c r="D66" s="84"/>
      <c r="E66" s="84"/>
      <c r="F66" s="84"/>
      <c r="G66" s="570" t="s">
        <v>943</v>
      </c>
      <c r="H66" s="570"/>
      <c r="I66" s="89">
        <v>0.44</v>
      </c>
    </row>
    <row r="67" spans="1:9" ht="15" customHeight="1">
      <c r="A67" s="571" t="s">
        <v>944</v>
      </c>
      <c r="B67" s="571"/>
      <c r="C67" s="571"/>
      <c r="D67" s="572" t="s">
        <v>3</v>
      </c>
      <c r="E67" s="572"/>
      <c r="F67" s="85" t="s">
        <v>878</v>
      </c>
      <c r="G67" s="85" t="s">
        <v>879</v>
      </c>
      <c r="H67" s="85" t="s">
        <v>880</v>
      </c>
      <c r="I67" s="85" t="s">
        <v>606</v>
      </c>
    </row>
    <row r="68" spans="1:9" ht="15" customHeight="1">
      <c r="A68" s="86" t="s">
        <v>945</v>
      </c>
      <c r="B68" s="568" t="s">
        <v>946</v>
      </c>
      <c r="C68" s="568"/>
      <c r="D68" s="569" t="s">
        <v>10</v>
      </c>
      <c r="E68" s="569"/>
      <c r="F68" s="86" t="s">
        <v>608</v>
      </c>
      <c r="G68" s="87">
        <v>2.98E-2</v>
      </c>
      <c r="H68" s="88">
        <v>13.99</v>
      </c>
      <c r="I68" s="88">
        <v>0.42</v>
      </c>
    </row>
    <row r="69" spans="1:9" ht="15" customHeight="1">
      <c r="A69" s="86" t="s">
        <v>947</v>
      </c>
      <c r="B69" s="568" t="s">
        <v>948</v>
      </c>
      <c r="C69" s="568"/>
      <c r="D69" s="569" t="s">
        <v>10</v>
      </c>
      <c r="E69" s="569"/>
      <c r="F69" s="86" t="s">
        <v>608</v>
      </c>
      <c r="G69" s="87">
        <v>6.0000000000000001E-3</v>
      </c>
      <c r="H69" s="88">
        <v>17.96</v>
      </c>
      <c r="I69" s="88">
        <v>0.11</v>
      </c>
    </row>
    <row r="70" spans="1:9" ht="15" customHeight="1">
      <c r="A70" s="86" t="s">
        <v>909</v>
      </c>
      <c r="B70" s="568" t="s">
        <v>910</v>
      </c>
      <c r="C70" s="568"/>
      <c r="D70" s="569" t="s">
        <v>10</v>
      </c>
      <c r="E70" s="569"/>
      <c r="F70" s="86" t="s">
        <v>608</v>
      </c>
      <c r="G70" s="87">
        <v>2.98E-2</v>
      </c>
      <c r="H70" s="88">
        <v>10.55</v>
      </c>
      <c r="I70" s="88">
        <v>0.31</v>
      </c>
    </row>
    <row r="71" spans="1:9" ht="15" customHeight="1">
      <c r="A71" s="84"/>
      <c r="B71" s="84"/>
      <c r="C71" s="84"/>
      <c r="D71" s="84"/>
      <c r="E71" s="84"/>
      <c r="F71" s="84"/>
      <c r="G71" s="570" t="s">
        <v>949</v>
      </c>
      <c r="H71" s="570"/>
      <c r="I71" s="89">
        <v>0.84</v>
      </c>
    </row>
    <row r="72" spans="1:9" ht="15" customHeight="1">
      <c r="A72" s="84"/>
      <c r="B72" s="84"/>
      <c r="C72" s="84"/>
      <c r="D72" s="84"/>
      <c r="E72" s="84"/>
      <c r="F72" s="84"/>
      <c r="G72" s="576" t="s">
        <v>892</v>
      </c>
      <c r="H72" s="576"/>
      <c r="I72" s="90">
        <v>1.47</v>
      </c>
    </row>
    <row r="73" spans="1:9" ht="15" customHeight="1">
      <c r="A73" s="84"/>
      <c r="B73" s="84"/>
      <c r="C73" s="84"/>
      <c r="D73" s="84"/>
      <c r="E73" s="84"/>
      <c r="F73" s="84"/>
      <c r="G73" s="576" t="s">
        <v>1002</v>
      </c>
      <c r="H73" s="576"/>
      <c r="I73" s="90">
        <v>1.87</v>
      </c>
    </row>
    <row r="74" spans="1:9" ht="15" customHeight="1">
      <c r="A74" s="84"/>
      <c r="B74" s="84"/>
      <c r="C74" s="84"/>
      <c r="D74" s="84"/>
      <c r="E74" s="84"/>
      <c r="F74" s="84"/>
      <c r="G74" s="576" t="s">
        <v>1001</v>
      </c>
      <c r="H74" s="576"/>
      <c r="I74" s="90" t="e">
        <f>'1º aditivo de valor'!#REF!</f>
        <v>#REF!</v>
      </c>
    </row>
    <row r="75" spans="1:9" ht="9.9499999999999993" customHeight="1">
      <c r="A75" s="84"/>
      <c r="B75" s="84"/>
      <c r="C75" s="84"/>
      <c r="D75" s="574"/>
      <c r="E75" s="574"/>
      <c r="F75" s="574"/>
      <c r="G75" s="84"/>
      <c r="H75" s="84"/>
      <c r="I75" s="84"/>
    </row>
    <row r="76" spans="1:9" ht="20.100000000000001" customHeight="1">
      <c r="A76" s="575" t="s">
        <v>950</v>
      </c>
      <c r="B76" s="575"/>
      <c r="C76" s="575"/>
      <c r="D76" s="575"/>
      <c r="E76" s="575"/>
      <c r="F76" s="575"/>
      <c r="G76" s="575"/>
      <c r="H76" s="575"/>
      <c r="I76" s="575"/>
    </row>
    <row r="77" spans="1:9" ht="15" customHeight="1">
      <c r="A77" s="571" t="s">
        <v>936</v>
      </c>
      <c r="B77" s="571"/>
      <c r="C77" s="571"/>
      <c r="D77" s="572" t="s">
        <v>3</v>
      </c>
      <c r="E77" s="572"/>
      <c r="F77" s="85" t="s">
        <v>878</v>
      </c>
      <c r="G77" s="85" t="s">
        <v>879</v>
      </c>
      <c r="H77" s="85" t="s">
        <v>880</v>
      </c>
      <c r="I77" s="85" t="s">
        <v>606</v>
      </c>
    </row>
    <row r="78" spans="1:9" ht="15" customHeight="1">
      <c r="A78" s="86" t="s">
        <v>951</v>
      </c>
      <c r="B78" s="568" t="s">
        <v>952</v>
      </c>
      <c r="C78" s="568"/>
      <c r="D78" s="569" t="s">
        <v>10</v>
      </c>
      <c r="E78" s="569"/>
      <c r="F78" s="86" t="s">
        <v>608</v>
      </c>
      <c r="G78" s="87">
        <v>0.4</v>
      </c>
      <c r="H78" s="88">
        <v>3.64</v>
      </c>
      <c r="I78" s="88">
        <v>1.46</v>
      </c>
    </row>
    <row r="79" spans="1:9" ht="15" customHeight="1">
      <c r="A79" s="86" t="s">
        <v>917</v>
      </c>
      <c r="B79" s="568" t="s">
        <v>918</v>
      </c>
      <c r="C79" s="568"/>
      <c r="D79" s="569" t="s">
        <v>10</v>
      </c>
      <c r="E79" s="569"/>
      <c r="F79" s="86" t="s">
        <v>608</v>
      </c>
      <c r="G79" s="87">
        <v>0.2</v>
      </c>
      <c r="H79" s="88">
        <v>3.56</v>
      </c>
      <c r="I79" s="88">
        <v>0.71</v>
      </c>
    </row>
    <row r="80" spans="1:9" ht="15" customHeight="1">
      <c r="A80" s="84"/>
      <c r="B80" s="84"/>
      <c r="C80" s="84"/>
      <c r="D80" s="84"/>
      <c r="E80" s="84"/>
      <c r="F80" s="84"/>
      <c r="G80" s="570" t="s">
        <v>939</v>
      </c>
      <c r="H80" s="570"/>
      <c r="I80" s="89">
        <v>2.17</v>
      </c>
    </row>
    <row r="81" spans="1:9" ht="15" customHeight="1">
      <c r="A81" s="571" t="s">
        <v>922</v>
      </c>
      <c r="B81" s="571"/>
      <c r="C81" s="571"/>
      <c r="D81" s="572" t="s">
        <v>3</v>
      </c>
      <c r="E81" s="572"/>
      <c r="F81" s="85" t="s">
        <v>878</v>
      </c>
      <c r="G81" s="85" t="s">
        <v>879</v>
      </c>
      <c r="H81" s="85" t="s">
        <v>880</v>
      </c>
      <c r="I81" s="85" t="s">
        <v>606</v>
      </c>
    </row>
    <row r="82" spans="1:9" ht="20.100000000000001" customHeight="1">
      <c r="A82" s="86" t="s">
        <v>953</v>
      </c>
      <c r="B82" s="568" t="s">
        <v>954</v>
      </c>
      <c r="C82" s="568"/>
      <c r="D82" s="569" t="s">
        <v>10</v>
      </c>
      <c r="E82" s="569"/>
      <c r="F82" s="86" t="s">
        <v>955</v>
      </c>
      <c r="G82" s="87">
        <v>0.5</v>
      </c>
      <c r="H82" s="88">
        <v>23.73</v>
      </c>
      <c r="I82" s="88">
        <v>11.87</v>
      </c>
    </row>
    <row r="83" spans="1:9" ht="15" customHeight="1">
      <c r="A83" s="84"/>
      <c r="B83" s="84"/>
      <c r="C83" s="84"/>
      <c r="D83" s="84"/>
      <c r="E83" s="84"/>
      <c r="F83" s="84"/>
      <c r="G83" s="570" t="s">
        <v>925</v>
      </c>
      <c r="H83" s="570"/>
      <c r="I83" s="89">
        <v>11.87</v>
      </c>
    </row>
    <row r="84" spans="1:9" ht="15" customHeight="1">
      <c r="A84" s="571" t="s">
        <v>944</v>
      </c>
      <c r="B84" s="571"/>
      <c r="C84" s="571"/>
      <c r="D84" s="572" t="s">
        <v>3</v>
      </c>
      <c r="E84" s="572"/>
      <c r="F84" s="85" t="s">
        <v>878</v>
      </c>
      <c r="G84" s="85" t="s">
        <v>879</v>
      </c>
      <c r="H84" s="85" t="s">
        <v>880</v>
      </c>
      <c r="I84" s="85" t="s">
        <v>606</v>
      </c>
    </row>
    <row r="85" spans="1:9" ht="15" customHeight="1">
      <c r="A85" s="86" t="s">
        <v>956</v>
      </c>
      <c r="B85" s="568" t="s">
        <v>957</v>
      </c>
      <c r="C85" s="568"/>
      <c r="D85" s="569" t="s">
        <v>10</v>
      </c>
      <c r="E85" s="569"/>
      <c r="F85" s="86" t="s">
        <v>608</v>
      </c>
      <c r="G85" s="87">
        <v>0.4</v>
      </c>
      <c r="H85" s="88">
        <v>13.99</v>
      </c>
      <c r="I85" s="88">
        <v>5.6</v>
      </c>
    </row>
    <row r="86" spans="1:9" ht="15" customHeight="1">
      <c r="A86" s="86" t="s">
        <v>909</v>
      </c>
      <c r="B86" s="568" t="s">
        <v>910</v>
      </c>
      <c r="C86" s="568"/>
      <c r="D86" s="569" t="s">
        <v>10</v>
      </c>
      <c r="E86" s="569"/>
      <c r="F86" s="86" t="s">
        <v>608</v>
      </c>
      <c r="G86" s="87">
        <v>0.2</v>
      </c>
      <c r="H86" s="88">
        <v>10.55</v>
      </c>
      <c r="I86" s="88">
        <v>2.11</v>
      </c>
    </row>
    <row r="87" spans="1:9" ht="15" customHeight="1">
      <c r="A87" s="84"/>
      <c r="B87" s="84"/>
      <c r="C87" s="84"/>
      <c r="D87" s="84"/>
      <c r="E87" s="84"/>
      <c r="F87" s="84"/>
      <c r="G87" s="570" t="s">
        <v>949</v>
      </c>
      <c r="H87" s="570"/>
      <c r="I87" s="89">
        <v>7.71</v>
      </c>
    </row>
    <row r="88" spans="1:9" ht="15" customHeight="1">
      <c r="A88" s="84"/>
      <c r="B88" s="84"/>
      <c r="C88" s="84"/>
      <c r="D88" s="84"/>
      <c r="E88" s="84"/>
      <c r="F88" s="84"/>
      <c r="G88" s="576" t="s">
        <v>892</v>
      </c>
      <c r="H88" s="576"/>
      <c r="I88" s="90">
        <v>21.73</v>
      </c>
    </row>
    <row r="89" spans="1:9" ht="15" customHeight="1">
      <c r="A89" s="84"/>
      <c r="B89" s="84"/>
      <c r="C89" s="84"/>
      <c r="D89" s="84"/>
      <c r="E89" s="84"/>
      <c r="F89" s="84"/>
      <c r="G89" s="576" t="s">
        <v>1002</v>
      </c>
      <c r="H89" s="576"/>
      <c r="I89" s="90">
        <v>27.67</v>
      </c>
    </row>
    <row r="90" spans="1:9" ht="15" customHeight="1">
      <c r="A90" s="84"/>
      <c r="B90" s="84"/>
      <c r="C90" s="84"/>
      <c r="D90" s="84"/>
      <c r="E90" s="84"/>
      <c r="F90" s="84"/>
      <c r="G90" s="576" t="s">
        <v>1001</v>
      </c>
      <c r="H90" s="576"/>
      <c r="I90" s="90">
        <f>'1º aditivo de valor'!J35</f>
        <v>26.20638484497</v>
      </c>
    </row>
    <row r="91" spans="1:9" ht="9.9499999999999993" customHeight="1">
      <c r="A91" s="84"/>
      <c r="B91" s="84"/>
      <c r="C91" s="84"/>
      <c r="D91" s="574"/>
      <c r="E91" s="574"/>
      <c r="F91" s="574"/>
      <c r="G91" s="84"/>
      <c r="H91" s="84"/>
      <c r="I91" s="84"/>
    </row>
    <row r="92" spans="1:9" ht="27" customHeight="1">
      <c r="A92" s="575" t="s">
        <v>958</v>
      </c>
      <c r="B92" s="575"/>
      <c r="C92" s="575"/>
      <c r="D92" s="575"/>
      <c r="E92" s="575"/>
      <c r="F92" s="575"/>
      <c r="G92" s="575"/>
      <c r="H92" s="575"/>
      <c r="I92" s="575"/>
    </row>
    <row r="93" spans="1:9" ht="15" customHeight="1">
      <c r="A93" s="571" t="s">
        <v>959</v>
      </c>
      <c r="B93" s="571"/>
      <c r="C93" s="571"/>
      <c r="D93" s="572" t="s">
        <v>3</v>
      </c>
      <c r="E93" s="572"/>
      <c r="F93" s="85" t="s">
        <v>878</v>
      </c>
      <c r="G93" s="85" t="s">
        <v>879</v>
      </c>
      <c r="H93" s="85" t="s">
        <v>880</v>
      </c>
      <c r="I93" s="85" t="s">
        <v>606</v>
      </c>
    </row>
    <row r="94" spans="1:9" ht="45" customHeight="1">
      <c r="A94" s="86" t="s">
        <v>960</v>
      </c>
      <c r="B94" s="568" t="s">
        <v>961</v>
      </c>
      <c r="C94" s="568"/>
      <c r="D94" s="569" t="s">
        <v>19</v>
      </c>
      <c r="E94" s="569"/>
      <c r="F94" s="86" t="s">
        <v>67</v>
      </c>
      <c r="G94" s="87">
        <v>0.31680000000000003</v>
      </c>
      <c r="H94" s="88">
        <v>109.37</v>
      </c>
      <c r="I94" s="88">
        <v>34.64</v>
      </c>
    </row>
    <row r="95" spans="1:9" ht="45" customHeight="1">
      <c r="A95" s="86" t="s">
        <v>962</v>
      </c>
      <c r="B95" s="568" t="s">
        <v>963</v>
      </c>
      <c r="C95" s="568"/>
      <c r="D95" s="569" t="s">
        <v>19</v>
      </c>
      <c r="E95" s="569"/>
      <c r="F95" s="86" t="s">
        <v>67</v>
      </c>
      <c r="G95" s="87">
        <v>0.20280000000000001</v>
      </c>
      <c r="H95" s="88">
        <v>99.59</v>
      </c>
      <c r="I95" s="88">
        <v>20.190000000000001</v>
      </c>
    </row>
    <row r="96" spans="1:9" ht="45" customHeight="1">
      <c r="A96" s="86" t="s">
        <v>964</v>
      </c>
      <c r="B96" s="568" t="s">
        <v>965</v>
      </c>
      <c r="C96" s="568"/>
      <c r="D96" s="569" t="s">
        <v>19</v>
      </c>
      <c r="E96" s="569"/>
      <c r="F96" s="86" t="s">
        <v>67</v>
      </c>
      <c r="G96" s="87">
        <v>0.247</v>
      </c>
      <c r="H96" s="88">
        <v>135.4</v>
      </c>
      <c r="I96" s="88">
        <v>33.44</v>
      </c>
    </row>
    <row r="97" spans="1:9" ht="45" customHeight="1">
      <c r="A97" s="86" t="s">
        <v>966</v>
      </c>
      <c r="B97" s="568" t="s">
        <v>967</v>
      </c>
      <c r="C97" s="568"/>
      <c r="D97" s="569" t="s">
        <v>19</v>
      </c>
      <c r="E97" s="569"/>
      <c r="F97" s="86" t="s">
        <v>67</v>
      </c>
      <c r="G97" s="87">
        <v>0.2334</v>
      </c>
      <c r="H97" s="88">
        <v>119.4</v>
      </c>
      <c r="I97" s="88">
        <v>27.86</v>
      </c>
    </row>
    <row r="98" spans="1:9" ht="15" customHeight="1">
      <c r="A98" s="84"/>
      <c r="B98" s="84"/>
      <c r="C98" s="84"/>
      <c r="D98" s="84"/>
      <c r="E98" s="84"/>
      <c r="F98" s="84"/>
      <c r="G98" s="570" t="s">
        <v>968</v>
      </c>
      <c r="H98" s="570"/>
      <c r="I98" s="89">
        <v>116.13</v>
      </c>
    </row>
    <row r="99" spans="1:9" ht="15" customHeight="1">
      <c r="A99" s="84"/>
      <c r="B99" s="84"/>
      <c r="C99" s="84"/>
      <c r="D99" s="84"/>
      <c r="E99" s="84"/>
      <c r="F99" s="84"/>
      <c r="G99" s="576" t="s">
        <v>892</v>
      </c>
      <c r="H99" s="576"/>
      <c r="I99" s="90">
        <v>116.13</v>
      </c>
    </row>
    <row r="100" spans="1:9" ht="15" customHeight="1">
      <c r="A100" s="84"/>
      <c r="B100" s="84"/>
      <c r="C100" s="84"/>
      <c r="D100" s="84"/>
      <c r="E100" s="84"/>
      <c r="F100" s="84"/>
      <c r="G100" s="576" t="s">
        <v>1002</v>
      </c>
      <c r="H100" s="576"/>
      <c r="I100" s="90">
        <v>147.88999999999999</v>
      </c>
    </row>
    <row r="101" spans="1:9" ht="15" customHeight="1">
      <c r="A101" s="84"/>
      <c r="B101" s="84"/>
      <c r="C101" s="84"/>
      <c r="D101" s="84"/>
      <c r="E101" s="84"/>
      <c r="F101" s="84"/>
      <c r="G101" s="576" t="s">
        <v>1001</v>
      </c>
      <c r="H101" s="576"/>
      <c r="I101" s="90">
        <f>'1º aditivo de valor'!J42</f>
        <v>112.466647156185</v>
      </c>
    </row>
    <row r="102" spans="1:9" ht="9.9499999999999993" customHeight="1">
      <c r="A102" s="84"/>
      <c r="B102" s="84"/>
      <c r="C102" s="84"/>
      <c r="D102" s="574"/>
      <c r="E102" s="574"/>
      <c r="F102" s="574"/>
      <c r="G102" s="84"/>
      <c r="H102" s="84"/>
      <c r="I102" s="84"/>
    </row>
    <row r="103" spans="1:9" ht="20.100000000000001" customHeight="1">
      <c r="A103" s="575" t="s">
        <v>969</v>
      </c>
      <c r="B103" s="575"/>
      <c r="C103" s="575"/>
      <c r="D103" s="575"/>
      <c r="E103" s="575"/>
      <c r="F103" s="575"/>
      <c r="G103" s="575"/>
      <c r="H103" s="575"/>
      <c r="I103" s="575"/>
    </row>
    <row r="104" spans="1:9" ht="15" customHeight="1">
      <c r="A104" s="571" t="s">
        <v>922</v>
      </c>
      <c r="B104" s="571"/>
      <c r="C104" s="571"/>
      <c r="D104" s="572" t="s">
        <v>3</v>
      </c>
      <c r="E104" s="572"/>
      <c r="F104" s="85" t="s">
        <v>878</v>
      </c>
      <c r="G104" s="85" t="s">
        <v>879</v>
      </c>
      <c r="H104" s="85" t="s">
        <v>880</v>
      </c>
      <c r="I104" s="85" t="s">
        <v>606</v>
      </c>
    </row>
    <row r="105" spans="1:9" ht="20.100000000000001" customHeight="1">
      <c r="A105" s="86" t="s">
        <v>970</v>
      </c>
      <c r="B105" s="568" t="s">
        <v>971</v>
      </c>
      <c r="C105" s="568"/>
      <c r="D105" s="569" t="s">
        <v>19</v>
      </c>
      <c r="E105" s="569"/>
      <c r="F105" s="86" t="s">
        <v>46</v>
      </c>
      <c r="G105" s="87">
        <v>2.5000000000000001E-2</v>
      </c>
      <c r="H105" s="88">
        <v>23.2</v>
      </c>
      <c r="I105" s="88">
        <v>0.57999999999999996</v>
      </c>
    </row>
    <row r="106" spans="1:9" ht="29.1" customHeight="1">
      <c r="A106" s="86" t="s">
        <v>972</v>
      </c>
      <c r="B106" s="568" t="s">
        <v>973</v>
      </c>
      <c r="C106" s="568"/>
      <c r="D106" s="569" t="s">
        <v>19</v>
      </c>
      <c r="E106" s="569"/>
      <c r="F106" s="86" t="s">
        <v>115</v>
      </c>
      <c r="G106" s="87">
        <v>0.74299999999999999</v>
      </c>
      <c r="H106" s="88">
        <v>0.21</v>
      </c>
      <c r="I106" s="88">
        <v>0.15</v>
      </c>
    </row>
    <row r="107" spans="1:9" ht="15" customHeight="1">
      <c r="A107" s="84"/>
      <c r="B107" s="84"/>
      <c r="C107" s="84"/>
      <c r="D107" s="84"/>
      <c r="E107" s="84"/>
      <c r="F107" s="84"/>
      <c r="G107" s="570" t="s">
        <v>925</v>
      </c>
      <c r="H107" s="570"/>
      <c r="I107" s="89">
        <v>0.73</v>
      </c>
    </row>
    <row r="108" spans="1:9" ht="15" customHeight="1">
      <c r="A108" s="571" t="s">
        <v>888</v>
      </c>
      <c r="B108" s="571"/>
      <c r="C108" s="571"/>
      <c r="D108" s="572" t="s">
        <v>3</v>
      </c>
      <c r="E108" s="572"/>
      <c r="F108" s="85" t="s">
        <v>878</v>
      </c>
      <c r="G108" s="85" t="s">
        <v>879</v>
      </c>
      <c r="H108" s="85" t="s">
        <v>880</v>
      </c>
      <c r="I108" s="85" t="s">
        <v>606</v>
      </c>
    </row>
    <row r="109" spans="1:9" ht="15" customHeight="1">
      <c r="A109" s="86" t="s">
        <v>974</v>
      </c>
      <c r="B109" s="568" t="s">
        <v>975</v>
      </c>
      <c r="C109" s="568"/>
      <c r="D109" s="569" t="s">
        <v>19</v>
      </c>
      <c r="E109" s="569"/>
      <c r="F109" s="86" t="s">
        <v>798</v>
      </c>
      <c r="G109" s="87">
        <v>2.0899999999999998E-2</v>
      </c>
      <c r="H109" s="88">
        <v>13.33</v>
      </c>
      <c r="I109" s="88">
        <v>0.27</v>
      </c>
    </row>
    <row r="110" spans="1:9" ht="15" customHeight="1">
      <c r="A110" s="86" t="s">
        <v>976</v>
      </c>
      <c r="B110" s="568" t="s">
        <v>977</v>
      </c>
      <c r="C110" s="568"/>
      <c r="D110" s="569" t="s">
        <v>19</v>
      </c>
      <c r="E110" s="569"/>
      <c r="F110" s="86" t="s">
        <v>798</v>
      </c>
      <c r="G110" s="87">
        <v>0.1278</v>
      </c>
      <c r="H110" s="88">
        <v>17.5</v>
      </c>
      <c r="I110" s="88">
        <v>2.23</v>
      </c>
    </row>
    <row r="111" spans="1:9" ht="18" customHeight="1">
      <c r="A111" s="84"/>
      <c r="B111" s="84"/>
      <c r="C111" s="84"/>
      <c r="D111" s="84"/>
      <c r="E111" s="84"/>
      <c r="F111" s="84"/>
      <c r="G111" s="570" t="s">
        <v>891</v>
      </c>
      <c r="H111" s="570"/>
      <c r="I111" s="89">
        <v>2.5</v>
      </c>
    </row>
    <row r="112" spans="1:9" ht="15" customHeight="1">
      <c r="A112" s="571" t="s">
        <v>959</v>
      </c>
      <c r="B112" s="571"/>
      <c r="C112" s="571"/>
      <c r="D112" s="572" t="s">
        <v>3</v>
      </c>
      <c r="E112" s="572"/>
      <c r="F112" s="85" t="s">
        <v>878</v>
      </c>
      <c r="G112" s="85" t="s">
        <v>879</v>
      </c>
      <c r="H112" s="85" t="s">
        <v>880</v>
      </c>
      <c r="I112" s="85" t="s">
        <v>606</v>
      </c>
    </row>
    <row r="113" spans="1:9" ht="20.100000000000001" customHeight="1">
      <c r="A113" s="86" t="s">
        <v>978</v>
      </c>
      <c r="B113" s="568" t="s">
        <v>979</v>
      </c>
      <c r="C113" s="568"/>
      <c r="D113" s="569" t="s">
        <v>19</v>
      </c>
      <c r="E113" s="569"/>
      <c r="F113" s="86" t="s">
        <v>46</v>
      </c>
      <c r="G113" s="87">
        <v>1</v>
      </c>
      <c r="H113" s="88">
        <v>14.56</v>
      </c>
      <c r="I113" s="88">
        <v>14.56</v>
      </c>
    </row>
    <row r="114" spans="1:9" ht="15" customHeight="1">
      <c r="A114" s="84"/>
      <c r="B114" s="84"/>
      <c r="C114" s="84"/>
      <c r="D114" s="84"/>
      <c r="E114" s="84"/>
      <c r="F114" s="84"/>
      <c r="G114" s="570" t="s">
        <v>968</v>
      </c>
      <c r="H114" s="570"/>
      <c r="I114" s="89">
        <v>14.56</v>
      </c>
    </row>
    <row r="115" spans="1:9" ht="15" customHeight="1">
      <c r="A115" s="84"/>
      <c r="B115" s="84"/>
      <c r="C115" s="84"/>
      <c r="D115" s="84"/>
      <c r="E115" s="84"/>
      <c r="F115" s="84"/>
      <c r="G115" s="576" t="s">
        <v>892</v>
      </c>
      <c r="H115" s="576"/>
      <c r="I115" s="90">
        <v>17.79</v>
      </c>
    </row>
    <row r="116" spans="1:9" ht="15" customHeight="1">
      <c r="A116" s="84"/>
      <c r="B116" s="84"/>
      <c r="C116" s="84"/>
      <c r="D116" s="84"/>
      <c r="E116" s="84"/>
      <c r="F116" s="84"/>
      <c r="G116" s="576" t="s">
        <v>1002</v>
      </c>
      <c r="H116" s="576"/>
      <c r="I116" s="90">
        <v>22.66</v>
      </c>
    </row>
    <row r="117" spans="1:9" ht="15" customHeight="1">
      <c r="A117" s="84"/>
      <c r="B117" s="84"/>
      <c r="C117" s="84"/>
      <c r="D117" s="84"/>
      <c r="E117" s="84"/>
      <c r="F117" s="84"/>
      <c r="G117" s="576" t="s">
        <v>1001</v>
      </c>
      <c r="H117" s="576"/>
      <c r="I117" s="90">
        <f>'1º aditivo de valor'!J56</f>
        <v>17.228809548855001</v>
      </c>
    </row>
    <row r="118" spans="1:9" ht="9.9499999999999993" customHeight="1">
      <c r="A118" s="84"/>
      <c r="B118" s="84"/>
      <c r="C118" s="84"/>
      <c r="D118" s="574"/>
      <c r="E118" s="574"/>
      <c r="F118" s="574"/>
      <c r="G118" s="84"/>
      <c r="H118" s="84"/>
      <c r="I118" s="84"/>
    </row>
    <row r="119" spans="1:9" ht="20.100000000000001" customHeight="1">
      <c r="A119" s="575" t="s">
        <v>980</v>
      </c>
      <c r="B119" s="575"/>
      <c r="C119" s="575"/>
      <c r="D119" s="575"/>
      <c r="E119" s="575"/>
      <c r="F119" s="575"/>
      <c r="G119" s="575"/>
      <c r="H119" s="575"/>
      <c r="I119" s="575"/>
    </row>
    <row r="120" spans="1:9" ht="15" customHeight="1">
      <c r="A120" s="571" t="s">
        <v>922</v>
      </c>
      <c r="B120" s="571"/>
      <c r="C120" s="571"/>
      <c r="D120" s="572" t="s">
        <v>3</v>
      </c>
      <c r="E120" s="572"/>
      <c r="F120" s="85" t="s">
        <v>878</v>
      </c>
      <c r="G120" s="85" t="s">
        <v>879</v>
      </c>
      <c r="H120" s="85" t="s">
        <v>880</v>
      </c>
      <c r="I120" s="85" t="s">
        <v>606</v>
      </c>
    </row>
    <row r="121" spans="1:9" ht="15" customHeight="1">
      <c r="A121" s="86" t="s">
        <v>981</v>
      </c>
      <c r="B121" s="568" t="s">
        <v>982</v>
      </c>
      <c r="C121" s="568"/>
      <c r="D121" s="569" t="s">
        <v>19</v>
      </c>
      <c r="E121" s="569"/>
      <c r="F121" s="86" t="s">
        <v>67</v>
      </c>
      <c r="G121" s="87">
        <v>1.1279999999999999</v>
      </c>
      <c r="H121" s="88">
        <v>1.38</v>
      </c>
      <c r="I121" s="88">
        <v>1.55</v>
      </c>
    </row>
    <row r="122" spans="1:9" ht="20.100000000000001" customHeight="1">
      <c r="A122" s="86" t="s">
        <v>983</v>
      </c>
      <c r="B122" s="568" t="s">
        <v>984</v>
      </c>
      <c r="C122" s="568"/>
      <c r="D122" s="569" t="s">
        <v>19</v>
      </c>
      <c r="E122" s="569"/>
      <c r="F122" s="86" t="s">
        <v>20</v>
      </c>
      <c r="G122" s="87">
        <v>0.45</v>
      </c>
      <c r="H122" s="88">
        <v>4.58</v>
      </c>
      <c r="I122" s="88">
        <v>2.06</v>
      </c>
    </row>
    <row r="123" spans="1:9" ht="29.1" customHeight="1">
      <c r="A123" s="86" t="s">
        <v>985</v>
      </c>
      <c r="B123" s="568" t="s">
        <v>986</v>
      </c>
      <c r="C123" s="568"/>
      <c r="D123" s="569" t="s">
        <v>19</v>
      </c>
      <c r="E123" s="569"/>
      <c r="F123" s="86" t="s">
        <v>67</v>
      </c>
      <c r="G123" s="87">
        <v>1.1224000000000001</v>
      </c>
      <c r="H123" s="88">
        <v>30.97</v>
      </c>
      <c r="I123" s="88">
        <v>34.76</v>
      </c>
    </row>
    <row r="124" spans="1:9" ht="15" customHeight="1">
      <c r="A124" s="84"/>
      <c r="B124" s="84"/>
      <c r="C124" s="84"/>
      <c r="D124" s="84"/>
      <c r="E124" s="84"/>
      <c r="F124" s="84"/>
      <c r="G124" s="570" t="s">
        <v>925</v>
      </c>
      <c r="H124" s="570"/>
      <c r="I124" s="89">
        <v>38.369999999999997</v>
      </c>
    </row>
    <row r="125" spans="1:9" ht="15" customHeight="1">
      <c r="A125" s="571" t="s">
        <v>888</v>
      </c>
      <c r="B125" s="571"/>
      <c r="C125" s="571"/>
      <c r="D125" s="572" t="s">
        <v>3</v>
      </c>
      <c r="E125" s="572"/>
      <c r="F125" s="85" t="s">
        <v>878</v>
      </c>
      <c r="G125" s="85" t="s">
        <v>879</v>
      </c>
      <c r="H125" s="85" t="s">
        <v>880</v>
      </c>
      <c r="I125" s="85" t="s">
        <v>606</v>
      </c>
    </row>
    <row r="126" spans="1:9" ht="15" customHeight="1">
      <c r="A126" s="86" t="s">
        <v>987</v>
      </c>
      <c r="B126" s="568" t="s">
        <v>988</v>
      </c>
      <c r="C126" s="568"/>
      <c r="D126" s="569" t="s">
        <v>19</v>
      </c>
      <c r="E126" s="569"/>
      <c r="F126" s="86" t="s">
        <v>798</v>
      </c>
      <c r="G126" s="87">
        <v>0.13539999999999999</v>
      </c>
      <c r="H126" s="88">
        <v>17.399999999999999</v>
      </c>
      <c r="I126" s="88">
        <v>2.35</v>
      </c>
    </row>
    <row r="127" spans="1:9" ht="15" customHeight="1">
      <c r="A127" s="86" t="s">
        <v>933</v>
      </c>
      <c r="B127" s="568" t="s">
        <v>934</v>
      </c>
      <c r="C127" s="568"/>
      <c r="D127" s="569" t="s">
        <v>19</v>
      </c>
      <c r="E127" s="569"/>
      <c r="F127" s="86" t="s">
        <v>798</v>
      </c>
      <c r="G127" s="87">
        <v>0.22170000000000001</v>
      </c>
      <c r="H127" s="88">
        <v>17.59</v>
      </c>
      <c r="I127" s="88">
        <v>3.89</v>
      </c>
    </row>
    <row r="128" spans="1:9" ht="15" customHeight="1">
      <c r="A128" s="86" t="s">
        <v>889</v>
      </c>
      <c r="B128" s="568" t="s">
        <v>890</v>
      </c>
      <c r="C128" s="568"/>
      <c r="D128" s="569" t="s">
        <v>19</v>
      </c>
      <c r="E128" s="569"/>
      <c r="F128" s="86" t="s">
        <v>798</v>
      </c>
      <c r="G128" s="87">
        <v>0.35699999999999998</v>
      </c>
      <c r="H128" s="88">
        <v>13.94</v>
      </c>
      <c r="I128" s="88">
        <v>4.97</v>
      </c>
    </row>
    <row r="129" spans="1:9" ht="18" customHeight="1">
      <c r="A129" s="84"/>
      <c r="B129" s="84"/>
      <c r="C129" s="84"/>
      <c r="D129" s="84"/>
      <c r="E129" s="84"/>
      <c r="F129" s="84"/>
      <c r="G129" s="570" t="s">
        <v>891</v>
      </c>
      <c r="H129" s="570"/>
      <c r="I129" s="89">
        <v>11.21</v>
      </c>
    </row>
    <row r="130" spans="1:9" ht="15" customHeight="1">
      <c r="A130" s="571" t="s">
        <v>959</v>
      </c>
      <c r="B130" s="571"/>
      <c r="C130" s="571"/>
      <c r="D130" s="572" t="s">
        <v>3</v>
      </c>
      <c r="E130" s="572"/>
      <c r="F130" s="85" t="s">
        <v>878</v>
      </c>
      <c r="G130" s="85" t="s">
        <v>879</v>
      </c>
      <c r="H130" s="85" t="s">
        <v>880</v>
      </c>
      <c r="I130" s="85" t="s">
        <v>606</v>
      </c>
    </row>
    <row r="131" spans="1:9" ht="29.1" customHeight="1">
      <c r="A131" s="86" t="s">
        <v>989</v>
      </c>
      <c r="B131" s="568" t="s">
        <v>990</v>
      </c>
      <c r="C131" s="568"/>
      <c r="D131" s="569" t="s">
        <v>19</v>
      </c>
      <c r="E131" s="569"/>
      <c r="F131" s="86" t="s">
        <v>29</v>
      </c>
      <c r="G131" s="87">
        <v>7.2800000000000004E-2</v>
      </c>
      <c r="H131" s="88">
        <v>343.94</v>
      </c>
      <c r="I131" s="88">
        <v>25.03</v>
      </c>
    </row>
    <row r="132" spans="1:9" ht="15" customHeight="1">
      <c r="A132" s="84"/>
      <c r="B132" s="84"/>
      <c r="C132" s="84"/>
      <c r="D132" s="84"/>
      <c r="E132" s="84"/>
      <c r="F132" s="84"/>
      <c r="G132" s="570" t="s">
        <v>968</v>
      </c>
      <c r="H132" s="570"/>
      <c r="I132" s="89">
        <v>25.03</v>
      </c>
    </row>
    <row r="133" spans="1:9" ht="15" customHeight="1">
      <c r="A133" s="84"/>
      <c r="B133" s="84"/>
      <c r="C133" s="84"/>
      <c r="D133" s="84"/>
      <c r="E133" s="84"/>
      <c r="F133" s="84"/>
      <c r="G133" s="576" t="s">
        <v>892</v>
      </c>
      <c r="H133" s="576"/>
      <c r="I133" s="90">
        <v>74.61</v>
      </c>
    </row>
    <row r="134" spans="1:9" ht="15" customHeight="1">
      <c r="A134" s="84"/>
      <c r="B134" s="84"/>
      <c r="C134" s="84"/>
      <c r="D134" s="84"/>
      <c r="E134" s="84"/>
      <c r="F134" s="84"/>
      <c r="G134" s="576" t="s">
        <v>1002</v>
      </c>
      <c r="H134" s="576"/>
      <c r="I134" s="90">
        <v>95.02</v>
      </c>
    </row>
    <row r="135" spans="1:9" ht="15" customHeight="1">
      <c r="A135" s="84"/>
      <c r="B135" s="84"/>
      <c r="C135" s="84"/>
      <c r="D135" s="84"/>
      <c r="E135" s="84"/>
      <c r="F135" s="84"/>
      <c r="G135" s="576" t="s">
        <v>1001</v>
      </c>
      <c r="H135" s="576"/>
      <c r="I135" s="90">
        <f>'1º aditivo de valor'!J259</f>
        <v>72.25640699494501</v>
      </c>
    </row>
    <row r="136" spans="1:9" ht="9.9499999999999993" customHeight="1">
      <c r="A136" s="84"/>
      <c r="B136" s="84"/>
      <c r="C136" s="84"/>
      <c r="D136" s="574"/>
      <c r="E136" s="574"/>
      <c r="F136" s="574"/>
      <c r="G136" s="84"/>
      <c r="H136" s="84"/>
      <c r="I136" s="84"/>
    </row>
    <row r="137" spans="1:9" ht="20.100000000000001" customHeight="1">
      <c r="A137" s="575" t="s">
        <v>991</v>
      </c>
      <c r="B137" s="575"/>
      <c r="C137" s="575"/>
      <c r="D137" s="575"/>
      <c r="E137" s="575"/>
      <c r="F137" s="575"/>
      <c r="G137" s="575"/>
      <c r="H137" s="575"/>
      <c r="I137" s="575"/>
    </row>
    <row r="138" spans="1:9" ht="15" customHeight="1">
      <c r="A138" s="571" t="s">
        <v>936</v>
      </c>
      <c r="B138" s="571"/>
      <c r="C138" s="571"/>
      <c r="D138" s="572" t="s">
        <v>3</v>
      </c>
      <c r="E138" s="572"/>
      <c r="F138" s="85" t="s">
        <v>878</v>
      </c>
      <c r="G138" s="85" t="s">
        <v>879</v>
      </c>
      <c r="H138" s="85" t="s">
        <v>880</v>
      </c>
      <c r="I138" s="85" t="s">
        <v>606</v>
      </c>
    </row>
    <row r="139" spans="1:9" ht="15" customHeight="1">
      <c r="A139" s="86" t="s">
        <v>992</v>
      </c>
      <c r="B139" s="568" t="s">
        <v>993</v>
      </c>
      <c r="C139" s="568"/>
      <c r="D139" s="569" t="s">
        <v>10</v>
      </c>
      <c r="E139" s="569"/>
      <c r="F139" s="86" t="s">
        <v>608</v>
      </c>
      <c r="G139" s="87">
        <v>1</v>
      </c>
      <c r="H139" s="88">
        <v>3.47</v>
      </c>
      <c r="I139" s="88">
        <v>3.47</v>
      </c>
    </row>
    <row r="140" spans="1:9" ht="15" customHeight="1">
      <c r="A140" s="86" t="s">
        <v>917</v>
      </c>
      <c r="B140" s="568" t="s">
        <v>918</v>
      </c>
      <c r="C140" s="568"/>
      <c r="D140" s="569" t="s">
        <v>10</v>
      </c>
      <c r="E140" s="569"/>
      <c r="F140" s="86" t="s">
        <v>608</v>
      </c>
      <c r="G140" s="87">
        <v>1</v>
      </c>
      <c r="H140" s="88">
        <v>3.56</v>
      </c>
      <c r="I140" s="88">
        <v>3.56</v>
      </c>
    </row>
    <row r="141" spans="1:9" ht="15" customHeight="1">
      <c r="A141" s="84"/>
      <c r="B141" s="84"/>
      <c r="C141" s="84"/>
      <c r="D141" s="84"/>
      <c r="E141" s="84"/>
      <c r="F141" s="84"/>
      <c r="G141" s="570" t="s">
        <v>939</v>
      </c>
      <c r="H141" s="570"/>
      <c r="I141" s="89">
        <v>7.03</v>
      </c>
    </row>
    <row r="142" spans="1:9" ht="15" customHeight="1">
      <c r="A142" s="571" t="s">
        <v>922</v>
      </c>
      <c r="B142" s="571"/>
      <c r="C142" s="571"/>
      <c r="D142" s="572" t="s">
        <v>3</v>
      </c>
      <c r="E142" s="572"/>
      <c r="F142" s="85" t="s">
        <v>878</v>
      </c>
      <c r="G142" s="85" t="s">
        <v>879</v>
      </c>
      <c r="H142" s="85" t="s">
        <v>880</v>
      </c>
      <c r="I142" s="85" t="s">
        <v>606</v>
      </c>
    </row>
    <row r="143" spans="1:9" ht="15" customHeight="1">
      <c r="A143" s="86" t="s">
        <v>994</v>
      </c>
      <c r="B143" s="568" t="s">
        <v>995</v>
      </c>
      <c r="C143" s="568"/>
      <c r="D143" s="569" t="s">
        <v>10</v>
      </c>
      <c r="E143" s="569"/>
      <c r="F143" s="86" t="s">
        <v>131</v>
      </c>
      <c r="G143" s="87">
        <v>1</v>
      </c>
      <c r="H143" s="88">
        <v>260.05</v>
      </c>
      <c r="I143" s="88">
        <v>260.05</v>
      </c>
    </row>
    <row r="144" spans="1:9" ht="15" customHeight="1">
      <c r="A144" s="86" t="s">
        <v>996</v>
      </c>
      <c r="B144" s="568" t="s">
        <v>997</v>
      </c>
      <c r="C144" s="568"/>
      <c r="D144" s="569" t="s">
        <v>10</v>
      </c>
      <c r="E144" s="569"/>
      <c r="F144" s="86" t="s">
        <v>998</v>
      </c>
      <c r="G144" s="87">
        <v>6</v>
      </c>
      <c r="H144" s="88">
        <v>0.96</v>
      </c>
      <c r="I144" s="88">
        <v>5.76</v>
      </c>
    </row>
    <row r="145" spans="1:9" ht="15" customHeight="1">
      <c r="A145" s="84"/>
      <c r="B145" s="84"/>
      <c r="C145" s="84"/>
      <c r="D145" s="84"/>
      <c r="E145" s="84"/>
      <c r="F145" s="84"/>
      <c r="G145" s="570" t="s">
        <v>925</v>
      </c>
      <c r="H145" s="570"/>
      <c r="I145" s="89">
        <v>265.81</v>
      </c>
    </row>
    <row r="146" spans="1:9" ht="15" customHeight="1">
      <c r="A146" s="571" t="s">
        <v>944</v>
      </c>
      <c r="B146" s="571"/>
      <c r="C146" s="571"/>
      <c r="D146" s="572" t="s">
        <v>3</v>
      </c>
      <c r="E146" s="572"/>
      <c r="F146" s="85" t="s">
        <v>878</v>
      </c>
      <c r="G146" s="85" t="s">
        <v>879</v>
      </c>
      <c r="H146" s="85" t="s">
        <v>880</v>
      </c>
      <c r="I146" s="85" t="s">
        <v>606</v>
      </c>
    </row>
    <row r="147" spans="1:9" ht="15" customHeight="1">
      <c r="A147" s="86" t="s">
        <v>999</v>
      </c>
      <c r="B147" s="568" t="s">
        <v>1000</v>
      </c>
      <c r="C147" s="568"/>
      <c r="D147" s="569" t="s">
        <v>10</v>
      </c>
      <c r="E147" s="569"/>
      <c r="F147" s="86" t="s">
        <v>608</v>
      </c>
      <c r="G147" s="87">
        <v>1</v>
      </c>
      <c r="H147" s="88">
        <v>13.99</v>
      </c>
      <c r="I147" s="88">
        <v>13.99</v>
      </c>
    </row>
    <row r="148" spans="1:9" ht="15" customHeight="1">
      <c r="A148" s="86" t="s">
        <v>909</v>
      </c>
      <c r="B148" s="568" t="s">
        <v>910</v>
      </c>
      <c r="C148" s="568"/>
      <c r="D148" s="569" t="s">
        <v>10</v>
      </c>
      <c r="E148" s="569"/>
      <c r="F148" s="86" t="s">
        <v>608</v>
      </c>
      <c r="G148" s="87">
        <v>1</v>
      </c>
      <c r="H148" s="88">
        <v>10.55</v>
      </c>
      <c r="I148" s="88">
        <v>10.55</v>
      </c>
    </row>
    <row r="149" spans="1:9" ht="15" customHeight="1">
      <c r="A149" s="84"/>
      <c r="B149" s="84"/>
      <c r="C149" s="84"/>
      <c r="D149" s="84"/>
      <c r="E149" s="84"/>
      <c r="F149" s="84"/>
      <c r="G149" s="570" t="s">
        <v>949</v>
      </c>
      <c r="H149" s="570"/>
      <c r="I149" s="89">
        <v>24.54</v>
      </c>
    </row>
    <row r="150" spans="1:9" ht="15" customHeight="1">
      <c r="A150" s="84"/>
      <c r="B150" s="84"/>
      <c r="C150" s="84"/>
      <c r="D150" s="84"/>
      <c r="E150" s="84"/>
      <c r="F150" s="84"/>
      <c r="G150" s="576" t="s">
        <v>892</v>
      </c>
      <c r="H150" s="576"/>
      <c r="I150" s="90">
        <v>297.38</v>
      </c>
    </row>
    <row r="151" spans="1:9" ht="15" customHeight="1">
      <c r="A151" s="84"/>
      <c r="B151" s="84"/>
      <c r="C151" s="84"/>
      <c r="D151" s="84"/>
      <c r="E151" s="84"/>
      <c r="F151" s="84"/>
      <c r="G151" s="576" t="s">
        <v>1002</v>
      </c>
      <c r="H151" s="576"/>
      <c r="I151" s="90">
        <v>378.71</v>
      </c>
    </row>
    <row r="152" spans="1:9">
      <c r="G152" s="563" t="s">
        <v>1001</v>
      </c>
      <c r="H152" s="563"/>
      <c r="I152" s="110">
        <f>'1º aditivo de valor'!J266</f>
        <v>0</v>
      </c>
    </row>
    <row r="153" spans="1:9">
      <c r="G153" s="111"/>
      <c r="H153" s="111"/>
      <c r="I153" s="112"/>
    </row>
    <row r="154" spans="1:9">
      <c r="A154" s="566" t="s">
        <v>1003</v>
      </c>
      <c r="B154" s="566"/>
      <c r="C154" s="566"/>
      <c r="D154" s="566"/>
      <c r="E154" s="566"/>
      <c r="F154" s="566"/>
      <c r="G154" s="567"/>
      <c r="H154" s="567"/>
      <c r="I154" s="567"/>
    </row>
    <row r="155" spans="1:9" ht="16.5">
      <c r="A155" s="564" t="s">
        <v>936</v>
      </c>
      <c r="B155" s="564"/>
      <c r="C155" s="564"/>
      <c r="D155" s="565" t="s">
        <v>3</v>
      </c>
      <c r="E155" s="565"/>
      <c r="F155" s="103" t="s">
        <v>878</v>
      </c>
      <c r="G155" s="103" t="s">
        <v>879</v>
      </c>
      <c r="H155" s="103" t="s">
        <v>880</v>
      </c>
      <c r="I155" s="103" t="s">
        <v>606</v>
      </c>
    </row>
    <row r="156" spans="1:9">
      <c r="A156" s="104" t="s">
        <v>992</v>
      </c>
      <c r="B156" s="559" t="s">
        <v>993</v>
      </c>
      <c r="C156" s="559"/>
      <c r="D156" s="560" t="s">
        <v>10</v>
      </c>
      <c r="E156" s="560"/>
      <c r="F156" s="104" t="s">
        <v>608</v>
      </c>
      <c r="G156" s="105">
        <v>0.5</v>
      </c>
      <c r="H156" s="106">
        <v>3.47</v>
      </c>
      <c r="I156" s="106">
        <v>1.74</v>
      </c>
    </row>
    <row r="157" spans="1:9">
      <c r="A157" s="104" t="s">
        <v>917</v>
      </c>
      <c r="B157" s="559" t="s">
        <v>918</v>
      </c>
      <c r="C157" s="559"/>
      <c r="D157" s="560" t="s">
        <v>10</v>
      </c>
      <c r="E157" s="560"/>
      <c r="F157" s="104" t="s">
        <v>608</v>
      </c>
      <c r="G157" s="105">
        <v>1</v>
      </c>
      <c r="H157" s="106">
        <v>3.56</v>
      </c>
      <c r="I157" s="106">
        <v>3.56</v>
      </c>
    </row>
    <row r="158" spans="1:9">
      <c r="A158" s="107"/>
      <c r="B158" s="107"/>
      <c r="C158" s="107"/>
      <c r="D158" s="107"/>
      <c r="E158" s="107"/>
      <c r="F158" s="107"/>
      <c r="G158" s="561" t="s">
        <v>939</v>
      </c>
      <c r="H158" s="561"/>
      <c r="I158" s="108">
        <v>5.3</v>
      </c>
    </row>
    <row r="159" spans="1:9" ht="16.5">
      <c r="A159" s="564" t="s">
        <v>922</v>
      </c>
      <c r="B159" s="564"/>
      <c r="C159" s="564"/>
      <c r="D159" s="565" t="s">
        <v>3</v>
      </c>
      <c r="E159" s="565"/>
      <c r="F159" s="103" t="s">
        <v>878</v>
      </c>
      <c r="G159" s="103" t="s">
        <v>879</v>
      </c>
      <c r="H159" s="103" t="s">
        <v>880</v>
      </c>
      <c r="I159" s="103" t="s">
        <v>606</v>
      </c>
    </row>
    <row r="160" spans="1:9">
      <c r="A160" s="104" t="s">
        <v>1004</v>
      </c>
      <c r="B160" s="559" t="s">
        <v>1005</v>
      </c>
      <c r="C160" s="559"/>
      <c r="D160" s="560" t="s">
        <v>10</v>
      </c>
      <c r="E160" s="560"/>
      <c r="F160" s="104" t="s">
        <v>359</v>
      </c>
      <c r="G160" s="105">
        <v>3.5</v>
      </c>
      <c r="H160" s="106">
        <v>21.32</v>
      </c>
      <c r="I160" s="106">
        <v>74.62</v>
      </c>
    </row>
    <row r="161" spans="1:9">
      <c r="A161" s="104" t="s">
        <v>1006</v>
      </c>
      <c r="B161" s="559" t="s">
        <v>1007</v>
      </c>
      <c r="C161" s="559"/>
      <c r="D161" s="560" t="s">
        <v>10</v>
      </c>
      <c r="E161" s="560"/>
      <c r="F161" s="104" t="s">
        <v>955</v>
      </c>
      <c r="G161" s="105">
        <v>0.45</v>
      </c>
      <c r="H161" s="106">
        <v>22.48</v>
      </c>
      <c r="I161" s="106">
        <v>10.119999999999999</v>
      </c>
    </row>
    <row r="162" spans="1:9">
      <c r="A162" s="104" t="s">
        <v>1008</v>
      </c>
      <c r="B162" s="559" t="s">
        <v>1009</v>
      </c>
      <c r="C162" s="559"/>
      <c r="D162" s="560" t="s">
        <v>10</v>
      </c>
      <c r="E162" s="560"/>
      <c r="F162" s="104" t="s">
        <v>11</v>
      </c>
      <c r="G162" s="105">
        <v>1.1000000000000001</v>
      </c>
      <c r="H162" s="106">
        <v>5.75</v>
      </c>
      <c r="I162" s="106">
        <v>6.33</v>
      </c>
    </row>
    <row r="163" spans="1:9">
      <c r="A163" s="107"/>
      <c r="B163" s="107"/>
      <c r="C163" s="107"/>
      <c r="D163" s="107"/>
      <c r="E163" s="107"/>
      <c r="F163" s="107"/>
      <c r="G163" s="561" t="s">
        <v>925</v>
      </c>
      <c r="H163" s="561"/>
      <c r="I163" s="108">
        <v>91.07</v>
      </c>
    </row>
    <row r="164" spans="1:9" ht="16.5">
      <c r="A164" s="564" t="s">
        <v>944</v>
      </c>
      <c r="B164" s="564"/>
      <c r="C164" s="564"/>
      <c r="D164" s="565" t="s">
        <v>3</v>
      </c>
      <c r="E164" s="565"/>
      <c r="F164" s="103" t="s">
        <v>878</v>
      </c>
      <c r="G164" s="103" t="s">
        <v>879</v>
      </c>
      <c r="H164" s="103" t="s">
        <v>880</v>
      </c>
      <c r="I164" s="103" t="s">
        <v>606</v>
      </c>
    </row>
    <row r="165" spans="1:9">
      <c r="A165" s="104" t="s">
        <v>999</v>
      </c>
      <c r="B165" s="559" t="s">
        <v>1000</v>
      </c>
      <c r="C165" s="559"/>
      <c r="D165" s="560" t="s">
        <v>10</v>
      </c>
      <c r="E165" s="560"/>
      <c r="F165" s="104" t="s">
        <v>608</v>
      </c>
      <c r="G165" s="105">
        <v>0.5</v>
      </c>
      <c r="H165" s="106">
        <v>13.99</v>
      </c>
      <c r="I165" s="106">
        <v>7</v>
      </c>
    </row>
    <row r="166" spans="1:9">
      <c r="A166" s="104" t="s">
        <v>909</v>
      </c>
      <c r="B166" s="559" t="s">
        <v>910</v>
      </c>
      <c r="C166" s="559"/>
      <c r="D166" s="560" t="s">
        <v>10</v>
      </c>
      <c r="E166" s="560"/>
      <c r="F166" s="104" t="s">
        <v>608</v>
      </c>
      <c r="G166" s="105">
        <v>1</v>
      </c>
      <c r="H166" s="106">
        <v>10.55</v>
      </c>
      <c r="I166" s="106">
        <v>10.55</v>
      </c>
    </row>
    <row r="167" spans="1:9">
      <c r="A167" s="107"/>
      <c r="B167" s="107"/>
      <c r="C167" s="107"/>
      <c r="D167" s="107"/>
      <c r="E167" s="107"/>
      <c r="F167" s="107"/>
      <c r="G167" s="561" t="s">
        <v>949</v>
      </c>
      <c r="H167" s="561"/>
      <c r="I167" s="108">
        <v>17.55</v>
      </c>
    </row>
    <row r="168" spans="1:9">
      <c r="A168" s="107"/>
      <c r="B168" s="107"/>
      <c r="C168" s="107"/>
      <c r="D168" s="107"/>
      <c r="E168" s="107"/>
      <c r="F168" s="107"/>
      <c r="G168" s="562" t="s">
        <v>892</v>
      </c>
      <c r="H168" s="562"/>
      <c r="I168" s="109">
        <v>113.89</v>
      </c>
    </row>
    <row r="169" spans="1:9">
      <c r="A169" s="107"/>
      <c r="B169" s="107"/>
      <c r="C169" s="107"/>
      <c r="D169" s="107"/>
      <c r="E169" s="107"/>
      <c r="F169" s="107"/>
      <c r="G169" s="562" t="s">
        <v>1002</v>
      </c>
      <c r="H169" s="562"/>
      <c r="I169" s="109">
        <v>145.04</v>
      </c>
    </row>
    <row r="170" spans="1:9">
      <c r="G170" s="563" t="s">
        <v>1001</v>
      </c>
      <c r="H170" s="563"/>
      <c r="I170" s="110" t="e">
        <f>'1º aditivo de valor'!#REF!</f>
        <v>#REF!</v>
      </c>
    </row>
  </sheetData>
  <mergeCells count="246">
    <mergeCell ref="G152:H152"/>
    <mergeCell ref="G151:H151"/>
    <mergeCell ref="G13:H13"/>
    <mergeCell ref="G33:H33"/>
    <mergeCell ref="G41:H41"/>
    <mergeCell ref="G57:H57"/>
    <mergeCell ref="G74:H74"/>
    <mergeCell ref="G90:H90"/>
    <mergeCell ref="G101:H101"/>
    <mergeCell ref="G117:H117"/>
    <mergeCell ref="G135:H135"/>
    <mergeCell ref="G111:H111"/>
    <mergeCell ref="A103:I103"/>
    <mergeCell ref="A104:C104"/>
    <mergeCell ref="D104:E104"/>
    <mergeCell ref="B105:C105"/>
    <mergeCell ref="D105:E105"/>
    <mergeCell ref="B106:C106"/>
    <mergeCell ref="D106:E106"/>
    <mergeCell ref="B97:C97"/>
    <mergeCell ref="D97:E97"/>
    <mergeCell ref="G98:H98"/>
    <mergeCell ref="G99:H99"/>
    <mergeCell ref="G100:H100"/>
    <mergeCell ref="B147:C147"/>
    <mergeCell ref="D147:E147"/>
    <mergeCell ref="B148:C148"/>
    <mergeCell ref="D148:E148"/>
    <mergeCell ref="G149:H149"/>
    <mergeCell ref="G150:H150"/>
    <mergeCell ref="B143:C143"/>
    <mergeCell ref="D143:E143"/>
    <mergeCell ref="B144:C144"/>
    <mergeCell ref="D144:E144"/>
    <mergeCell ref="G145:H145"/>
    <mergeCell ref="A146:C146"/>
    <mergeCell ref="D146:E146"/>
    <mergeCell ref="B139:C139"/>
    <mergeCell ref="D139:E139"/>
    <mergeCell ref="B140:C140"/>
    <mergeCell ref="D140:E140"/>
    <mergeCell ref="G141:H141"/>
    <mergeCell ref="A142:C142"/>
    <mergeCell ref="D142:E142"/>
    <mergeCell ref="G132:H132"/>
    <mergeCell ref="G133:H133"/>
    <mergeCell ref="G134:H134"/>
    <mergeCell ref="D136:F136"/>
    <mergeCell ref="A137:I137"/>
    <mergeCell ref="A138:C138"/>
    <mergeCell ref="D138:E138"/>
    <mergeCell ref="B128:C128"/>
    <mergeCell ref="D128:E128"/>
    <mergeCell ref="G129:H129"/>
    <mergeCell ref="A130:C130"/>
    <mergeCell ref="D130:E130"/>
    <mergeCell ref="B131:C131"/>
    <mergeCell ref="D131:E131"/>
    <mergeCell ref="G124:H124"/>
    <mergeCell ref="A125:C125"/>
    <mergeCell ref="D125:E125"/>
    <mergeCell ref="B126:C126"/>
    <mergeCell ref="D126:E126"/>
    <mergeCell ref="B127:C127"/>
    <mergeCell ref="D127:E127"/>
    <mergeCell ref="B121:C121"/>
    <mergeCell ref="D121:E121"/>
    <mergeCell ref="B122:C122"/>
    <mergeCell ref="D122:E122"/>
    <mergeCell ref="B123:C123"/>
    <mergeCell ref="D123:E123"/>
    <mergeCell ref="G115:H115"/>
    <mergeCell ref="G116:H116"/>
    <mergeCell ref="D118:F118"/>
    <mergeCell ref="A119:I119"/>
    <mergeCell ref="A120:C120"/>
    <mergeCell ref="D120:E120"/>
    <mergeCell ref="A112:C112"/>
    <mergeCell ref="D112:E112"/>
    <mergeCell ref="B113:C113"/>
    <mergeCell ref="D113:E113"/>
    <mergeCell ref="G114:H114"/>
    <mergeCell ref="G107:H107"/>
    <mergeCell ref="A108:C108"/>
    <mergeCell ref="D108:E108"/>
    <mergeCell ref="B109:C109"/>
    <mergeCell ref="D109:E109"/>
    <mergeCell ref="B110:C110"/>
    <mergeCell ref="D110:E110"/>
    <mergeCell ref="D102:F102"/>
    <mergeCell ref="B94:C94"/>
    <mergeCell ref="D94:E94"/>
    <mergeCell ref="B95:C95"/>
    <mergeCell ref="D95:E95"/>
    <mergeCell ref="B96:C96"/>
    <mergeCell ref="D96:E96"/>
    <mergeCell ref="G87:H87"/>
    <mergeCell ref="G88:H88"/>
    <mergeCell ref="G89:H89"/>
    <mergeCell ref="D91:F91"/>
    <mergeCell ref="A92:I92"/>
    <mergeCell ref="A93:C93"/>
    <mergeCell ref="D93:E93"/>
    <mergeCell ref="G83:H83"/>
    <mergeCell ref="A84:C84"/>
    <mergeCell ref="D84:E84"/>
    <mergeCell ref="B85:C85"/>
    <mergeCell ref="D85:E85"/>
    <mergeCell ref="B86:C86"/>
    <mergeCell ref="D86:E86"/>
    <mergeCell ref="B79:C79"/>
    <mergeCell ref="D79:E79"/>
    <mergeCell ref="G80:H80"/>
    <mergeCell ref="A81:C81"/>
    <mergeCell ref="D81:E81"/>
    <mergeCell ref="B82:C82"/>
    <mergeCell ref="D82:E82"/>
    <mergeCell ref="G73:H73"/>
    <mergeCell ref="D75:F75"/>
    <mergeCell ref="A76:I76"/>
    <mergeCell ref="A77:C77"/>
    <mergeCell ref="D77:E77"/>
    <mergeCell ref="B78:C78"/>
    <mergeCell ref="D78:E78"/>
    <mergeCell ref="B69:C69"/>
    <mergeCell ref="D69:E69"/>
    <mergeCell ref="B70:C70"/>
    <mergeCell ref="D70:E70"/>
    <mergeCell ref="G71:H71"/>
    <mergeCell ref="G72:H72"/>
    <mergeCell ref="B65:C65"/>
    <mergeCell ref="D65:E65"/>
    <mergeCell ref="G66:H66"/>
    <mergeCell ref="A67:C67"/>
    <mergeCell ref="D67:E67"/>
    <mergeCell ref="B68:C68"/>
    <mergeCell ref="D68:E68"/>
    <mergeCell ref="B61:C61"/>
    <mergeCell ref="D61:E61"/>
    <mergeCell ref="B62:C62"/>
    <mergeCell ref="D62:E62"/>
    <mergeCell ref="G63:H63"/>
    <mergeCell ref="A64:C64"/>
    <mergeCell ref="D64:E64"/>
    <mergeCell ref="G54:H54"/>
    <mergeCell ref="G55:H55"/>
    <mergeCell ref="G56:H56"/>
    <mergeCell ref="D58:F58"/>
    <mergeCell ref="A59:I59"/>
    <mergeCell ref="A60:C60"/>
    <mergeCell ref="D60:E60"/>
    <mergeCell ref="A51:C51"/>
    <mergeCell ref="D51:E51"/>
    <mergeCell ref="B52:C52"/>
    <mergeCell ref="D52:E52"/>
    <mergeCell ref="B53:C53"/>
    <mergeCell ref="D53:E53"/>
    <mergeCell ref="G47:H47"/>
    <mergeCell ref="A48:C48"/>
    <mergeCell ref="D48:E48"/>
    <mergeCell ref="B49:C49"/>
    <mergeCell ref="D49:E49"/>
    <mergeCell ref="G50:H50"/>
    <mergeCell ref="A43:I43"/>
    <mergeCell ref="A44:C44"/>
    <mergeCell ref="D44:E44"/>
    <mergeCell ref="B45:C45"/>
    <mergeCell ref="D45:E45"/>
    <mergeCell ref="B46:C46"/>
    <mergeCell ref="D46:E46"/>
    <mergeCell ref="B37:C37"/>
    <mergeCell ref="D37:E37"/>
    <mergeCell ref="G38:H38"/>
    <mergeCell ref="G39:H39"/>
    <mergeCell ref="G40:H40"/>
    <mergeCell ref="D42:F42"/>
    <mergeCell ref="G30:H30"/>
    <mergeCell ref="G31:H31"/>
    <mergeCell ref="G32:H32"/>
    <mergeCell ref="D34:F34"/>
    <mergeCell ref="A35:I35"/>
    <mergeCell ref="A36:C36"/>
    <mergeCell ref="D36:E36"/>
    <mergeCell ref="G24:H24"/>
    <mergeCell ref="G25:H25"/>
    <mergeCell ref="G26:H26"/>
    <mergeCell ref="A27:E27"/>
    <mergeCell ref="B28:E28"/>
    <mergeCell ref="G29:H29"/>
    <mergeCell ref="C18:D18"/>
    <mergeCell ref="G19:H19"/>
    <mergeCell ref="A20:E20"/>
    <mergeCell ref="B21:E21"/>
    <mergeCell ref="B22:E22"/>
    <mergeCell ref="G23:H23"/>
    <mergeCell ref="G10:H10"/>
    <mergeCell ref="G11:H11"/>
    <mergeCell ref="G12:H12"/>
    <mergeCell ref="D14:F14"/>
    <mergeCell ref="A15:I15"/>
    <mergeCell ref="A16:B17"/>
    <mergeCell ref="C16:D17"/>
    <mergeCell ref="E16:F16"/>
    <mergeCell ref="G16:H16"/>
    <mergeCell ref="I16:I17"/>
    <mergeCell ref="B6:C6"/>
    <mergeCell ref="D6:E6"/>
    <mergeCell ref="G7:H7"/>
    <mergeCell ref="A8:C8"/>
    <mergeCell ref="D8:E8"/>
    <mergeCell ref="B9:C9"/>
    <mergeCell ref="D9:E9"/>
    <mergeCell ref="A1:I1"/>
    <mergeCell ref="D2:F2"/>
    <mergeCell ref="A3:I3"/>
    <mergeCell ref="A4:C4"/>
    <mergeCell ref="D4:E4"/>
    <mergeCell ref="B5:C5"/>
    <mergeCell ref="D5:E5"/>
    <mergeCell ref="A154:I154"/>
    <mergeCell ref="A155:C155"/>
    <mergeCell ref="D155:E155"/>
    <mergeCell ref="B156:C156"/>
    <mergeCell ref="D156:E156"/>
    <mergeCell ref="B157:C157"/>
    <mergeCell ref="D157:E157"/>
    <mergeCell ref="G158:H158"/>
    <mergeCell ref="A159:C159"/>
    <mergeCell ref="D159:E159"/>
    <mergeCell ref="B165:C165"/>
    <mergeCell ref="D165:E165"/>
    <mergeCell ref="B166:C166"/>
    <mergeCell ref="D166:E166"/>
    <mergeCell ref="G167:H167"/>
    <mergeCell ref="G168:H168"/>
    <mergeCell ref="G169:H169"/>
    <mergeCell ref="G170:H170"/>
    <mergeCell ref="B160:C160"/>
    <mergeCell ref="D160:E160"/>
    <mergeCell ref="B161:C161"/>
    <mergeCell ref="D161:E161"/>
    <mergeCell ref="B162:C162"/>
    <mergeCell ref="D162:E162"/>
    <mergeCell ref="G163:H163"/>
    <mergeCell ref="A164:C164"/>
    <mergeCell ref="D164:E164"/>
  </mergeCells>
  <pageMargins left="0" right="0" top="0" bottom="0" header="0" footer="0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5"/>
  <sheetViews>
    <sheetView topLeftCell="A4" workbookViewId="0">
      <selection activeCell="C5" sqref="C5"/>
    </sheetView>
  </sheetViews>
  <sheetFormatPr defaultRowHeight="15"/>
  <cols>
    <col min="1" max="1" width="11.7109375" bestFit="1" customWidth="1"/>
  </cols>
  <sheetData>
    <row r="1" spans="1:3">
      <c r="A1" s="81">
        <v>1292562.49</v>
      </c>
    </row>
    <row r="2" spans="1:3">
      <c r="A2">
        <v>1478786.21</v>
      </c>
    </row>
    <row r="3" spans="1:3">
      <c r="A3">
        <f>A1/A2</f>
        <v>0.87406988329976376</v>
      </c>
      <c r="B3">
        <f>A3*100</f>
        <v>87.406988329976372</v>
      </c>
      <c r="C3">
        <f>100-B3</f>
        <v>12.593011670023628</v>
      </c>
    </row>
    <row r="5" spans="1:3">
      <c r="C5" s="82">
        <v>0.12593009999999999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46"/>
  <sheetViews>
    <sheetView view="pageBreakPreview" topLeftCell="A19" zoomScale="66" zoomScaleSheetLayoutView="66" workbookViewId="0">
      <selection activeCell="D18" sqref="D18"/>
    </sheetView>
  </sheetViews>
  <sheetFormatPr defaultRowHeight="15"/>
  <cols>
    <col min="1" max="1" width="9.140625" style="61"/>
    <col min="2" max="2" width="66.85546875" style="116" customWidth="1"/>
    <col min="3" max="3" width="15.42578125" style="61" customWidth="1"/>
    <col min="4" max="4" width="149" style="116" customWidth="1"/>
    <col min="5" max="5" width="10.85546875" style="222" bestFit="1" customWidth="1"/>
    <col min="6" max="16384" width="9.140625" style="59"/>
  </cols>
  <sheetData>
    <row r="1" spans="1:7" ht="26.25">
      <c r="A1" s="408" t="s">
        <v>1010</v>
      </c>
      <c r="B1" s="408"/>
      <c r="C1" s="408"/>
      <c r="D1" s="408"/>
      <c r="E1" s="408"/>
    </row>
    <row r="2" spans="1:7">
      <c r="A2" s="409"/>
      <c r="B2" s="409"/>
      <c r="C2" s="409"/>
      <c r="D2" s="409"/>
      <c r="E2" s="409"/>
    </row>
    <row r="3" spans="1:7">
      <c r="A3" s="102" t="s">
        <v>0</v>
      </c>
      <c r="B3" s="113" t="s">
        <v>603</v>
      </c>
      <c r="C3" s="102" t="s">
        <v>604</v>
      </c>
      <c r="D3" s="131" t="s">
        <v>605</v>
      </c>
      <c r="E3" s="233" t="s">
        <v>606</v>
      </c>
    </row>
    <row r="4" spans="1:7">
      <c r="A4" s="409"/>
      <c r="B4" s="409"/>
      <c r="C4" s="409"/>
      <c r="D4" s="409"/>
      <c r="E4" s="409"/>
    </row>
    <row r="5" spans="1:7">
      <c r="A5" s="60">
        <v>2</v>
      </c>
      <c r="B5" s="407" t="str">
        <f>[1]ADITIVO!B8:O8</f>
        <v>MOVIMENTO DE TERRA</v>
      </c>
      <c r="C5" s="407"/>
      <c r="D5" s="407"/>
      <c r="E5" s="407"/>
    </row>
    <row r="6" spans="1:7" ht="142.5" customHeight="1">
      <c r="A6" s="215" t="s">
        <v>26</v>
      </c>
      <c r="B6" s="114" t="str">
        <f>[1]ADITIVO!C9</f>
        <v>ATERRO MANUAL DE VALAS COM SOLO ARGILO-ARENOSO E COMPACTAÇÃO MECANIZADA. AF_05/2016</v>
      </c>
      <c r="C6" s="61" t="str">
        <f>[1]ADITIVO!E9</f>
        <v>M3</v>
      </c>
      <c r="D6" s="161" t="s">
        <v>1033</v>
      </c>
      <c r="E6" s="234">
        <f>'MEMORIA DE CÁLCULO ATERRO'!E7</f>
        <v>258.80419999999992</v>
      </c>
      <c r="F6" s="59">
        <f>238.53+106.53+27+45*6+25+15+3+3+8+5+14+13+72+45+37+2+2+19+12</f>
        <v>917.06</v>
      </c>
      <c r="G6" s="59">
        <f>917.06*0.8</f>
        <v>733.64800000000002</v>
      </c>
    </row>
    <row r="7" spans="1:7" ht="369" customHeight="1">
      <c r="A7" s="215" t="s">
        <v>30</v>
      </c>
      <c r="B7" s="114" t="str">
        <f>[1]ADITIVO!C10</f>
        <v>ESCAVAÇÃO MANUAL PARA BLOCO DE COROAMENTO OU SAPATA (INCLUINDO ESCAVAÇÃO PARA COLOCAÇÃO DE FÔRMAS). AF_06/2017</v>
      </c>
      <c r="C7" s="61" t="str">
        <f>[1]ADITIVO!E10</f>
        <v>M3</v>
      </c>
      <c r="D7" s="132" t="s">
        <v>816</v>
      </c>
      <c r="E7" s="216">
        <f>27.3375+53.94+74.25+7.92+54.6+4.2075+22.95+64.8375+15.795+17.5275+5.8275+5.99625+7.245+7.4175+8.1+8.4525+18.7425-139.8</f>
        <v>265.34625</v>
      </c>
      <c r="F7" s="59">
        <f>2*2.45*2.55*1.5</f>
        <v>18.7425</v>
      </c>
    </row>
    <row r="8" spans="1:7" ht="315" customHeight="1">
      <c r="A8" s="215" t="s">
        <v>33</v>
      </c>
      <c r="B8" s="114" t="str">
        <f>[1]ADITIVO!C11</f>
        <v>ESCAVAÇÃO MECANIZADA DE VALA COM PROF. ATÉ 1,5 M (MÉDIA ENTRE MONTANTE E JUSANTE/UMA COMPOSIÇÃO POR TRECHO) COM RETROESCAVADEIRA (0,26 M3/88 HP), LARGURA MENOR QUE 0,8 M, EM SOLO DE 2A CATEGORIA, EM LOCAIS COM BAIXO NÍVEL DE NTERFERÊNCIA. AF_02/2021</v>
      </c>
      <c r="C8" s="61" t="str">
        <f>[1]ADITIVO!E11</f>
        <v>M3</v>
      </c>
      <c r="D8" s="132" t="s">
        <v>817</v>
      </c>
      <c r="E8" s="216">
        <f>3.0112+6.08+0.112+3.008+0.9504+3.72+1.5632+1.032+0.4+2.4704+1.5248+1.5248+0.512+0.512+1.2+1+1.3104+0.992+0.992+1.464+2.472+1.304+1.2896+1.2896+0.648+0.296+0.2584+0.2928+0.2584+1.304+1.28+1.28+2.744+2.744+1.28+1.28+1.328+1.824+0.288+0.48</f>
        <v>57.320000000000014</v>
      </c>
    </row>
    <row r="9" spans="1:7" ht="45">
      <c r="A9" s="215" t="s">
        <v>795</v>
      </c>
      <c r="B9" s="114" t="str">
        <f>[1]ADITIVO!C12</f>
        <v xml:space="preserve">Expurgo de jazida (consv) </v>
      </c>
      <c r="C9" s="61" t="str">
        <f>[1]ADITIVO!E12</f>
        <v>M3</v>
      </c>
      <c r="D9" s="132" t="s">
        <v>818</v>
      </c>
      <c r="E9" s="216">
        <f>(405.15+57.32)*1.15</f>
        <v>531.84049999999991</v>
      </c>
    </row>
    <row r="10" spans="1:7" ht="60">
      <c r="A10" s="215" t="s">
        <v>1034</v>
      </c>
      <c r="B10" s="114" t="str">
        <f>[1]ADITIVO!C13</f>
        <v>SONDAGEM À PERCUSSÃO P/RECONHECIMENTO DO SUBSOLO</v>
      </c>
      <c r="C10" s="61" t="str">
        <f>[1]ADITIVO!E13</f>
        <v>M</v>
      </c>
      <c r="D10" s="132" t="s">
        <v>819</v>
      </c>
      <c r="E10" s="216">
        <f>10.1+10.06+10.07</f>
        <v>30.23</v>
      </c>
    </row>
    <row r="11" spans="1:7">
      <c r="A11" s="60">
        <v>3</v>
      </c>
      <c r="B11" s="407" t="str">
        <f>[1]ADITIVO!B15:O15</f>
        <v>FUNDAÇÃO</v>
      </c>
      <c r="C11" s="407"/>
      <c r="D11" s="407"/>
      <c r="E11" s="407"/>
    </row>
    <row r="12" spans="1:7" ht="330">
      <c r="A12" s="215" t="s">
        <v>36</v>
      </c>
      <c r="B12" s="114" t="str">
        <f>[1]ADITIVO!C16</f>
        <v>CONCRETO MAGRO PARA LASTRO, TRAÇO 1:4,5:4,5 (EM MASSA SECA DE CIMENTO/ AREIA MÉDIA/ BRITA 1) - PREPARO MECÂNICO COM BETONEIRA 400 L. AF_05/2021</v>
      </c>
      <c r="C12" s="61" t="str">
        <f>[1]ADITIVO!E16</f>
        <v>M3</v>
      </c>
      <c r="D12" s="200" t="s">
        <v>1026</v>
      </c>
      <c r="E12" s="216">
        <v>25.36</v>
      </c>
      <c r="F12" s="59">
        <f>2*1.6*1.65*0.1</f>
        <v>0.52800000000000002</v>
      </c>
    </row>
    <row r="13" spans="1:7" ht="45">
      <c r="A13" s="215" t="s">
        <v>39</v>
      </c>
      <c r="B13" s="114" t="str">
        <f>[1]ADITIVO!C18</f>
        <v>Forma plana para fundações, em tábuas de pinho, 07 usos</v>
      </c>
      <c r="C13" s="61" t="str">
        <f>[1]ADITIVO!E18</f>
        <v>m²</v>
      </c>
      <c r="D13" s="132" t="s">
        <v>820</v>
      </c>
      <c r="E13" s="216">
        <f>18.08+19.76</f>
        <v>37.840000000000003</v>
      </c>
    </row>
    <row r="14" spans="1:7" ht="75">
      <c r="A14" s="215" t="s">
        <v>43</v>
      </c>
      <c r="B14" s="238" t="str">
        <f>[1]ADITIVO!C19</f>
        <v>ARMAÇÃO DE BLOCO, VIGA BALDRAME OU SAPATA UTILIZANDO AÇO CA-50 DE 10 MM - MONTAGEM. AF_06/2017</v>
      </c>
      <c r="C14" s="61" t="str">
        <f>[1]ADITIVO!E19</f>
        <v>KG</v>
      </c>
      <c r="D14" s="132" t="s">
        <v>821</v>
      </c>
      <c r="E14" s="216">
        <f>191.12*0.617</f>
        <v>117.92104</v>
      </c>
    </row>
    <row r="15" spans="1:7" ht="75">
      <c r="A15" s="215" t="s">
        <v>47</v>
      </c>
      <c r="B15" s="114" t="str">
        <f>[1]ADITIVO!C20</f>
        <v>ARMAÇÃO DE BLOCO, VIGA BALDRAME E SAPATA UTILIZANDO AÇO CA-60 DE 5 MM - MONTAGEM. AF_06/2017</v>
      </c>
      <c r="C15" s="61" t="str">
        <f>[1]ADITIVO!E20</f>
        <v>KG</v>
      </c>
      <c r="D15" s="132" t="s">
        <v>822</v>
      </c>
      <c r="E15" s="216">
        <f>304.15*0.154</f>
        <v>46.839099999999995</v>
      </c>
    </row>
    <row r="16" spans="1:7" ht="45">
      <c r="A16" s="215" t="s">
        <v>50</v>
      </c>
      <c r="B16" s="114" t="str">
        <f>[1]ADITIVO!C21</f>
        <v>CONCRETO FCK = 25MPA, TRAÇO 1:2,3:2,7 (EM MASSA SECA DE CIMENTO/ AREIA MÉDIA/ BRITA 1) - PREPARO MECÂNICO COM BETONEIRA 400 L. AF_05/2021</v>
      </c>
      <c r="C16" s="61" t="str">
        <f>[1]ADITIVO!E21</f>
        <v>M3</v>
      </c>
      <c r="D16" s="132" t="s">
        <v>823</v>
      </c>
      <c r="E16" s="216">
        <f>1.017+1.1115</f>
        <v>2.1284999999999998</v>
      </c>
    </row>
    <row r="17" spans="1:8" ht="45">
      <c r="A17" s="215" t="s">
        <v>53</v>
      </c>
      <c r="B17" s="114" t="str">
        <f>[1]ADITIVO!C22</f>
        <v>LANÇAMENTO COM USO DE BOMBA, ADENSAMENTO E ACABAMENTO DE CONCRETO EM ESTRUTURAS. AF_12/2015</v>
      </c>
      <c r="C17" s="61" t="str">
        <f>[1]ADITIVO!E22</f>
        <v>M3</v>
      </c>
      <c r="D17" s="132" t="s">
        <v>823</v>
      </c>
      <c r="E17" s="216">
        <f>1.017+1.1115</f>
        <v>2.1284999999999998</v>
      </c>
    </row>
    <row r="18" spans="1:8" ht="360">
      <c r="A18" s="215" t="s">
        <v>56</v>
      </c>
      <c r="B18" s="114" t="str">
        <f>[1]ADITIVO!C23</f>
        <v xml:space="preserve">Impermeabilização de alicerce e viga baldrame com 2 demãos de tinta asfáltica tipo Neutrol da Vedacit ou similar, exceto argamassa impermeabilização </v>
      </c>
      <c r="C18" s="61" t="str">
        <f>[1]ADITIVO!E23</f>
        <v>M2</v>
      </c>
      <c r="D18" s="115" t="s">
        <v>613</v>
      </c>
      <c r="E18" s="216">
        <f>17.805+2.55+2.55+2.445+4.8+1.53+29.7225+4.8+1.275+29.97+3.18+4.23+29.7225+6.195+1.275+29.97+7.965+14.5725+24.0375+14.4225+24.3675+24.3675+7.305</f>
        <v>289.0575</v>
      </c>
    </row>
    <row r="19" spans="1:8">
      <c r="A19" s="60">
        <v>4</v>
      </c>
      <c r="B19" s="407" t="str">
        <f>[1]ADITIVO!B24:O24</f>
        <v>ELEMENTO VAZADO</v>
      </c>
      <c r="C19" s="407"/>
      <c r="D19" s="407"/>
      <c r="E19" s="407"/>
    </row>
    <row r="20" spans="1:8" ht="134.25" customHeight="1">
      <c r="A20" s="215" t="s">
        <v>800</v>
      </c>
      <c r="B20" s="220" t="str">
        <f>[1]ADITIVO!C25</f>
        <v>(COMPOSIÇÃO REPRESENTATIVA) DO SERVIÇO DE ALVENARIA DE VEDAÇÃO DE BLOCOS VAZADOS DE CERÂMICA DE 14X9X19CM (ESPESSURA 14CM, BLOCO DEITADO), PARA EDIFICAÇÃO HABITACIONAL UNIFAMILIAR (CASA) E EDIFICAÇÃO PÚBLICA PADRÃO. AF_12/2014</v>
      </c>
      <c r="C20" s="61" t="str">
        <f>[1]ADITIVO!E25</f>
        <v>M2</v>
      </c>
      <c r="D20" s="221" t="s">
        <v>824</v>
      </c>
      <c r="E20" s="222">
        <f>120.95+45.124</f>
        <v>166.07400000000001</v>
      </c>
    </row>
    <row r="21" spans="1:8">
      <c r="A21" s="60">
        <v>5</v>
      </c>
      <c r="B21" s="407" t="str">
        <f>[1]ADITIVO!B26:O26</f>
        <v>ESTRUTURA</v>
      </c>
      <c r="C21" s="407"/>
      <c r="D21" s="407"/>
      <c r="E21" s="407"/>
    </row>
    <row r="22" spans="1:8" ht="333" customHeight="1">
      <c r="A22" s="215" t="s">
        <v>74</v>
      </c>
      <c r="B22" s="114" t="str">
        <f>[1]ADITIVO!C28</f>
        <v>Forma plana para estruturas, em compensado plastificado de 12mm, 07 usos, inclusive escoramento - Revisada 07.2015</v>
      </c>
      <c r="C22" s="61" t="str">
        <f>[1]ADITIVO!E28</f>
        <v>m2</v>
      </c>
      <c r="D22" s="200" t="s">
        <v>1040</v>
      </c>
      <c r="E22" s="216">
        <v>271.32</v>
      </c>
      <c r="F22" s="224" t="s">
        <v>1039</v>
      </c>
      <c r="H22" s="59">
        <f>289.41/3.2*3</f>
        <v>271.32187499999998</v>
      </c>
    </row>
    <row r="23" spans="1:8" ht="60">
      <c r="A23" s="215" t="s">
        <v>77</v>
      </c>
      <c r="B23" s="114" t="str">
        <f>[1]ADITIVO!C27</f>
        <v>ARMAÇÃO DE PILAR OU VIGA DE UMA ESTRUTURA CONVENCIONAL DE CONCRETO ARMADO EM UMA EDIFICAÇÃO TÉRREA OU SOBRADO UTILIZANDO AÇO CA-50 DE 8,0 MM - MONTAGEM. AF_12/2015</v>
      </c>
      <c r="C23" s="61" t="str">
        <f>[1]ADITIVO!E27</f>
        <v>M2</v>
      </c>
      <c r="D23" s="115" t="s">
        <v>825</v>
      </c>
      <c r="E23" s="216">
        <f>31.36*0.395</f>
        <v>12.3872</v>
      </c>
    </row>
    <row r="24" spans="1:8" ht="270">
      <c r="A24" s="215" t="s">
        <v>80</v>
      </c>
      <c r="B24" s="114" t="str">
        <f>[1]ADITIVO!C29</f>
        <v>ARMAÇÃO DE PILAR OU VIGA DE UMA ESTRUTURA CONVENCIONAL DE CONCRETO ARMADO EM UMA EDIFICAÇÃO TÉRREA OU SOBRADO UTILIZANDO AÇO CA-50 DE 10,0 MM - MONTAGEM. AF_12/2015</v>
      </c>
      <c r="C24" s="61" t="str">
        <f>[1]ADITIVO!E29</f>
        <v>KG</v>
      </c>
      <c r="D24" s="132" t="s">
        <v>826</v>
      </c>
      <c r="E24" s="216">
        <f>770.016</f>
        <v>770.01599999999996</v>
      </c>
    </row>
    <row r="25" spans="1:8" ht="120">
      <c r="A25" s="215" t="s">
        <v>83</v>
      </c>
      <c r="B25" s="114" t="str">
        <f>[1]ADITIVO!C30</f>
        <v>ARMAÇÃO DE PILAR OU VIGA DE UMA ESTRUTURA CONVENCIONAL DE CONCRETO ARMADO EM UMA EDIFICAÇÃO TÉRREA OU SOBRADO UTILIZANDO AÇO CA-50 DE 12,5 MM - MONTAGEM. AF_12/2015</v>
      </c>
      <c r="C25" s="61" t="str">
        <f>[1]ADITIVO!E30</f>
        <v>KG</v>
      </c>
      <c r="D25" s="132" t="s">
        <v>827</v>
      </c>
      <c r="E25" s="216">
        <f>92.448</f>
        <v>92.447999999999993</v>
      </c>
    </row>
    <row r="26" spans="1:8" ht="315">
      <c r="A26" s="215" t="s">
        <v>86</v>
      </c>
      <c r="B26" s="114" t="str">
        <f>[1]ADITIVO!C31</f>
        <v>ARMAÇÃO DE PILAR OU VIGA DE UMA ESTRUTURA CONVENCIONAL DE CONCRETO ARMADO EM UMA EDIFICAÇÃO TÉRREA OU SOBRADO UTILIZANDO AÇO CA-60 DE 5,0 MM - MONTAGEM. AF_12/2015</v>
      </c>
      <c r="C26" s="61" t="str">
        <f>[1]ADITIVO!E31</f>
        <v>KG</v>
      </c>
      <c r="D26" s="132" t="s">
        <v>828</v>
      </c>
      <c r="E26" s="216">
        <f>290.849</f>
        <v>290.84899999999999</v>
      </c>
    </row>
    <row r="27" spans="1:8" ht="300">
      <c r="A27" s="215" t="s">
        <v>89</v>
      </c>
      <c r="B27" s="114" t="str">
        <f>[1]ADITIVO!C32</f>
        <v>CONCRETO FCK = 25MPA, TRAÇO 1:2,3:2,7 (EM MASSA SECA DE CIMENTO/ AREIA MÉDIA/ BRITA 1) - PREPARO MECÂNICO COM BETONEIRA 600 L. AF_05/2021</v>
      </c>
      <c r="C27" s="61" t="str">
        <f>[1]ADITIVO!E32</f>
        <v>M3</v>
      </c>
      <c r="D27" s="132" t="s">
        <v>829</v>
      </c>
      <c r="E27" s="216">
        <v>13.244999999999999</v>
      </c>
    </row>
    <row r="28" spans="1:8" ht="300">
      <c r="A28" s="215" t="s">
        <v>92</v>
      </c>
      <c r="B28" s="114" t="str">
        <f>[1]ADITIVO!C33</f>
        <v>LANÇAMENTO COM USO DE BOMBA, ADENSAMENTO E ACABAMENTO DE CONCRETO EM ESTRUTURAS. AF_12/2015</v>
      </c>
      <c r="C28" s="61" t="str">
        <f>[1]ADITIVO!E33</f>
        <v>M3</v>
      </c>
      <c r="D28" s="132" t="s">
        <v>829</v>
      </c>
      <c r="E28" s="216">
        <v>13.244999999999999</v>
      </c>
    </row>
    <row r="29" spans="1:8">
      <c r="A29" s="215" t="s">
        <v>93</v>
      </c>
      <c r="B29" s="407" t="str">
        <f>[1]ADITIVO!B34:O34</f>
        <v>MURO</v>
      </c>
      <c r="C29" s="407"/>
      <c r="D29" s="407"/>
      <c r="E29" s="407"/>
    </row>
    <row r="30" spans="1:8" ht="30">
      <c r="A30" s="215" t="s">
        <v>96</v>
      </c>
      <c r="B30" s="114" t="str">
        <f>[1]ADITIVO!C35</f>
        <v>ESCAVAÇÃO MANUAL PARA BLOCO DE COROAMENTO OU SAPATA (INCLUINDO ESCAVAÇÃO PARA COLOCAÇÃO DE FÔRMAS). AF_06/2017</v>
      </c>
      <c r="C30" s="61" t="str">
        <f>[1]ADITIVO!E35</f>
        <v>M3</v>
      </c>
      <c r="D30" s="116" t="s">
        <v>830</v>
      </c>
      <c r="E30" s="216">
        <f>'[1]MEMORIA MURO'!F8</f>
        <v>32.129999999999995</v>
      </c>
    </row>
    <row r="31" spans="1:8" ht="60">
      <c r="A31" s="215" t="s">
        <v>99</v>
      </c>
      <c r="B31" s="114" t="str">
        <f>[1]ADITIVO!C36</f>
        <v>ALVENARIA DE VEDAÇÃO DE BLOCOS CERÂMICOS FURADOS NA HORIZONTAL DE 9X19X19CM (ESPESSURA 9CM) DE PAREDES COM ÁREA LÍQUIDA MAIOR OU IGUAL A 6M² SEM VÃOS E ARGAMASSA DE ASSENTAMENTO COM PREPARO EM BETONEIRA. AF_06/2014</v>
      </c>
      <c r="C31" s="61" t="str">
        <f>[1]ADITIVO!E36</f>
        <v>M2</v>
      </c>
      <c r="D31" s="116" t="s">
        <v>830</v>
      </c>
      <c r="E31" s="216">
        <f>'[1]MEMORIA MURO'!F15</f>
        <v>60</v>
      </c>
    </row>
    <row r="32" spans="1:8" ht="45">
      <c r="A32" s="215" t="s">
        <v>102</v>
      </c>
      <c r="B32" s="114" t="str">
        <f>[1]ADITIVO!C37</f>
        <v>CONCRETO FCK = 25MPA, TRAÇO 1:2,3:2,7 (EM MASSA SECA DE CIMENTO/ AREIA MÉDIA/ BRITA 1) - PREPARO MECÂNICO COM BETONEIRA 400 L. AF_05/2021</v>
      </c>
      <c r="C32" s="61" t="str">
        <f>[1]ADITIVO!E37</f>
        <v>M3</v>
      </c>
      <c r="D32" s="116" t="s">
        <v>830</v>
      </c>
      <c r="E32" s="216">
        <f>'[1]MEMORIA MURO'!F22</f>
        <v>0.99359999999999993</v>
      </c>
    </row>
    <row r="33" spans="1:5" ht="45">
      <c r="A33" s="215" t="s">
        <v>1037</v>
      </c>
      <c r="B33" s="114" t="str">
        <f>[1]ADITIVO!C38</f>
        <v>CHAPISCO APLICADO EM ALVENARIAS E ESTRUTURAS DE CONCRETO INTERNAS, COM COLHER DE PEDREIRO.  ARGAMASSA TRAÇO 1:3 COM PREPARO EM BETONEIRA 400L. AF_06/2014</v>
      </c>
      <c r="C33" s="61" t="str">
        <f>[1]ADITIVO!E38</f>
        <v>M2</v>
      </c>
      <c r="D33" s="116" t="s">
        <v>830</v>
      </c>
      <c r="E33" s="216">
        <f>'[1]MEMORIA MURO'!F29</f>
        <v>120</v>
      </c>
    </row>
    <row r="34" spans="1:5" ht="60">
      <c r="A34" s="215" t="s">
        <v>1038</v>
      </c>
      <c r="B34" s="114" t="str">
        <f>[1]ADITIVO!C39</f>
        <v>MASSA ÚNICA, PARA RECEBIMENTO DE PINTURA, EM ARGAMASSA TRAÇO 1:2:8, PREPARO MECÂNICO COM BETONEIRA 400L, APLICADA MANUALMENTE EM FACES INTERNAS DE PAREDES, ESPESSURA DE 10MM, COM EXECUÇÃO DE TALISCAS. AF_06/2014</v>
      </c>
      <c r="C34" s="61" t="str">
        <f>[1]ADITIVO!E39</f>
        <v>M2</v>
      </c>
      <c r="D34" s="116" t="s">
        <v>830</v>
      </c>
      <c r="E34" s="216">
        <f>'[1]MEMORIA MURO'!F36</f>
        <v>120</v>
      </c>
    </row>
    <row r="35" spans="1:5">
      <c r="A35" s="60">
        <f>[1]ADITIVO!A40</f>
        <v>6</v>
      </c>
      <c r="B35" s="407" t="str">
        <f>[1]ADITIVO!B40:O40</f>
        <v>RAMPA DE ACESSO</v>
      </c>
      <c r="C35" s="407"/>
      <c r="D35" s="407"/>
      <c r="E35" s="407"/>
    </row>
    <row r="36" spans="1:5" ht="60">
      <c r="A36" s="61" t="str">
        <f>[1]ADITIVO!A41</f>
        <v>6.1</v>
      </c>
      <c r="B36" s="115" t="str">
        <f>[1]ADITIVO!C41</f>
        <v>ALVENARIA DE VEDAÇÃO DE BLOCOS CERÂMICOS FURADOS NA HORIZONTAL DE 9X19X19CM (ESPESSURA 9CM) DE PAREDES COM ÁREA LÍQUIDA MAIOR OU IGUAL A 6M² SEM VÃOS E ARGAMASSA DE ASSENTAMENTO COM PREPARO EM BETONEIRA. AF_06/2014</v>
      </c>
      <c r="C36" s="62" t="str">
        <f>[1]ADITIVO!E41</f>
        <v>M2</v>
      </c>
      <c r="D36" s="115" t="s">
        <v>831</v>
      </c>
      <c r="E36" s="216">
        <f>((6.33*0.75*2) + (4.65*0.75*2))+10.065</f>
        <v>26.535000000000004</v>
      </c>
    </row>
    <row r="37" spans="1:5" ht="30">
      <c r="A37" s="61" t="str">
        <f>[1]ADITIVO!A42</f>
        <v>6.2</v>
      </c>
      <c r="B37" s="115" t="str">
        <f>[1]ADITIVO!C42</f>
        <v>ATERRO MANUAL DE VALAS COM SOLO ARGILO-ARENOSO E COMPACTAÇÃO MECANIZADA. AF_05/2016</v>
      </c>
      <c r="C37" s="62" t="str">
        <f>[1]ADITIVO!E42</f>
        <v>M3</v>
      </c>
      <c r="D37" s="115" t="s">
        <v>832</v>
      </c>
      <c r="E37" s="216">
        <f>8.4006+22.07588</f>
        <v>30.476480000000002</v>
      </c>
    </row>
    <row r="38" spans="1:5" ht="45">
      <c r="A38" s="61" t="str">
        <f>[1]ADITIVO!A43</f>
        <v>6.3</v>
      </c>
      <c r="B38" s="115" t="str">
        <f>[1]ADITIVO!C43</f>
        <v>EXECUÇÃO DE PASSEIO (CALÇADA) OU PISO DE CONCRETO COM CONCRETO MOLDADO IN LOCO, FEITO EM OBRA, ACABAMENTO CONVENCIONAL, ESPESSURA 6 CM, ARMADO. AF_07/2016</v>
      </c>
      <c r="C38" s="62" t="str">
        <f>[1]ADITIVO!E43</f>
        <v>M2</v>
      </c>
      <c r="D38" s="115" t="s">
        <v>833</v>
      </c>
      <c r="E38" s="216">
        <f>11.2008+29.4345</f>
        <v>40.635300000000001</v>
      </c>
    </row>
    <row r="39" spans="1:5" ht="45">
      <c r="A39" s="61" t="str">
        <f>[1]ADITIVO!A44</f>
        <v>6.4</v>
      </c>
      <c r="B39" s="115" t="str">
        <f>[1]ADITIVO!C44</f>
        <v>CONTRAPISO EM ARGAMASSA TRAÇO 1:4 (CIMENTO E AREIA), PREPARO MANUAL, APLICADO EM ÁREAS SECAS SOBRE LAJE, ADERIDO, ACABAMENTO NÃO REFORÇADO, ESPESSURA 3CM. AF_07/2021</v>
      </c>
      <c r="C39" s="62" t="str">
        <f>[1]ADITIVO!E44</f>
        <v>M2</v>
      </c>
      <c r="D39" s="115" t="s">
        <v>834</v>
      </c>
      <c r="E39" s="216">
        <f>11.2008+29.4345</f>
        <v>40.635300000000001</v>
      </c>
    </row>
    <row r="40" spans="1:5" ht="45">
      <c r="A40" s="61" t="str">
        <f>[1]ADITIVO!A45</f>
        <v>6.5</v>
      </c>
      <c r="B40" s="115" t="str">
        <f>[1]ADITIVO!C45</f>
        <v>CHAPISCO APLICADO EM ALVENARIAS E ESTRUTURAS DE CONCRETO INTERNAS, COM COLHER DE PEDREIRO.  ARGAMASSA TRAÇO 1:3 COM PREPARO EM BETONEIRA 400L. AF_06/2014</v>
      </c>
      <c r="C40" s="62" t="str">
        <f>[1]ADITIVO!E45</f>
        <v>M2</v>
      </c>
      <c r="D40" s="115" t="s">
        <v>835</v>
      </c>
      <c r="E40" s="222">
        <f>2.34+16.65</f>
        <v>18.989999999999998</v>
      </c>
    </row>
    <row r="41" spans="1:5" ht="60">
      <c r="A41" s="61" t="str">
        <f>[1]ADITIVO!A46</f>
        <v>6.6</v>
      </c>
      <c r="B41" s="115" t="str">
        <f>[1]ADITIVO!C46</f>
        <v>MASSA ÚNICA, PARA RECEBIMENTO DE PINTURA, EM ARGAMASSA TRAÇO 1:2:8, PREPARO MECÂNICO COM BETONEIRA 400L, APLICADA MANUALMENTE EM FACES INTERNAS DE PAREDES, ESPESSURA DE 10MM, COM EXECUÇÃO DE TALISCAS. AF_06/2014</v>
      </c>
      <c r="C41" s="62" t="str">
        <f>[1]ADITIVO!E46</f>
        <v>M2</v>
      </c>
      <c r="D41" s="115" t="s">
        <v>835</v>
      </c>
      <c r="E41" s="222">
        <f>2.34+16.65</f>
        <v>18.989999999999998</v>
      </c>
    </row>
    <row r="42" spans="1:5" ht="30">
      <c r="A42" s="61" t="str">
        <f>[1]ADITIVO!A47</f>
        <v>6.7</v>
      </c>
      <c r="B42" s="115" t="str">
        <f>[1]ADITIVO!C47</f>
        <v>Emassamento de superfície, com aplicação de 02 demãos de massa acrílica, lixamento e retoques - Rev 01</v>
      </c>
      <c r="C42" s="62" t="str">
        <f>[1]ADITIVO!E47</f>
        <v>m2</v>
      </c>
      <c r="D42" s="115" t="s">
        <v>835</v>
      </c>
      <c r="E42" s="222">
        <f>2.34+16.65</f>
        <v>18.989999999999998</v>
      </c>
    </row>
    <row r="43" spans="1:5" ht="30">
      <c r="A43" s="61" t="str">
        <f>[1]ADITIVO!A48</f>
        <v>6.8</v>
      </c>
      <c r="B43" s="115" t="str">
        <f>[1]ADITIVO!C48</f>
        <v>APLICAÇÃO DE FUNDO SELADOR ACRÍLICO EM PAREDES, UMA DEMÃO. AF_06/2014</v>
      </c>
      <c r="C43" s="62" t="str">
        <f>[1]ADITIVO!E48</f>
        <v>M2</v>
      </c>
      <c r="D43" s="115" t="s">
        <v>835</v>
      </c>
      <c r="E43" s="222">
        <f>2.34+16.65</f>
        <v>18.989999999999998</v>
      </c>
    </row>
    <row r="44" spans="1:5" ht="30">
      <c r="A44" s="61" t="str">
        <f>[1]ADITIVO!A49</f>
        <v>6.9</v>
      </c>
      <c r="B44" s="115" t="str">
        <f>[1]ADITIVO!C49</f>
        <v>APLICAÇÃO MANUAL DE PINTURA COM TINTA LÁTEX ACRÍLICA EM PAREDES, DUAS DEMÃOS. AF_06/2014</v>
      </c>
      <c r="C44" s="62" t="str">
        <f>[1]ADITIVO!E49</f>
        <v>M2</v>
      </c>
      <c r="D44" s="115" t="s">
        <v>835</v>
      </c>
      <c r="E44" s="222">
        <f>2.34+16.65</f>
        <v>18.989999999999998</v>
      </c>
    </row>
    <row r="45" spans="1:5" ht="30">
      <c r="A45" s="61" t="str">
        <f>[1]ADITIVO!A50</f>
        <v>6.10</v>
      </c>
      <c r="B45" s="115" t="str">
        <f>[1]ADITIVO!C50</f>
        <v xml:space="preserve">Corrimão em aço inox ø=1 1/2", duplo, h=90cm </v>
      </c>
      <c r="C45" s="62" t="str">
        <f>[1]ADITIVO!E50</f>
        <v>M</v>
      </c>
      <c r="D45" s="115" t="s">
        <v>836</v>
      </c>
      <c r="E45" s="222">
        <f>4.8+1.5+1.5+1.62+1.5+1.5+4.8+4.8+1.62+4.8+2</f>
        <v>30.44</v>
      </c>
    </row>
    <row r="46" spans="1:5">
      <c r="B46" s="115"/>
    </row>
  </sheetData>
  <mergeCells count="9">
    <mergeCell ref="B21:E21"/>
    <mergeCell ref="B29:E29"/>
    <mergeCell ref="B35:E35"/>
    <mergeCell ref="A1:E1"/>
    <mergeCell ref="A2:E2"/>
    <mergeCell ref="A4:E4"/>
    <mergeCell ref="B5:E5"/>
    <mergeCell ref="B11:E11"/>
    <mergeCell ref="B19:E19"/>
  </mergeCells>
  <phoneticPr fontId="43" type="noConversion"/>
  <pageMargins left="0.511811024" right="0.511811024" top="0.78740157499999996" bottom="0.78740157499999996" header="0.31496062000000002" footer="0.31496062000000002"/>
  <pageSetup paperSize="9" scale="54" fitToHeight="0" orientation="landscape" horizontalDpi="360" verticalDpi="360" r:id="rId1"/>
  <rowBreaks count="4" manualBreakCount="4">
    <brk id="8" max="4" man="1"/>
    <brk id="10" max="4" man="1"/>
    <brk id="18" max="4" man="1"/>
    <brk id="28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EADA-E56B-4E4D-8A43-1E599D6D36F4}">
  <sheetPr>
    <tabColor rgb="FF00B050"/>
  </sheetPr>
  <dimension ref="A1:T442"/>
  <sheetViews>
    <sheetView view="pageBreakPreview" topLeftCell="A262" zoomScale="59" zoomScaleNormal="57" zoomScaleSheetLayoutView="59" workbookViewId="0">
      <selection activeCell="L274" sqref="L274"/>
    </sheetView>
  </sheetViews>
  <sheetFormatPr defaultRowHeight="15"/>
  <cols>
    <col min="1" max="1" width="7.42578125" style="144" customWidth="1"/>
    <col min="2" max="2" width="9.85546875" bestFit="1" customWidth="1"/>
    <col min="3" max="3" width="50.28515625" style="120" customWidth="1"/>
    <col min="4" max="4" width="9.7109375" bestFit="1" customWidth="1"/>
    <col min="5" max="5" width="5.85546875" bestFit="1" customWidth="1"/>
    <col min="6" max="6" width="18.140625" style="58" customWidth="1"/>
    <col min="7" max="7" width="14.42578125" style="58" bestFit="1" customWidth="1"/>
    <col min="8" max="8" width="19.140625" style="123" bestFit="1" customWidth="1"/>
    <col min="9" max="9" width="30.85546875" style="123" bestFit="1" customWidth="1"/>
    <col min="10" max="10" width="30.85546875" style="300" customWidth="1"/>
    <col min="11" max="11" width="27.140625" style="123" bestFit="1" customWidth="1"/>
    <col min="12" max="12" width="28.42578125" style="130" bestFit="1" customWidth="1"/>
    <col min="13" max="13" width="28.42578125" style="145" customWidth="1"/>
    <col min="14" max="14" width="12.42578125" style="145" bestFit="1" customWidth="1"/>
    <col min="15" max="15" width="19" style="144" customWidth="1"/>
    <col min="16" max="16" width="11.5703125" style="144" bestFit="1" customWidth="1"/>
    <col min="17" max="17" width="43.28515625" bestFit="1" customWidth="1"/>
    <col min="19" max="19" width="17.7109375" bestFit="1" customWidth="1"/>
  </cols>
  <sheetData>
    <row r="1" spans="1:20" ht="15" customHeight="1">
      <c r="A1" s="371"/>
      <c r="B1" s="372"/>
      <c r="C1" s="373"/>
      <c r="D1" s="387" t="s">
        <v>1043</v>
      </c>
      <c r="E1" s="388"/>
      <c r="F1" s="388"/>
      <c r="G1" s="388"/>
      <c r="H1" s="388"/>
      <c r="I1" s="388"/>
      <c r="J1" s="388"/>
      <c r="K1" s="388"/>
      <c r="L1" s="389"/>
      <c r="M1" s="240"/>
      <c r="N1" s="240"/>
    </row>
    <row r="2" spans="1:20" ht="27.75" customHeight="1">
      <c r="A2" s="374"/>
      <c r="B2" s="375"/>
      <c r="C2" s="376"/>
      <c r="D2" s="390"/>
      <c r="E2" s="391"/>
      <c r="F2" s="391"/>
      <c r="G2" s="391"/>
      <c r="H2" s="391"/>
      <c r="I2" s="391"/>
      <c r="J2" s="391"/>
      <c r="K2" s="391"/>
      <c r="L2" s="392"/>
      <c r="M2" s="240"/>
      <c r="N2" s="240"/>
    </row>
    <row r="3" spans="1:20" ht="27" customHeight="1">
      <c r="A3" s="377"/>
      <c r="B3" s="378"/>
      <c r="C3" s="379"/>
      <c r="D3" s="384" t="s">
        <v>602</v>
      </c>
      <c r="E3" s="385"/>
      <c r="F3" s="385"/>
      <c r="G3" s="385"/>
      <c r="H3" s="385"/>
      <c r="I3" s="385"/>
      <c r="J3" s="385"/>
      <c r="K3" s="385"/>
      <c r="L3" s="386"/>
      <c r="M3" s="241"/>
      <c r="N3" s="241"/>
    </row>
    <row r="4" spans="1:20" ht="16.5" customHeight="1">
      <c r="A4" s="393" t="s">
        <v>1025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5"/>
      <c r="M4" s="242"/>
      <c r="N4" s="242"/>
    </row>
    <row r="5" spans="1:20" ht="22.5" customHeight="1" thickBot="1">
      <c r="A5" s="396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8"/>
      <c r="M5" s="242"/>
      <c r="N5" s="242"/>
      <c r="R5" s="174" t="s">
        <v>1020</v>
      </c>
      <c r="S5" s="152">
        <v>1478786.25</v>
      </c>
    </row>
    <row r="6" spans="1:20" ht="18" customHeight="1" thickBot="1">
      <c r="A6" s="402" t="s">
        <v>0</v>
      </c>
      <c r="B6" s="404" t="s">
        <v>1</v>
      </c>
      <c r="C6" s="404" t="s">
        <v>2</v>
      </c>
      <c r="D6" s="404" t="s">
        <v>3</v>
      </c>
      <c r="E6" s="404" t="s">
        <v>4</v>
      </c>
      <c r="F6" s="399" t="s">
        <v>1045</v>
      </c>
      <c r="G6" s="400"/>
      <c r="H6" s="400"/>
      <c r="I6" s="400"/>
      <c r="J6" s="400"/>
      <c r="K6" s="400"/>
      <c r="L6" s="400"/>
      <c r="M6" s="239"/>
      <c r="N6" s="247"/>
      <c r="O6" s="246" t="s">
        <v>1011</v>
      </c>
      <c r="P6" s="155">
        <v>0.27350000000000002</v>
      </c>
      <c r="R6" s="174" t="s">
        <v>1021</v>
      </c>
      <c r="S6" s="152">
        <v>1292562.49</v>
      </c>
      <c r="T6">
        <f>S6/S5</f>
        <v>0.8740698596568639</v>
      </c>
    </row>
    <row r="7" spans="1:20" ht="56.25" customHeight="1" thickBot="1">
      <c r="A7" s="403"/>
      <c r="B7" s="405"/>
      <c r="C7" s="405"/>
      <c r="D7" s="405"/>
      <c r="E7" s="406"/>
      <c r="F7" s="283" t="s">
        <v>1069</v>
      </c>
      <c r="G7" s="284" t="s">
        <v>5</v>
      </c>
      <c r="H7" s="151" t="s">
        <v>1014</v>
      </c>
      <c r="I7" s="285" t="s">
        <v>1015</v>
      </c>
      <c r="J7" s="290" t="str">
        <f>'BM-06'!J7</f>
        <v>ACUMULADO ANTERIOR</v>
      </c>
      <c r="K7" s="308" t="s">
        <v>1046</v>
      </c>
      <c r="L7" s="306" t="s">
        <v>1066</v>
      </c>
      <c r="M7" s="309" t="s">
        <v>1067</v>
      </c>
      <c r="N7" s="249" t="s">
        <v>1068</v>
      </c>
      <c r="O7" s="166" t="s">
        <v>1012</v>
      </c>
      <c r="P7" s="167">
        <v>0.87</v>
      </c>
      <c r="Q7" s="175"/>
    </row>
    <row r="8" spans="1:20" s="144" customFormat="1" ht="20.25" customHeight="1" thickBot="1">
      <c r="A8" s="381"/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10"/>
      <c r="N8" s="248"/>
      <c r="O8" s="168"/>
      <c r="P8" s="169"/>
    </row>
    <row r="9" spans="1:20" ht="20.100000000000001" customHeight="1">
      <c r="A9" s="229">
        <v>1</v>
      </c>
      <c r="B9" s="380" t="s">
        <v>6</v>
      </c>
      <c r="C9" s="380"/>
      <c r="D9" s="217"/>
      <c r="E9" s="217"/>
      <c r="F9" s="217"/>
      <c r="G9" s="217"/>
      <c r="H9" s="217"/>
      <c r="I9" s="146"/>
      <c r="J9" s="217"/>
      <c r="K9" s="217"/>
      <c r="L9" s="244"/>
      <c r="M9" s="244"/>
      <c r="N9" s="124"/>
      <c r="O9" s="170"/>
      <c r="P9" s="170"/>
    </row>
    <row r="10" spans="1:20" ht="26.25" customHeight="1">
      <c r="A10" s="140" t="s">
        <v>7</v>
      </c>
      <c r="B10" s="1" t="s">
        <v>8</v>
      </c>
      <c r="C10" s="117" t="s">
        <v>9</v>
      </c>
      <c r="D10" s="1" t="s">
        <v>10</v>
      </c>
      <c r="E10" s="1" t="s">
        <v>11</v>
      </c>
      <c r="F10" s="56">
        <v>6</v>
      </c>
      <c r="G10" s="56">
        <f>288.89</f>
        <v>288.89</v>
      </c>
      <c r="H10" s="121">
        <f>G10*$O$10</f>
        <v>367.90141499999999</v>
      </c>
      <c r="I10" s="125">
        <f>[5]READEQUAÇÃO!N10</f>
        <v>2207.4084899999998</v>
      </c>
      <c r="J10" s="291">
        <f>'BM-06'!L9</f>
        <v>6</v>
      </c>
      <c r="K10" s="125">
        <f>J10*H10</f>
        <v>2207.4084899999998</v>
      </c>
      <c r="L10" s="125">
        <f>F10-J10</f>
        <v>0</v>
      </c>
      <c r="M10" s="291">
        <f>L10*H10</f>
        <v>0</v>
      </c>
      <c r="N10" s="312">
        <f>(J10+L10)/F10</f>
        <v>1</v>
      </c>
      <c r="O10" s="156">
        <v>1.2735000000000001</v>
      </c>
      <c r="P10" s="156"/>
    </row>
    <row r="11" spans="1:20" ht="28.5" customHeight="1">
      <c r="A11" s="140" t="s">
        <v>12</v>
      </c>
      <c r="B11" s="1" t="s">
        <v>13</v>
      </c>
      <c r="C11" s="117" t="s">
        <v>14</v>
      </c>
      <c r="D11" s="1" t="s">
        <v>10</v>
      </c>
      <c r="E11" s="1" t="s">
        <v>15</v>
      </c>
      <c r="F11" s="56">
        <v>1</v>
      </c>
      <c r="G11" s="56">
        <f>12298.86</f>
        <v>12298.86</v>
      </c>
      <c r="H11" s="121">
        <f>G11*$O$10</f>
        <v>15662.598210000002</v>
      </c>
      <c r="I11" s="125">
        <f>[5]READEQUAÇÃO!N11</f>
        <v>15662.598210000002</v>
      </c>
      <c r="J11" s="291">
        <f>'BM-06'!L10</f>
        <v>1</v>
      </c>
      <c r="K11" s="125">
        <f t="shared" ref="K11:K74" si="0">J11*H11</f>
        <v>15662.598210000002</v>
      </c>
      <c r="L11" s="125">
        <f t="shared" ref="L11:L73" si="1">F11-J11</f>
        <v>0</v>
      </c>
      <c r="M11" s="291">
        <f t="shared" ref="M11:M73" si="2">L11*H11</f>
        <v>0</v>
      </c>
      <c r="N11" s="312">
        <f t="shared" ref="N11:N74" si="3">(J11+L11)/F11</f>
        <v>1</v>
      </c>
    </row>
    <row r="12" spans="1:20" ht="38.25">
      <c r="A12" s="140" t="s">
        <v>16</v>
      </c>
      <c r="B12" s="1" t="s">
        <v>17</v>
      </c>
      <c r="C12" s="117" t="s">
        <v>18</v>
      </c>
      <c r="D12" s="1" t="s">
        <v>19</v>
      </c>
      <c r="E12" s="1" t="s">
        <v>20</v>
      </c>
      <c r="F12" s="56">
        <v>160.1</v>
      </c>
      <c r="G12" s="56">
        <f>41.08</f>
        <v>41.08</v>
      </c>
      <c r="H12" s="121">
        <f>G12*$O$10</f>
        <v>52.315379999999998</v>
      </c>
      <c r="I12" s="125">
        <f>[5]READEQUAÇÃO!N12</f>
        <v>8375.6923379999989</v>
      </c>
      <c r="J12" s="291">
        <f>'BM-06'!L11</f>
        <v>152</v>
      </c>
      <c r="K12" s="125">
        <f t="shared" si="0"/>
        <v>7951.9377599999998</v>
      </c>
      <c r="L12" s="125">
        <f t="shared" si="1"/>
        <v>8.0999999999999943</v>
      </c>
      <c r="M12" s="291">
        <f t="shared" si="2"/>
        <v>423.7545779999997</v>
      </c>
      <c r="N12" s="312">
        <f t="shared" si="3"/>
        <v>1</v>
      </c>
    </row>
    <row r="13" spans="1:20" ht="36" customHeight="1">
      <c r="A13" s="140" t="s">
        <v>21</v>
      </c>
      <c r="B13" s="1" t="s">
        <v>22</v>
      </c>
      <c r="C13" s="117" t="s">
        <v>23</v>
      </c>
      <c r="D13" s="1" t="s">
        <v>10</v>
      </c>
      <c r="E13" s="1" t="s">
        <v>15</v>
      </c>
      <c r="F13" s="56">
        <v>1</v>
      </c>
      <c r="G13" s="56">
        <f>2055.31</f>
        <v>2055.31</v>
      </c>
      <c r="H13" s="121">
        <f>G13*$O$10</f>
        <v>2617.437285</v>
      </c>
      <c r="I13" s="125">
        <f>[5]READEQUAÇÃO!N13</f>
        <v>2617.437285</v>
      </c>
      <c r="J13" s="291">
        <f>'BM-06'!L12</f>
        <v>1</v>
      </c>
      <c r="K13" s="125">
        <f t="shared" si="0"/>
        <v>2617.437285</v>
      </c>
      <c r="L13" s="125">
        <f t="shared" si="1"/>
        <v>0</v>
      </c>
      <c r="M13" s="291">
        <f t="shared" si="2"/>
        <v>0</v>
      </c>
      <c r="N13" s="312">
        <f t="shared" si="3"/>
        <v>1</v>
      </c>
    </row>
    <row r="14" spans="1:20" s="3" customFormat="1">
      <c r="A14" s="140"/>
      <c r="B14" s="2"/>
      <c r="C14" s="118"/>
      <c r="D14" s="2"/>
      <c r="E14" s="2"/>
      <c r="F14" s="57"/>
      <c r="G14" s="57"/>
      <c r="H14" s="122"/>
      <c r="I14" s="127">
        <f>SUM(I10:I13)</f>
        <v>28863.136322999999</v>
      </c>
      <c r="J14" s="127"/>
      <c r="K14" s="127">
        <f t="shared" ref="K14:M14" si="4">SUM(K10:K13)</f>
        <v>28439.381745000002</v>
      </c>
      <c r="L14" s="127"/>
      <c r="M14" s="127">
        <f t="shared" si="4"/>
        <v>423.7545779999997</v>
      </c>
      <c r="N14" s="312"/>
      <c r="O14" s="144"/>
      <c r="P14" s="144"/>
    </row>
    <row r="15" spans="1:20" s="144" customFormat="1">
      <c r="A15" s="140"/>
      <c r="B15" s="162"/>
      <c r="C15" s="163"/>
      <c r="D15" s="141"/>
      <c r="E15" s="141"/>
      <c r="F15" s="142"/>
      <c r="G15" s="142"/>
      <c r="H15" s="143"/>
      <c r="I15" s="164"/>
      <c r="J15" s="293"/>
      <c r="K15" s="125">
        <f t="shared" si="0"/>
        <v>0</v>
      </c>
      <c r="L15" s="125"/>
      <c r="M15" s="291">
        <f t="shared" si="2"/>
        <v>0</v>
      </c>
      <c r="N15" s="312"/>
    </row>
    <row r="16" spans="1:20" ht="20.100000000000001" customHeight="1">
      <c r="A16" s="230" t="s">
        <v>24</v>
      </c>
      <c r="B16" s="367" t="s">
        <v>25</v>
      </c>
      <c r="C16" s="368"/>
      <c r="D16" s="146"/>
      <c r="E16" s="146"/>
      <c r="F16" s="146"/>
      <c r="G16" s="146"/>
      <c r="H16" s="146"/>
      <c r="I16" s="146"/>
      <c r="J16" s="146"/>
      <c r="K16" s="146"/>
      <c r="L16" s="296"/>
      <c r="M16" s="296"/>
      <c r="N16" s="312"/>
    </row>
    <row r="17" spans="1:18" ht="38.25">
      <c r="A17" s="140" t="s">
        <v>26</v>
      </c>
      <c r="B17" s="1" t="s">
        <v>27</v>
      </c>
      <c r="C17" s="117" t="s">
        <v>28</v>
      </c>
      <c r="D17" s="1" t="s">
        <v>19</v>
      </c>
      <c r="E17" s="1" t="s">
        <v>29</v>
      </c>
      <c r="F17" s="56">
        <v>736.67</v>
      </c>
      <c r="G17" s="56">
        <v>30.08</v>
      </c>
      <c r="H17" s="121">
        <f>G17*$O$10</f>
        <v>38.30688</v>
      </c>
      <c r="I17" s="125">
        <f>[5]READEQUAÇÃO!N17</f>
        <v>28219.529289600003</v>
      </c>
      <c r="J17" s="291">
        <f>'BM-06'!L15</f>
        <v>477.87</v>
      </c>
      <c r="K17" s="125">
        <f t="shared" si="0"/>
        <v>18305.708745600001</v>
      </c>
      <c r="L17" s="125">
        <f t="shared" si="1"/>
        <v>258.79999999999995</v>
      </c>
      <c r="M17" s="291">
        <f t="shared" si="2"/>
        <v>9913.8205439999983</v>
      </c>
      <c r="N17" s="312">
        <f t="shared" si="3"/>
        <v>1</v>
      </c>
    </row>
    <row r="18" spans="1:18" ht="63.75" customHeight="1">
      <c r="A18" s="140" t="s">
        <v>30</v>
      </c>
      <c r="B18" s="1" t="s">
        <v>31</v>
      </c>
      <c r="C18" s="117" t="s">
        <v>32</v>
      </c>
      <c r="D18" s="1" t="s">
        <v>19</v>
      </c>
      <c r="E18" s="1" t="s">
        <v>29</v>
      </c>
      <c r="F18" s="56">
        <v>405.15</v>
      </c>
      <c r="G18" s="56">
        <v>63.46</v>
      </c>
      <c r="H18" s="121">
        <f>G18*$O$10</f>
        <v>80.816310000000001</v>
      </c>
      <c r="I18" s="125">
        <f>[5]READEQUAÇÃO!N18</f>
        <v>32742.727996500005</v>
      </c>
      <c r="J18" s="291">
        <f>'BM-06'!L16</f>
        <v>139.80000000000001</v>
      </c>
      <c r="K18" s="125">
        <f t="shared" si="0"/>
        <v>11298.120138</v>
      </c>
      <c r="L18" s="125">
        <f t="shared" si="1"/>
        <v>265.34999999999997</v>
      </c>
      <c r="M18" s="291">
        <f t="shared" si="2"/>
        <v>21444.607858499996</v>
      </c>
      <c r="N18" s="312">
        <f t="shared" si="3"/>
        <v>1</v>
      </c>
    </row>
    <row r="19" spans="1:18" ht="38.25">
      <c r="A19" s="140" t="s">
        <v>33</v>
      </c>
      <c r="B19" s="1" t="s">
        <v>27</v>
      </c>
      <c r="C19" s="117" t="s">
        <v>28</v>
      </c>
      <c r="D19" s="1" t="s">
        <v>19</v>
      </c>
      <c r="E19" s="1" t="s">
        <v>29</v>
      </c>
      <c r="F19" s="56">
        <v>244.58</v>
      </c>
      <c r="G19" s="56">
        <v>30.08</v>
      </c>
      <c r="H19" s="121">
        <f>G19*$O$10</f>
        <v>38.30688</v>
      </c>
      <c r="I19" s="125">
        <f>[5]READEQUAÇÃO!N19</f>
        <v>9369.096710400001</v>
      </c>
      <c r="J19" s="291">
        <f>'BM-06'!L17</f>
        <v>244.58</v>
      </c>
      <c r="K19" s="125">
        <f t="shared" si="0"/>
        <v>9369.096710400001</v>
      </c>
      <c r="L19" s="125">
        <f t="shared" si="1"/>
        <v>0</v>
      </c>
      <c r="M19" s="291">
        <f t="shared" si="2"/>
        <v>0</v>
      </c>
      <c r="N19" s="312">
        <f t="shared" si="3"/>
        <v>1</v>
      </c>
    </row>
    <row r="20" spans="1:18" s="137" customFormat="1" ht="120.75" customHeight="1">
      <c r="A20" s="140" t="s">
        <v>795</v>
      </c>
      <c r="B20" s="133">
        <v>102326</v>
      </c>
      <c r="C20" s="134" t="s">
        <v>870</v>
      </c>
      <c r="D20" s="133" t="s">
        <v>19</v>
      </c>
      <c r="E20" s="133" t="s">
        <v>29</v>
      </c>
      <c r="F20" s="135">
        <v>57.32</v>
      </c>
      <c r="G20" s="135">
        <v>6.3197429999999999</v>
      </c>
      <c r="H20" s="136">
        <f>G20*$O$10*$P$7</f>
        <v>7.0019276581350001</v>
      </c>
      <c r="I20" s="125">
        <f>[5]READEQUAÇÃO!N20</f>
        <v>401.35049336429819</v>
      </c>
      <c r="J20" s="291"/>
      <c r="K20" s="125">
        <f t="shared" si="0"/>
        <v>0</v>
      </c>
      <c r="L20" s="125">
        <f t="shared" si="1"/>
        <v>57.32</v>
      </c>
      <c r="M20" s="291">
        <f t="shared" si="2"/>
        <v>401.35049336429819</v>
      </c>
      <c r="N20" s="312">
        <f t="shared" si="3"/>
        <v>1</v>
      </c>
      <c r="O20" s="144"/>
      <c r="P20" s="144"/>
      <c r="R20" s="137">
        <f>8.05*0.87</f>
        <v>7.0035000000000007</v>
      </c>
    </row>
    <row r="21" spans="1:18" s="137" customFormat="1">
      <c r="A21" s="140" t="s">
        <v>1034</v>
      </c>
      <c r="B21" s="133">
        <v>9898</v>
      </c>
      <c r="C21" s="138" t="s">
        <v>1035</v>
      </c>
      <c r="D21" s="133" t="s">
        <v>10</v>
      </c>
      <c r="E21" s="133" t="s">
        <v>29</v>
      </c>
      <c r="F21" s="210">
        <v>531.84</v>
      </c>
      <c r="G21" s="210">
        <v>7.8406770000000003</v>
      </c>
      <c r="H21" s="136">
        <f>G21*$O$10*$P$7</f>
        <v>8.6870388787649997</v>
      </c>
      <c r="I21" s="125">
        <f>[5]READEQUAÇÃO!N21</f>
        <v>4620.1147572823775</v>
      </c>
      <c r="J21" s="294"/>
      <c r="K21" s="125">
        <f t="shared" si="0"/>
        <v>0</v>
      </c>
      <c r="L21" s="125">
        <f t="shared" si="1"/>
        <v>531.84</v>
      </c>
      <c r="M21" s="291">
        <f t="shared" si="2"/>
        <v>4620.1147572823775</v>
      </c>
      <c r="N21" s="312">
        <f t="shared" si="3"/>
        <v>1</v>
      </c>
      <c r="O21" s="144"/>
      <c r="P21" s="144"/>
    </row>
    <row r="22" spans="1:18" s="137" customFormat="1" ht="30">
      <c r="A22" s="140" t="s">
        <v>796</v>
      </c>
      <c r="B22" s="133" t="s">
        <v>797</v>
      </c>
      <c r="C22" s="138" t="s">
        <v>871</v>
      </c>
      <c r="D22" s="133" t="s">
        <v>259</v>
      </c>
      <c r="E22" s="133" t="s">
        <v>20</v>
      </c>
      <c r="F22" s="135">
        <v>30.23</v>
      </c>
      <c r="G22" s="135">
        <v>47.655932</v>
      </c>
      <c r="H22" s="136">
        <f>G22*$O$10*$P$7</f>
        <v>52.800151579740003</v>
      </c>
      <c r="I22" s="125">
        <f>[5]READEQUAÇÃO!N22</f>
        <v>1596.1485822555403</v>
      </c>
      <c r="J22" s="291"/>
      <c r="K22" s="125">
        <f t="shared" si="0"/>
        <v>0</v>
      </c>
      <c r="L22" s="125">
        <f t="shared" si="1"/>
        <v>30.23</v>
      </c>
      <c r="M22" s="291">
        <f t="shared" si="2"/>
        <v>1596.1485822555403</v>
      </c>
      <c r="N22" s="312">
        <f t="shared" si="3"/>
        <v>1</v>
      </c>
      <c r="O22" s="157"/>
      <c r="P22" s="144"/>
    </row>
    <row r="23" spans="1:18" s="137" customFormat="1">
      <c r="A23" s="140"/>
      <c r="B23" s="141"/>
      <c r="C23" s="190"/>
      <c r="D23" s="141"/>
      <c r="E23" s="141"/>
      <c r="F23" s="142"/>
      <c r="G23" s="142"/>
      <c r="H23" s="143"/>
      <c r="I23" s="177"/>
      <c r="J23" s="295"/>
      <c r="K23" s="125">
        <f t="shared" si="0"/>
        <v>0</v>
      </c>
      <c r="L23" s="125">
        <f t="shared" si="1"/>
        <v>0</v>
      </c>
      <c r="M23" s="291">
        <f t="shared" si="2"/>
        <v>0</v>
      </c>
      <c r="N23" s="312"/>
      <c r="O23" s="157"/>
      <c r="P23" s="144"/>
    </row>
    <row r="24" spans="1:18">
      <c r="A24" s="140"/>
      <c r="B24" s="2"/>
      <c r="C24" s="118"/>
      <c r="D24" s="2"/>
      <c r="E24" s="2"/>
      <c r="F24" s="57"/>
      <c r="G24" s="57"/>
      <c r="H24" s="122"/>
      <c r="I24" s="127">
        <f>SUM(I17:I23)</f>
        <v>76948.967829402231</v>
      </c>
      <c r="J24" s="127"/>
      <c r="K24" s="127">
        <f t="shared" ref="K24:M24" si="5">SUM(K17:K23)</f>
        <v>38972.925594</v>
      </c>
      <c r="L24" s="127"/>
      <c r="M24" s="127">
        <f t="shared" si="5"/>
        <v>37976.042235402208</v>
      </c>
      <c r="N24" s="312"/>
    </row>
    <row r="25" spans="1:18" s="144" customFormat="1">
      <c r="A25" s="140"/>
      <c r="B25" s="162"/>
      <c r="C25" s="163"/>
      <c r="D25" s="141"/>
      <c r="E25" s="141"/>
      <c r="F25" s="142"/>
      <c r="G25" s="142"/>
      <c r="H25" s="143"/>
      <c r="I25" s="164"/>
      <c r="J25" s="293"/>
      <c r="K25" s="125">
        <f t="shared" si="0"/>
        <v>0</v>
      </c>
      <c r="L25" s="125">
        <f t="shared" si="1"/>
        <v>0</v>
      </c>
      <c r="M25" s="291">
        <f t="shared" si="2"/>
        <v>0</v>
      </c>
      <c r="N25" s="312"/>
    </row>
    <row r="26" spans="1:18" ht="20.100000000000001" customHeight="1">
      <c r="A26" s="230" t="s">
        <v>34</v>
      </c>
      <c r="B26" s="367" t="s">
        <v>35</v>
      </c>
      <c r="C26" s="368"/>
      <c r="D26" s="146"/>
      <c r="E26" s="146"/>
      <c r="F26" s="146"/>
      <c r="G26" s="146"/>
      <c r="H26" s="146"/>
      <c r="I26" s="146"/>
      <c r="J26" s="146"/>
      <c r="K26" s="146"/>
      <c r="L26" s="296"/>
      <c r="M26" s="296"/>
      <c r="N26" s="312"/>
    </row>
    <row r="27" spans="1:18" ht="51">
      <c r="A27" s="140" t="s">
        <v>36</v>
      </c>
      <c r="B27" s="1" t="s">
        <v>37</v>
      </c>
      <c r="C27" s="117" t="s">
        <v>38</v>
      </c>
      <c r="D27" s="1" t="s">
        <v>19</v>
      </c>
      <c r="E27" s="1" t="s">
        <v>29</v>
      </c>
      <c r="F27" s="56">
        <v>30.78</v>
      </c>
      <c r="G27" s="56">
        <v>242.41</v>
      </c>
      <c r="H27" s="121">
        <f t="shared" ref="H27:H34" si="6">G27*$O$10</f>
        <v>308.709135</v>
      </c>
      <c r="I27" s="125">
        <f>[5]READEQUAÇÃO!N27</f>
        <v>9502.0671753000006</v>
      </c>
      <c r="J27" s="291">
        <f>'BM-06'!L20</f>
        <v>5.42</v>
      </c>
      <c r="K27" s="125">
        <f t="shared" si="0"/>
        <v>1673.2035117</v>
      </c>
      <c r="L27" s="125">
        <f t="shared" si="1"/>
        <v>25.36</v>
      </c>
      <c r="M27" s="291">
        <f t="shared" si="2"/>
        <v>7828.8636636000001</v>
      </c>
      <c r="N27" s="312">
        <f t="shared" si="3"/>
        <v>1</v>
      </c>
      <c r="O27" s="157"/>
    </row>
    <row r="28" spans="1:18" ht="25.5">
      <c r="A28" s="140" t="s">
        <v>39</v>
      </c>
      <c r="B28" s="1" t="s">
        <v>40</v>
      </c>
      <c r="C28" s="117" t="s">
        <v>41</v>
      </c>
      <c r="D28" s="1" t="s">
        <v>10</v>
      </c>
      <c r="E28" s="1" t="s">
        <v>42</v>
      </c>
      <c r="F28" s="56">
        <v>514.13</v>
      </c>
      <c r="G28" s="56">
        <v>58.96</v>
      </c>
      <c r="H28" s="121">
        <f t="shared" si="6"/>
        <v>75.085560000000001</v>
      </c>
      <c r="I28" s="125">
        <f>[5]READEQUAÇÃO!N28</f>
        <v>38603.738962800002</v>
      </c>
      <c r="J28" s="291">
        <f>'BM-06'!L21</f>
        <v>470.8</v>
      </c>
      <c r="K28" s="125">
        <f t="shared" si="0"/>
        <v>35350.281648000004</v>
      </c>
      <c r="L28" s="125">
        <f t="shared" si="1"/>
        <v>43.329999999999984</v>
      </c>
      <c r="M28" s="291">
        <f t="shared" si="2"/>
        <v>3253.457314799999</v>
      </c>
      <c r="N28" s="312">
        <f t="shared" si="3"/>
        <v>1</v>
      </c>
    </row>
    <row r="29" spans="1:18" ht="38.25">
      <c r="A29" s="140" t="s">
        <v>43</v>
      </c>
      <c r="B29" s="1" t="s">
        <v>44</v>
      </c>
      <c r="C29" s="117" t="s">
        <v>45</v>
      </c>
      <c r="D29" s="1" t="s">
        <v>19</v>
      </c>
      <c r="E29" s="1" t="s">
        <v>46</v>
      </c>
      <c r="F29" s="56">
        <v>11.12</v>
      </c>
      <c r="G29" s="56">
        <v>15.84</v>
      </c>
      <c r="H29" s="121">
        <f t="shared" si="6"/>
        <v>20.172240000000002</v>
      </c>
      <c r="I29" s="125">
        <f>[5]READEQUAÇÃO!N29</f>
        <v>224.3153088</v>
      </c>
      <c r="J29" s="291">
        <f>'BM-06'!L22</f>
        <v>0</v>
      </c>
      <c r="K29" s="125">
        <f t="shared" si="0"/>
        <v>0</v>
      </c>
      <c r="L29" s="125">
        <f t="shared" si="1"/>
        <v>11.12</v>
      </c>
      <c r="M29" s="291">
        <f t="shared" si="2"/>
        <v>224.3153088</v>
      </c>
      <c r="N29" s="312">
        <f t="shared" si="3"/>
        <v>1</v>
      </c>
    </row>
    <row r="30" spans="1:18" ht="62.25" customHeight="1">
      <c r="A30" s="140" t="s">
        <v>47</v>
      </c>
      <c r="B30" s="1" t="s">
        <v>48</v>
      </c>
      <c r="C30" s="176" t="s">
        <v>49</v>
      </c>
      <c r="D30" s="1" t="s">
        <v>19</v>
      </c>
      <c r="E30" s="1" t="s">
        <v>46</v>
      </c>
      <c r="F30" s="56">
        <v>2881.03</v>
      </c>
      <c r="G30" s="56">
        <v>13.6</v>
      </c>
      <c r="H30" s="121">
        <f t="shared" si="6"/>
        <v>17.319600000000001</v>
      </c>
      <c r="I30" s="125">
        <f>[5]READEQUAÇÃO!N30</f>
        <v>49898.287188000009</v>
      </c>
      <c r="J30" s="291">
        <f>'BM-06'!L23</f>
        <v>1986.92</v>
      </c>
      <c r="K30" s="125">
        <f t="shared" si="0"/>
        <v>34412.659632000003</v>
      </c>
      <c r="L30" s="125">
        <f t="shared" si="1"/>
        <v>894.11000000000013</v>
      </c>
      <c r="M30" s="291">
        <f t="shared" si="2"/>
        <v>15485.627556000003</v>
      </c>
      <c r="N30" s="312">
        <f t="shared" si="3"/>
        <v>1</v>
      </c>
    </row>
    <row r="31" spans="1:18" ht="52.5" customHeight="1">
      <c r="A31" s="140" t="s">
        <v>50</v>
      </c>
      <c r="B31" s="1" t="s">
        <v>51</v>
      </c>
      <c r="C31" s="176" t="s">
        <v>52</v>
      </c>
      <c r="D31" s="1" t="s">
        <v>19</v>
      </c>
      <c r="E31" s="1" t="s">
        <v>46</v>
      </c>
      <c r="F31" s="56">
        <v>397.04</v>
      </c>
      <c r="G31" s="56">
        <v>11.57</v>
      </c>
      <c r="H31" s="121">
        <f t="shared" si="6"/>
        <v>14.734395000000001</v>
      </c>
      <c r="I31" s="125">
        <f>[5]READEQUAÇÃO!N31</f>
        <v>5850.1441908000006</v>
      </c>
      <c r="J31" s="291">
        <f>'BM-06'!L24</f>
        <v>0</v>
      </c>
      <c r="K31" s="125">
        <f t="shared" si="0"/>
        <v>0</v>
      </c>
      <c r="L31" s="125">
        <f t="shared" si="1"/>
        <v>397.04</v>
      </c>
      <c r="M31" s="291">
        <f t="shared" si="2"/>
        <v>5850.1441908000006</v>
      </c>
      <c r="N31" s="312">
        <f t="shared" si="3"/>
        <v>1</v>
      </c>
    </row>
    <row r="32" spans="1:18" ht="38.25">
      <c r="A32" s="140" t="s">
        <v>53</v>
      </c>
      <c r="B32" s="1" t="s">
        <v>54</v>
      </c>
      <c r="C32" s="117" t="s">
        <v>55</v>
      </c>
      <c r="D32" s="1" t="s">
        <v>19</v>
      </c>
      <c r="E32" s="1" t="s">
        <v>46</v>
      </c>
      <c r="F32" s="56">
        <v>484.54</v>
      </c>
      <c r="G32" s="56">
        <v>16.47</v>
      </c>
      <c r="H32" s="121">
        <f t="shared" si="6"/>
        <v>20.974544999999999</v>
      </c>
      <c r="I32" s="125">
        <f>[5]READEQUAÇÃO!N32</f>
        <v>10163.006034299999</v>
      </c>
      <c r="J32" s="291">
        <f>'BM-06'!L25</f>
        <v>395.47</v>
      </c>
      <c r="K32" s="125">
        <f t="shared" si="0"/>
        <v>8294.8033111500008</v>
      </c>
      <c r="L32" s="125">
        <f t="shared" si="1"/>
        <v>89.07</v>
      </c>
      <c r="M32" s="291">
        <f t="shared" si="2"/>
        <v>1868.2027231499999</v>
      </c>
      <c r="N32" s="312">
        <f t="shared" si="3"/>
        <v>1</v>
      </c>
    </row>
    <row r="33" spans="1:16" ht="51">
      <c r="A33" s="140" t="s">
        <v>56</v>
      </c>
      <c r="B33" s="1" t="s">
        <v>57</v>
      </c>
      <c r="C33" s="117" t="s">
        <v>58</v>
      </c>
      <c r="D33" s="1" t="s">
        <v>19</v>
      </c>
      <c r="E33" s="1" t="s">
        <v>29</v>
      </c>
      <c r="F33" s="56">
        <v>67.8</v>
      </c>
      <c r="G33" s="56">
        <v>301.79000000000002</v>
      </c>
      <c r="H33" s="121">
        <f t="shared" si="6"/>
        <v>384.32956500000006</v>
      </c>
      <c r="I33" s="125">
        <f>[5]READEQUAÇÃO!N33</f>
        <v>26057.544507000002</v>
      </c>
      <c r="J33" s="291">
        <f>'BM-06'!L26</f>
        <v>49.87</v>
      </c>
      <c r="K33" s="125">
        <f t="shared" si="0"/>
        <v>19166.515406550003</v>
      </c>
      <c r="L33" s="125">
        <f t="shared" si="1"/>
        <v>17.93</v>
      </c>
      <c r="M33" s="291">
        <f t="shared" si="2"/>
        <v>6891.0291004500014</v>
      </c>
      <c r="N33" s="312">
        <f t="shared" si="3"/>
        <v>1</v>
      </c>
    </row>
    <row r="34" spans="1:16" ht="38.25">
      <c r="A34" s="140" t="s">
        <v>59</v>
      </c>
      <c r="B34" s="1" t="s">
        <v>60</v>
      </c>
      <c r="C34" s="117" t="s">
        <v>61</v>
      </c>
      <c r="D34" s="1" t="s">
        <v>19</v>
      </c>
      <c r="E34" s="1" t="s">
        <v>29</v>
      </c>
      <c r="F34" s="56">
        <v>67.8</v>
      </c>
      <c r="G34" s="56">
        <v>23.69</v>
      </c>
      <c r="H34" s="121">
        <f t="shared" si="6"/>
        <v>30.169215000000005</v>
      </c>
      <c r="I34" s="125">
        <f>[5]READEQUAÇÃO!N34</f>
        <v>2045.4727770000002</v>
      </c>
      <c r="J34" s="291">
        <f>'BM-06'!L27</f>
        <v>49.87</v>
      </c>
      <c r="K34" s="125">
        <f t="shared" si="0"/>
        <v>1504.5387520500001</v>
      </c>
      <c r="L34" s="125">
        <f t="shared" si="1"/>
        <v>17.93</v>
      </c>
      <c r="M34" s="291">
        <f t="shared" si="2"/>
        <v>540.93402495000009</v>
      </c>
      <c r="N34" s="312">
        <f t="shared" si="3"/>
        <v>1</v>
      </c>
    </row>
    <row r="35" spans="1:16" s="137" customFormat="1" ht="55.5" customHeight="1">
      <c r="A35" s="140" t="s">
        <v>1036</v>
      </c>
      <c r="B35" s="133">
        <v>4953</v>
      </c>
      <c r="C35" s="138" t="s">
        <v>872</v>
      </c>
      <c r="D35" s="133" t="s">
        <v>10</v>
      </c>
      <c r="E35" s="133" t="s">
        <v>67</v>
      </c>
      <c r="F35" s="135">
        <v>289.06</v>
      </c>
      <c r="G35" s="135">
        <v>23.653146</v>
      </c>
      <c r="H35" s="136">
        <f>G35*$O$10*$P$7</f>
        <v>26.20638484497</v>
      </c>
      <c r="I35" s="125">
        <f>[5]READEQUAÇÃO!N35</f>
        <v>7575.2176032870284</v>
      </c>
      <c r="J35" s="291"/>
      <c r="K35" s="125">
        <f t="shared" si="0"/>
        <v>0</v>
      </c>
      <c r="L35" s="125">
        <f t="shared" si="1"/>
        <v>289.06</v>
      </c>
      <c r="M35" s="291">
        <f t="shared" si="2"/>
        <v>7575.2176032870284</v>
      </c>
      <c r="N35" s="312">
        <f t="shared" si="3"/>
        <v>1</v>
      </c>
      <c r="O35" s="144"/>
      <c r="P35" s="144"/>
    </row>
    <row r="36" spans="1:16">
      <c r="A36" s="140"/>
      <c r="B36" s="2"/>
      <c r="C36" s="118"/>
      <c r="D36" s="2"/>
      <c r="E36" s="2"/>
      <c r="F36" s="57"/>
      <c r="G36" s="57"/>
      <c r="H36" s="122"/>
      <c r="I36" s="127">
        <f>SUM(I27:I35)</f>
        <v>149919.79374728701</v>
      </c>
      <c r="J36" s="127"/>
      <c r="K36" s="127">
        <f t="shared" ref="K36:M36" si="7">SUM(K27:K35)</f>
        <v>100402.00226144999</v>
      </c>
      <c r="L36" s="127"/>
      <c r="M36" s="127">
        <f t="shared" si="7"/>
        <v>49517.791485837035</v>
      </c>
      <c r="N36" s="312"/>
    </row>
    <row r="37" spans="1:16" s="144" customFormat="1">
      <c r="A37" s="140"/>
      <c r="B37" s="162"/>
      <c r="C37" s="163"/>
      <c r="D37" s="141"/>
      <c r="E37" s="141"/>
      <c r="F37" s="142"/>
      <c r="G37" s="142"/>
      <c r="H37" s="143"/>
      <c r="I37" s="164"/>
      <c r="J37" s="293"/>
      <c r="K37" s="125">
        <f t="shared" si="0"/>
        <v>0</v>
      </c>
      <c r="L37" s="125">
        <f t="shared" si="1"/>
        <v>0</v>
      </c>
      <c r="M37" s="291">
        <f t="shared" si="2"/>
        <v>0</v>
      </c>
      <c r="N37" s="312"/>
    </row>
    <row r="38" spans="1:16" ht="20.100000000000001" customHeight="1">
      <c r="A38" s="230" t="s">
        <v>62</v>
      </c>
      <c r="B38" s="367" t="s">
        <v>63</v>
      </c>
      <c r="C38" s="368"/>
      <c r="D38" s="146"/>
      <c r="E38" s="146"/>
      <c r="F38" s="146"/>
      <c r="G38" s="146"/>
      <c r="H38" s="146"/>
      <c r="I38" s="146"/>
      <c r="J38" s="146"/>
      <c r="K38" s="146"/>
      <c r="L38" s="296"/>
      <c r="M38" s="296"/>
      <c r="N38" s="312"/>
    </row>
    <row r="39" spans="1:16" ht="76.5">
      <c r="A39" s="140" t="s">
        <v>64</v>
      </c>
      <c r="B39" s="1" t="s">
        <v>65</v>
      </c>
      <c r="C39" s="117" t="s">
        <v>66</v>
      </c>
      <c r="D39" s="1" t="s">
        <v>19</v>
      </c>
      <c r="E39" s="1" t="s">
        <v>67</v>
      </c>
      <c r="F39" s="56">
        <v>1094.53</v>
      </c>
      <c r="G39" s="56">
        <v>52.58</v>
      </c>
      <c r="H39" s="121">
        <f>G39*$O$10</f>
        <v>66.960629999999995</v>
      </c>
      <c r="I39" s="125">
        <f>[5]READEQUAÇÃO!N39</f>
        <v>73290.418353899993</v>
      </c>
      <c r="J39" s="291">
        <f>'BM-06'!L30</f>
        <v>999.78700000000003</v>
      </c>
      <c r="K39" s="125">
        <f t="shared" si="0"/>
        <v>66946.367385809994</v>
      </c>
      <c r="L39" s="125">
        <f t="shared" si="1"/>
        <v>94.742999999999938</v>
      </c>
      <c r="M39" s="291">
        <f t="shared" si="2"/>
        <v>6344.050968089995</v>
      </c>
      <c r="N39" s="312">
        <f t="shared" si="3"/>
        <v>1</v>
      </c>
    </row>
    <row r="40" spans="1:16" ht="51">
      <c r="A40" s="140" t="s">
        <v>68</v>
      </c>
      <c r="B40" s="1" t="s">
        <v>69</v>
      </c>
      <c r="C40" s="117" t="s">
        <v>70</v>
      </c>
      <c r="D40" s="1" t="s">
        <v>19</v>
      </c>
      <c r="E40" s="1" t="s">
        <v>67</v>
      </c>
      <c r="F40" s="56">
        <v>16</v>
      </c>
      <c r="G40" s="56">
        <v>133.55000000000001</v>
      </c>
      <c r="H40" s="121">
        <f>G40*$O$10</f>
        <v>170.07592500000001</v>
      </c>
      <c r="I40" s="125">
        <f>[5]READEQUAÇÃO!N40</f>
        <v>2721.2148000000002</v>
      </c>
      <c r="J40" s="291">
        <f>'BM-06'!L31</f>
        <v>16</v>
      </c>
      <c r="K40" s="125">
        <f t="shared" si="0"/>
        <v>2721.2148000000002</v>
      </c>
      <c r="L40" s="125">
        <f t="shared" si="1"/>
        <v>0</v>
      </c>
      <c r="M40" s="291">
        <f t="shared" si="2"/>
        <v>0</v>
      </c>
      <c r="N40" s="312">
        <f t="shared" si="3"/>
        <v>1</v>
      </c>
    </row>
    <row r="41" spans="1:16" ht="76.5">
      <c r="A41" s="140" t="s">
        <v>71</v>
      </c>
      <c r="B41" s="1" t="s">
        <v>65</v>
      </c>
      <c r="C41" s="117" t="s">
        <v>66</v>
      </c>
      <c r="D41" s="1" t="s">
        <v>19</v>
      </c>
      <c r="E41" s="1" t="s">
        <v>67</v>
      </c>
      <c r="F41" s="56">
        <v>183</v>
      </c>
      <c r="G41" s="56">
        <v>52.58</v>
      </c>
      <c r="H41" s="121">
        <f>G41*$O$10</f>
        <v>66.960629999999995</v>
      </c>
      <c r="I41" s="125">
        <f>[5]READEQUAÇÃO!N41</f>
        <v>12253.795289999998</v>
      </c>
      <c r="J41" s="291">
        <f>'BM-06'!L32</f>
        <v>167.4</v>
      </c>
      <c r="K41" s="125">
        <f t="shared" si="0"/>
        <v>11209.209461999999</v>
      </c>
      <c r="L41" s="125">
        <f t="shared" si="1"/>
        <v>15.599999999999994</v>
      </c>
      <c r="M41" s="291">
        <f t="shared" si="2"/>
        <v>1044.5858279999995</v>
      </c>
      <c r="N41" s="312">
        <f t="shared" si="3"/>
        <v>1</v>
      </c>
    </row>
    <row r="42" spans="1:16" s="137" customFormat="1" ht="123" customHeight="1">
      <c r="A42" s="140" t="s">
        <v>800</v>
      </c>
      <c r="B42" s="133">
        <v>89977</v>
      </c>
      <c r="C42" s="133" t="s">
        <v>873</v>
      </c>
      <c r="D42" s="133" t="s">
        <v>19</v>
      </c>
      <c r="E42" s="133" t="s">
        <v>67</v>
      </c>
      <c r="F42" s="135">
        <v>166.07</v>
      </c>
      <c r="G42" s="135">
        <v>101.50923299999999</v>
      </c>
      <c r="H42" s="136">
        <f>G42*$O$10*$P$7</f>
        <v>112.466647156185</v>
      </c>
      <c r="I42" s="125">
        <f>[5]READEQUAÇÃO!N42</f>
        <v>18677.785959816269</v>
      </c>
      <c r="J42" s="291"/>
      <c r="K42" s="125">
        <f t="shared" si="0"/>
        <v>0</v>
      </c>
      <c r="L42" s="125">
        <f t="shared" si="1"/>
        <v>166.07</v>
      </c>
      <c r="M42" s="291">
        <f t="shared" si="2"/>
        <v>18677.336093227645</v>
      </c>
      <c r="N42" s="312">
        <f t="shared" si="3"/>
        <v>1</v>
      </c>
      <c r="O42" s="144"/>
      <c r="P42" s="144"/>
    </row>
    <row r="43" spans="1:16">
      <c r="A43" s="140"/>
      <c r="B43" s="2"/>
      <c r="C43" s="118"/>
      <c r="D43" s="2"/>
      <c r="E43" s="2"/>
      <c r="F43" s="57"/>
      <c r="G43" s="57"/>
      <c r="H43" s="122"/>
      <c r="I43" s="127">
        <f>SUM(I39:I42)</f>
        <v>106943.21440371627</v>
      </c>
      <c r="J43" s="127"/>
      <c r="K43" s="127">
        <f t="shared" ref="K43:M43" si="8">SUM(K39:K42)</f>
        <v>80876.791647809994</v>
      </c>
      <c r="L43" s="127"/>
      <c r="M43" s="127">
        <f t="shared" si="8"/>
        <v>26065.97288931764</v>
      </c>
      <c r="N43" s="312"/>
    </row>
    <row r="44" spans="1:16" s="144" customFormat="1">
      <c r="A44" s="140"/>
      <c r="B44" s="162"/>
      <c r="C44" s="163"/>
      <c r="D44" s="141"/>
      <c r="E44" s="141"/>
      <c r="F44" s="142"/>
      <c r="G44" s="142"/>
      <c r="H44" s="143"/>
      <c r="I44" s="164"/>
      <c r="J44" s="293"/>
      <c r="K44" s="125">
        <f t="shared" si="0"/>
        <v>0</v>
      </c>
      <c r="L44" s="125">
        <f t="shared" si="1"/>
        <v>0</v>
      </c>
      <c r="M44" s="291">
        <f t="shared" si="2"/>
        <v>0</v>
      </c>
      <c r="N44" s="312"/>
    </row>
    <row r="45" spans="1:16" ht="20.100000000000001" customHeight="1">
      <c r="A45" s="230" t="s">
        <v>72</v>
      </c>
      <c r="B45" s="367" t="s">
        <v>73</v>
      </c>
      <c r="C45" s="368"/>
      <c r="D45" s="146"/>
      <c r="E45" s="146"/>
      <c r="F45" s="146"/>
      <c r="G45" s="146"/>
      <c r="H45" s="146"/>
      <c r="I45" s="146"/>
      <c r="J45" s="146"/>
      <c r="K45" s="146"/>
      <c r="L45" s="296"/>
      <c r="M45" s="296"/>
      <c r="N45" s="312"/>
    </row>
    <row r="46" spans="1:16" ht="38.25">
      <c r="A46" s="140" t="s">
        <v>74</v>
      </c>
      <c r="B46" s="1" t="s">
        <v>75</v>
      </c>
      <c r="C46" s="117" t="s">
        <v>76</v>
      </c>
      <c r="D46" s="1" t="s">
        <v>10</v>
      </c>
      <c r="E46" s="1" t="s">
        <v>11</v>
      </c>
      <c r="F46" s="56">
        <v>1045.71</v>
      </c>
      <c r="G46" s="56">
        <v>49.07</v>
      </c>
      <c r="H46" s="121">
        <f t="shared" ref="H46:H55" si="9">G46*$O$10</f>
        <v>62.490645000000001</v>
      </c>
      <c r="I46" s="125">
        <f>[5]READEQUAÇÃO!N46</f>
        <v>65347.09238295001</v>
      </c>
      <c r="J46" s="291">
        <f>'BM-06'!L35</f>
        <v>668.71</v>
      </c>
      <c r="K46" s="125">
        <f t="shared" si="0"/>
        <v>41788.119217949999</v>
      </c>
      <c r="L46" s="125">
        <f t="shared" si="1"/>
        <v>377</v>
      </c>
      <c r="M46" s="291">
        <f t="shared" si="2"/>
        <v>23558.973164999999</v>
      </c>
      <c r="N46" s="312">
        <f t="shared" si="3"/>
        <v>1</v>
      </c>
    </row>
    <row r="47" spans="1:16" ht="82.5" customHeight="1">
      <c r="A47" s="140" t="s">
        <v>77</v>
      </c>
      <c r="B47" s="1" t="s">
        <v>78</v>
      </c>
      <c r="C47" s="117" t="s">
        <v>79</v>
      </c>
      <c r="D47" s="1" t="s">
        <v>19</v>
      </c>
      <c r="E47" s="1" t="s">
        <v>46</v>
      </c>
      <c r="F47" s="56">
        <v>13.48</v>
      </c>
      <c r="G47" s="56">
        <v>15.87</v>
      </c>
      <c r="H47" s="121">
        <f t="shared" si="9"/>
        <v>20.210445</v>
      </c>
      <c r="I47" s="125">
        <f>[5]READEQUAÇÃO!N47</f>
        <v>272.43679860000003</v>
      </c>
      <c r="J47" s="291">
        <f>'BM-06'!L36</f>
        <v>8.0399999999999991</v>
      </c>
      <c r="K47" s="125">
        <f t="shared" si="0"/>
        <v>162.49197779999997</v>
      </c>
      <c r="L47" s="125">
        <f t="shared" si="1"/>
        <v>5.4400000000000013</v>
      </c>
      <c r="M47" s="291">
        <f t="shared" si="2"/>
        <v>109.94482080000003</v>
      </c>
      <c r="N47" s="312">
        <f t="shared" si="3"/>
        <v>1</v>
      </c>
    </row>
    <row r="48" spans="1:16" ht="64.5" customHeight="1">
      <c r="A48" s="140" t="s">
        <v>80</v>
      </c>
      <c r="B48" s="1" t="s">
        <v>81</v>
      </c>
      <c r="C48" s="117" t="s">
        <v>82</v>
      </c>
      <c r="D48" s="1" t="s">
        <v>19</v>
      </c>
      <c r="E48" s="1" t="s">
        <v>46</v>
      </c>
      <c r="F48" s="56">
        <v>3191.13</v>
      </c>
      <c r="G48" s="56">
        <v>13.56</v>
      </c>
      <c r="H48" s="121">
        <f t="shared" si="9"/>
        <v>17.268660000000001</v>
      </c>
      <c r="I48" s="125">
        <f>[5]READEQUAÇÃO!N48</f>
        <v>55106.538985800005</v>
      </c>
      <c r="J48" s="291">
        <f>'BM-06'!L37</f>
        <v>2421.11</v>
      </c>
      <c r="K48" s="125">
        <f t="shared" si="0"/>
        <v>41809.325412600003</v>
      </c>
      <c r="L48" s="125">
        <f t="shared" si="1"/>
        <v>770.02</v>
      </c>
      <c r="M48" s="291">
        <f t="shared" si="2"/>
        <v>13297.213573200001</v>
      </c>
      <c r="N48" s="312">
        <f t="shared" si="3"/>
        <v>1</v>
      </c>
    </row>
    <row r="49" spans="1:16" ht="73.5" customHeight="1">
      <c r="A49" s="140" t="s">
        <v>83</v>
      </c>
      <c r="B49" s="1" t="s">
        <v>84</v>
      </c>
      <c r="C49" s="117" t="s">
        <v>85</v>
      </c>
      <c r="D49" s="1" t="s">
        <v>19</v>
      </c>
      <c r="E49" s="1" t="s">
        <v>46</v>
      </c>
      <c r="F49" s="56">
        <v>725.14</v>
      </c>
      <c r="G49" s="56">
        <v>11.47</v>
      </c>
      <c r="H49" s="121">
        <f t="shared" si="9"/>
        <v>14.607045000000001</v>
      </c>
      <c r="I49" s="125">
        <f>[5]READEQUAÇÃO!N49</f>
        <v>10592.152611300004</v>
      </c>
      <c r="J49" s="291">
        <f>'BM-06'!L38</f>
        <v>447.35</v>
      </c>
      <c r="K49" s="125">
        <f t="shared" si="0"/>
        <v>6534.4615807500013</v>
      </c>
      <c r="L49" s="125">
        <f t="shared" si="1"/>
        <v>277.78999999999996</v>
      </c>
      <c r="M49" s="291">
        <f t="shared" si="2"/>
        <v>4057.6910305499996</v>
      </c>
      <c r="N49" s="312">
        <f t="shared" si="3"/>
        <v>1</v>
      </c>
    </row>
    <row r="50" spans="1:16" ht="70.5" customHeight="1">
      <c r="A50" s="140" t="s">
        <v>86</v>
      </c>
      <c r="B50" s="1" t="s">
        <v>87</v>
      </c>
      <c r="C50" s="117" t="s">
        <v>88</v>
      </c>
      <c r="D50" s="1" t="s">
        <v>19</v>
      </c>
      <c r="E50" s="1" t="s">
        <v>46</v>
      </c>
      <c r="F50" s="56">
        <v>1020.19</v>
      </c>
      <c r="G50" s="56">
        <v>16.5</v>
      </c>
      <c r="H50" s="121">
        <f t="shared" si="9"/>
        <v>21.01275</v>
      </c>
      <c r="I50" s="125">
        <f>[5]READEQUAÇÃO!N50</f>
        <v>21436.997422500004</v>
      </c>
      <c r="J50" s="291">
        <f>'BM-06'!L39</f>
        <v>729.34</v>
      </c>
      <c r="K50" s="125">
        <f t="shared" si="0"/>
        <v>15325.439085000002</v>
      </c>
      <c r="L50" s="125">
        <f t="shared" si="1"/>
        <v>290.85000000000002</v>
      </c>
      <c r="M50" s="291">
        <f t="shared" si="2"/>
        <v>6111.5583375000006</v>
      </c>
      <c r="N50" s="312">
        <f t="shared" si="3"/>
        <v>1</v>
      </c>
    </row>
    <row r="51" spans="1:16" ht="51">
      <c r="A51" s="140" t="s">
        <v>89</v>
      </c>
      <c r="B51" s="1" t="s">
        <v>90</v>
      </c>
      <c r="C51" s="117" t="s">
        <v>91</v>
      </c>
      <c r="D51" s="1" t="s">
        <v>19</v>
      </c>
      <c r="E51" s="1" t="s">
        <v>29</v>
      </c>
      <c r="F51" s="56">
        <v>52.9</v>
      </c>
      <c r="G51" s="56">
        <v>298.27999999999997</v>
      </c>
      <c r="H51" s="121">
        <f t="shared" si="9"/>
        <v>379.85957999999999</v>
      </c>
      <c r="I51" s="125">
        <f>[5]READEQUAÇÃO!N51</f>
        <v>20094.571781999999</v>
      </c>
      <c r="J51" s="291">
        <f>'BM-06'!L40</f>
        <v>39.65</v>
      </c>
      <c r="K51" s="125">
        <f t="shared" si="0"/>
        <v>15061.432347</v>
      </c>
      <c r="L51" s="125">
        <f t="shared" si="1"/>
        <v>13.25</v>
      </c>
      <c r="M51" s="291">
        <f t="shared" si="2"/>
        <v>5033.139435</v>
      </c>
      <c r="N51" s="312">
        <f t="shared" si="3"/>
        <v>1</v>
      </c>
    </row>
    <row r="52" spans="1:16" ht="38.25">
      <c r="A52" s="140" t="s">
        <v>92</v>
      </c>
      <c r="B52" s="1" t="s">
        <v>60</v>
      </c>
      <c r="C52" s="117" t="s">
        <v>61</v>
      </c>
      <c r="D52" s="1" t="s">
        <v>19</v>
      </c>
      <c r="E52" s="1" t="s">
        <v>29</v>
      </c>
      <c r="F52" s="56">
        <v>52.9</v>
      </c>
      <c r="G52" s="56">
        <v>23.69</v>
      </c>
      <c r="H52" s="121">
        <f t="shared" si="9"/>
        <v>30.169215000000005</v>
      </c>
      <c r="I52" s="125">
        <f>[5]READEQUAÇÃO!N52</f>
        <v>1595.9514735000002</v>
      </c>
      <c r="J52" s="291">
        <f>'BM-06'!L41</f>
        <v>39.65</v>
      </c>
      <c r="K52" s="125">
        <f t="shared" si="0"/>
        <v>1196.2093747500001</v>
      </c>
      <c r="L52" s="125">
        <f t="shared" si="1"/>
        <v>13.25</v>
      </c>
      <c r="M52" s="291">
        <f t="shared" si="2"/>
        <v>399.74209875000008</v>
      </c>
      <c r="N52" s="312">
        <f t="shared" si="3"/>
        <v>1</v>
      </c>
    </row>
    <row r="53" spans="1:16" ht="68.25" customHeight="1">
      <c r="A53" s="140" t="s">
        <v>93</v>
      </c>
      <c r="B53" s="1" t="s">
        <v>94</v>
      </c>
      <c r="C53" s="119" t="s">
        <v>95</v>
      </c>
      <c r="D53" s="1" t="s">
        <v>19</v>
      </c>
      <c r="E53" s="1" t="s">
        <v>67</v>
      </c>
      <c r="F53" s="56">
        <v>111.31</v>
      </c>
      <c r="G53" s="56">
        <v>129.72</v>
      </c>
      <c r="H53" s="121">
        <f t="shared" si="9"/>
        <v>165.19842</v>
      </c>
      <c r="I53" s="125">
        <f>[5]READEQUAÇÃO!N53</f>
        <v>18388.236130199999</v>
      </c>
      <c r="J53" s="291">
        <f>'BM-06'!L42</f>
        <v>80.819999999999993</v>
      </c>
      <c r="K53" s="125">
        <f t="shared" si="0"/>
        <v>13351.336304399998</v>
      </c>
      <c r="L53" s="125">
        <f t="shared" si="1"/>
        <v>30.490000000000009</v>
      </c>
      <c r="M53" s="291">
        <f t="shared" si="2"/>
        <v>5036.8998258000011</v>
      </c>
      <c r="N53" s="312">
        <f t="shared" si="3"/>
        <v>1</v>
      </c>
    </row>
    <row r="54" spans="1:16" ht="25.5">
      <c r="A54" s="140" t="s">
        <v>96</v>
      </c>
      <c r="B54" s="1" t="s">
        <v>97</v>
      </c>
      <c r="C54" s="117" t="s">
        <v>98</v>
      </c>
      <c r="D54" s="1" t="s">
        <v>19</v>
      </c>
      <c r="E54" s="1" t="s">
        <v>20</v>
      </c>
      <c r="F54" s="56">
        <v>25</v>
      </c>
      <c r="G54" s="56">
        <v>25.84</v>
      </c>
      <c r="H54" s="121">
        <f t="shared" si="9"/>
        <v>32.907240000000002</v>
      </c>
      <c r="I54" s="125">
        <f>[5]READEQUAÇÃO!N54</f>
        <v>822.68100000000004</v>
      </c>
      <c r="J54" s="291">
        <f>'BM-06'!L43</f>
        <v>25</v>
      </c>
      <c r="K54" s="125">
        <f t="shared" si="0"/>
        <v>822.68100000000004</v>
      </c>
      <c r="L54" s="125">
        <f t="shared" si="1"/>
        <v>0</v>
      </c>
      <c r="M54" s="291">
        <f t="shared" si="2"/>
        <v>0</v>
      </c>
      <c r="N54" s="312">
        <f t="shared" si="3"/>
        <v>1</v>
      </c>
    </row>
    <row r="55" spans="1:16" ht="25.5">
      <c r="A55" s="140" t="s">
        <v>99</v>
      </c>
      <c r="B55" s="1" t="s">
        <v>100</v>
      </c>
      <c r="C55" s="117" t="s">
        <v>101</v>
      </c>
      <c r="D55" s="1" t="s">
        <v>19</v>
      </c>
      <c r="E55" s="1" t="s">
        <v>20</v>
      </c>
      <c r="F55" s="56">
        <v>101.6</v>
      </c>
      <c r="G55" s="56">
        <v>35.19</v>
      </c>
      <c r="H55" s="121">
        <f t="shared" si="9"/>
        <v>44.814464999999998</v>
      </c>
      <c r="I55" s="125">
        <f>[5]READEQUAÇÃO!N55</f>
        <v>4553.1496439999992</v>
      </c>
      <c r="J55" s="291">
        <f>'BM-06'!L44</f>
        <v>77.5</v>
      </c>
      <c r="K55" s="125">
        <f t="shared" si="0"/>
        <v>3473.1210375000001</v>
      </c>
      <c r="L55" s="125">
        <f t="shared" si="1"/>
        <v>24.099999999999994</v>
      </c>
      <c r="M55" s="291">
        <f t="shared" si="2"/>
        <v>1080.0286064999998</v>
      </c>
      <c r="N55" s="312">
        <f t="shared" si="3"/>
        <v>1</v>
      </c>
    </row>
    <row r="56" spans="1:16" s="137" customFormat="1" ht="72.75" customHeight="1">
      <c r="A56" s="140" t="s">
        <v>801</v>
      </c>
      <c r="B56" s="133">
        <v>92777</v>
      </c>
      <c r="C56" s="138" t="s">
        <v>874</v>
      </c>
      <c r="D56" s="133" t="s">
        <v>19</v>
      </c>
      <c r="E56" s="133" t="s">
        <v>67</v>
      </c>
      <c r="F56" s="135">
        <v>12.39</v>
      </c>
      <c r="G56" s="135">
        <v>15.550238999999999</v>
      </c>
      <c r="H56" s="136">
        <f>G56*$O$10*$P$7</f>
        <v>17.228809548855001</v>
      </c>
      <c r="I56" s="125">
        <f>[5]READEQUAÇÃO!N56</f>
        <v>213.46495031031347</v>
      </c>
      <c r="J56" s="291"/>
      <c r="K56" s="125">
        <f t="shared" si="0"/>
        <v>0</v>
      </c>
      <c r="L56" s="125">
        <f t="shared" si="1"/>
        <v>12.39</v>
      </c>
      <c r="M56" s="291">
        <f t="shared" si="2"/>
        <v>213.46495031031347</v>
      </c>
      <c r="N56" s="312">
        <f t="shared" si="3"/>
        <v>1</v>
      </c>
      <c r="O56" s="144"/>
      <c r="P56" s="144"/>
    </row>
    <row r="57" spans="1:16" ht="20.100000000000001" customHeight="1">
      <c r="A57" s="230" t="s">
        <v>102</v>
      </c>
      <c r="B57" s="367" t="s">
        <v>103</v>
      </c>
      <c r="C57" s="368"/>
      <c r="D57" s="146"/>
      <c r="E57" s="146"/>
      <c r="F57" s="146"/>
      <c r="G57" s="146"/>
      <c r="H57" s="146"/>
      <c r="I57" s="146"/>
      <c r="J57" s="146"/>
      <c r="K57" s="146"/>
      <c r="L57" s="296"/>
      <c r="M57" s="296"/>
      <c r="N57" s="312"/>
    </row>
    <row r="58" spans="1:16" ht="51">
      <c r="A58" s="140" t="s">
        <v>104</v>
      </c>
      <c r="B58" s="1" t="s">
        <v>105</v>
      </c>
      <c r="C58" s="117" t="s">
        <v>106</v>
      </c>
      <c r="D58" s="1" t="s">
        <v>10</v>
      </c>
      <c r="E58" s="1" t="s">
        <v>11</v>
      </c>
      <c r="F58" s="56">
        <v>382.72</v>
      </c>
      <c r="G58" s="56">
        <v>159.99</v>
      </c>
      <c r="H58" s="121">
        <f>G58*$O$10</f>
        <v>203.74726500000003</v>
      </c>
      <c r="I58" s="125">
        <f>[5]READEQUAÇÃO!N58</f>
        <v>77978.153260800013</v>
      </c>
      <c r="J58" s="291">
        <f>'BM-06'!L46</f>
        <v>375.25</v>
      </c>
      <c r="K58" s="125">
        <f t="shared" si="0"/>
        <v>76456.161191250008</v>
      </c>
      <c r="L58" s="125">
        <f t="shared" si="1"/>
        <v>7.4700000000000273</v>
      </c>
      <c r="M58" s="291">
        <f t="shared" si="2"/>
        <v>1521.9920695500057</v>
      </c>
      <c r="N58" s="312">
        <f t="shared" si="3"/>
        <v>1</v>
      </c>
    </row>
    <row r="59" spans="1:16" s="137" customFormat="1" ht="62.25" customHeight="1">
      <c r="A59" s="140" t="s">
        <v>802</v>
      </c>
      <c r="B59" s="133">
        <v>96523</v>
      </c>
      <c r="C59" s="139" t="str">
        <f>C18</f>
        <v>ESCAVAÇÃO MANUAL PARA BLOCO DE COROAMENTO OU SAPATA (INCLUINDO ESCAVAÇÃO PARA COLOCAÇÃO DE FÔRMAS). AF_06/2017</v>
      </c>
      <c r="D59" s="133" t="str">
        <f>D18</f>
        <v>SINAPI</v>
      </c>
      <c r="E59" s="133" t="str">
        <f>E18</f>
        <v>M3</v>
      </c>
      <c r="F59" s="135">
        <v>32.130000000000003</v>
      </c>
      <c r="G59" s="135">
        <f>G18</f>
        <v>63.46</v>
      </c>
      <c r="H59" s="136">
        <f>G59*$O$10*$P$7</f>
        <v>70.310189699999995</v>
      </c>
      <c r="I59" s="125">
        <f>[5]READEQUAÇÃO!N59</f>
        <v>2259.0663950610001</v>
      </c>
      <c r="J59" s="291"/>
      <c r="K59" s="125">
        <f t="shared" si="0"/>
        <v>0</v>
      </c>
      <c r="L59" s="125">
        <f t="shared" si="1"/>
        <v>32.130000000000003</v>
      </c>
      <c r="M59" s="291">
        <f t="shared" si="2"/>
        <v>2259.0663950610001</v>
      </c>
      <c r="N59" s="312">
        <f t="shared" si="3"/>
        <v>1</v>
      </c>
      <c r="O59" s="144"/>
      <c r="P59" s="144"/>
    </row>
    <row r="60" spans="1:16" s="137" customFormat="1" ht="76.5">
      <c r="A60" s="140" t="s">
        <v>803</v>
      </c>
      <c r="B60" s="133">
        <v>87503</v>
      </c>
      <c r="C60" s="139" t="str">
        <f>C39</f>
        <v>ALVENARIA DE VEDAÇÃO DE BLOCOS CERÂMICOS FURADOS NA HORIZONTAL DE 9X19X19CM (ESPESSURA 9CM) DE PAREDES COM ÁREA LÍQUIDA MAIOR OU IGUAL A 6M² SEM VÃOS E ARGAMASSA DE ASSENTAMENTO COM PREPARO EM BETONEIRA. AF_06/2014</v>
      </c>
      <c r="D60" s="133" t="str">
        <f>D39</f>
        <v>SINAPI</v>
      </c>
      <c r="E60" s="133" t="str">
        <f>E39</f>
        <v>M2</v>
      </c>
      <c r="F60" s="135">
        <v>60</v>
      </c>
      <c r="G60" s="135">
        <f>G39</f>
        <v>52.58</v>
      </c>
      <c r="H60" s="136">
        <f>G60*$O$10*$P$7</f>
        <v>58.255748099999998</v>
      </c>
      <c r="I60" s="125">
        <f>[5]READEQUAÇÃO!N60</f>
        <v>3495.3448859999999</v>
      </c>
      <c r="J60" s="291"/>
      <c r="K60" s="125">
        <f t="shared" si="0"/>
        <v>0</v>
      </c>
      <c r="L60" s="125">
        <f t="shared" si="1"/>
        <v>60</v>
      </c>
      <c r="M60" s="291">
        <f t="shared" si="2"/>
        <v>3495.3448859999999</v>
      </c>
      <c r="N60" s="312">
        <f t="shared" si="3"/>
        <v>1</v>
      </c>
      <c r="O60" s="144"/>
      <c r="P60" s="144"/>
    </row>
    <row r="61" spans="1:16" s="137" customFormat="1" ht="51">
      <c r="A61" s="140" t="s">
        <v>804</v>
      </c>
      <c r="B61" s="133">
        <v>94965</v>
      </c>
      <c r="C61" s="139" t="s">
        <v>58</v>
      </c>
      <c r="D61" s="133" t="s">
        <v>19</v>
      </c>
      <c r="E61" s="133" t="s">
        <v>29</v>
      </c>
      <c r="F61" s="135">
        <v>0.99</v>
      </c>
      <c r="G61" s="135">
        <v>301.79000000000002</v>
      </c>
      <c r="H61" s="136">
        <f>G61*$O$10*$P$7</f>
        <v>334.36672155000002</v>
      </c>
      <c r="I61" s="125">
        <f>[5]READEQUAÇÃO!N61</f>
        <v>331.02305433450005</v>
      </c>
      <c r="J61" s="291"/>
      <c r="K61" s="125">
        <f t="shared" si="0"/>
        <v>0</v>
      </c>
      <c r="L61" s="125">
        <f t="shared" si="1"/>
        <v>0.99</v>
      </c>
      <c r="M61" s="291">
        <f t="shared" si="2"/>
        <v>331.02305433450005</v>
      </c>
      <c r="N61" s="312">
        <f t="shared" si="3"/>
        <v>1</v>
      </c>
      <c r="O61" s="144"/>
      <c r="P61" s="144"/>
    </row>
    <row r="62" spans="1:16" s="137" customFormat="1" ht="51">
      <c r="A62" s="140" t="s">
        <v>805</v>
      </c>
      <c r="B62" s="133">
        <v>87879</v>
      </c>
      <c r="C62" s="139" t="s">
        <v>171</v>
      </c>
      <c r="D62" s="133" t="s">
        <v>19</v>
      </c>
      <c r="E62" s="133" t="s">
        <v>67</v>
      </c>
      <c r="F62" s="135">
        <v>120</v>
      </c>
      <c r="G62" s="135">
        <v>2.64</v>
      </c>
      <c r="H62" s="136">
        <f>G62*$O$10*$P$7</f>
        <v>2.9249748000000002</v>
      </c>
      <c r="I62" s="125">
        <f>[5]READEQUAÇÃO!N62</f>
        <v>350.99697600000002</v>
      </c>
      <c r="J62" s="291"/>
      <c r="K62" s="125">
        <f t="shared" si="0"/>
        <v>0</v>
      </c>
      <c r="L62" s="125">
        <f t="shared" si="1"/>
        <v>120</v>
      </c>
      <c r="M62" s="291">
        <f t="shared" si="2"/>
        <v>350.99697600000002</v>
      </c>
      <c r="N62" s="312">
        <f t="shared" si="3"/>
        <v>1</v>
      </c>
      <c r="O62" s="144"/>
      <c r="P62" s="144"/>
    </row>
    <row r="63" spans="1:16" s="137" customFormat="1" ht="63.75">
      <c r="A63" s="140" t="s">
        <v>806</v>
      </c>
      <c r="B63" s="133">
        <v>87547</v>
      </c>
      <c r="C63" s="139" t="s">
        <v>174</v>
      </c>
      <c r="D63" s="133" t="s">
        <v>19</v>
      </c>
      <c r="E63" s="133" t="s">
        <v>67</v>
      </c>
      <c r="F63" s="135">
        <v>120</v>
      </c>
      <c r="G63" s="135">
        <v>14.42</v>
      </c>
      <c r="H63" s="136">
        <f>G63*$O$10*$P$7</f>
        <v>15.976566900000002</v>
      </c>
      <c r="I63" s="125">
        <f>[5]READEQUAÇÃO!N63</f>
        <v>1917.1880280000003</v>
      </c>
      <c r="J63" s="291"/>
      <c r="K63" s="125">
        <f t="shared" si="0"/>
        <v>0</v>
      </c>
      <c r="L63" s="125">
        <f t="shared" si="1"/>
        <v>120</v>
      </c>
      <c r="M63" s="291">
        <f t="shared" si="2"/>
        <v>1917.1880280000003</v>
      </c>
      <c r="N63" s="312">
        <f t="shared" si="3"/>
        <v>1</v>
      </c>
      <c r="O63" s="144"/>
      <c r="P63" s="144"/>
    </row>
    <row r="64" spans="1:16">
      <c r="A64" s="140"/>
      <c r="B64" s="2"/>
      <c r="C64" s="118"/>
      <c r="D64" s="2"/>
      <c r="E64" s="2"/>
      <c r="F64" s="57"/>
      <c r="G64" s="57"/>
      <c r="H64" s="122"/>
      <c r="I64" s="127">
        <f>SUM(I46:I63)</f>
        <v>284755.04578135582</v>
      </c>
      <c r="J64" s="127"/>
      <c r="K64" s="127">
        <f t="shared" ref="K64:M64" si="10">SUM(K46:K63)</f>
        <v>215980.778529</v>
      </c>
      <c r="L64" s="127"/>
      <c r="M64" s="127">
        <f t="shared" si="10"/>
        <v>68774.267252355814</v>
      </c>
      <c r="N64" s="312"/>
    </row>
    <row r="65" spans="1:14" s="144" customFormat="1">
      <c r="A65" s="140"/>
      <c r="B65" s="162"/>
      <c r="C65" s="163"/>
      <c r="D65" s="141"/>
      <c r="E65" s="141"/>
      <c r="F65" s="142"/>
      <c r="G65" s="142"/>
      <c r="H65" s="143"/>
      <c r="I65" s="164"/>
      <c r="J65" s="293"/>
      <c r="K65" s="125">
        <f t="shared" si="0"/>
        <v>0</v>
      </c>
      <c r="L65" s="125">
        <f t="shared" si="1"/>
        <v>0</v>
      </c>
      <c r="M65" s="291">
        <f t="shared" si="2"/>
        <v>0</v>
      </c>
      <c r="N65" s="312"/>
    </row>
    <row r="66" spans="1:14" ht="20.100000000000001" customHeight="1">
      <c r="A66" s="230" t="s">
        <v>107</v>
      </c>
      <c r="B66" s="367" t="s">
        <v>108</v>
      </c>
      <c r="C66" s="368"/>
      <c r="D66" s="146"/>
      <c r="E66" s="146"/>
      <c r="F66" s="146"/>
      <c r="G66" s="146"/>
      <c r="H66" s="146"/>
      <c r="I66" s="146"/>
      <c r="J66" s="146"/>
      <c r="K66" s="146"/>
      <c r="L66" s="296"/>
      <c r="M66" s="296"/>
      <c r="N66" s="312"/>
    </row>
    <row r="67" spans="1:14" ht="38.25">
      <c r="A67" s="140" t="s">
        <v>109</v>
      </c>
      <c r="B67" s="1" t="s">
        <v>110</v>
      </c>
      <c r="C67" s="117" t="s">
        <v>111</v>
      </c>
      <c r="D67" s="1" t="s">
        <v>19</v>
      </c>
      <c r="E67" s="1" t="s">
        <v>67</v>
      </c>
      <c r="F67" s="56">
        <v>876.48</v>
      </c>
      <c r="G67" s="56">
        <v>25.58</v>
      </c>
      <c r="H67" s="121">
        <f t="shared" ref="H67:H76" si="11">G67*$O$10</f>
        <v>32.576129999999999</v>
      </c>
      <c r="I67" s="125">
        <f>[5]READEQUAÇÃO!N67</f>
        <v>28552.326422400001</v>
      </c>
      <c r="J67" s="291">
        <f>'BM-06'!L49</f>
        <v>876.42</v>
      </c>
      <c r="K67" s="125">
        <f t="shared" si="0"/>
        <v>28550.371854599998</v>
      </c>
      <c r="L67" s="125">
        <f t="shared" si="1"/>
        <v>6.0000000000059117E-2</v>
      </c>
      <c r="M67" s="291">
        <f t="shared" si="2"/>
        <v>1.9545678000019258</v>
      </c>
      <c r="N67" s="312">
        <f t="shared" si="3"/>
        <v>1</v>
      </c>
    </row>
    <row r="68" spans="1:14" ht="51">
      <c r="A68" s="140" t="s">
        <v>112</v>
      </c>
      <c r="B68" s="1" t="s">
        <v>113</v>
      </c>
      <c r="C68" s="117" t="s">
        <v>114</v>
      </c>
      <c r="D68" s="1" t="s">
        <v>19</v>
      </c>
      <c r="E68" s="1" t="s">
        <v>115</v>
      </c>
      <c r="F68" s="56">
        <v>18</v>
      </c>
      <c r="G68" s="56">
        <v>1497.33</v>
      </c>
      <c r="H68" s="121">
        <f t="shared" si="11"/>
        <v>1906.849755</v>
      </c>
      <c r="I68" s="125">
        <f>[5]READEQUAÇÃO!N68</f>
        <v>34323.295590000002</v>
      </c>
      <c r="J68" s="291">
        <f>'BM-06'!L50</f>
        <v>12</v>
      </c>
      <c r="K68" s="125">
        <f t="shared" si="0"/>
        <v>22882.197059999999</v>
      </c>
      <c r="L68" s="125">
        <f t="shared" si="1"/>
        <v>6</v>
      </c>
      <c r="M68" s="291">
        <f t="shared" si="2"/>
        <v>11441.098529999999</v>
      </c>
      <c r="N68" s="312">
        <f t="shared" si="3"/>
        <v>1</v>
      </c>
    </row>
    <row r="69" spans="1:14" ht="51">
      <c r="A69" s="140" t="s">
        <v>116</v>
      </c>
      <c r="B69" s="1" t="s">
        <v>117</v>
      </c>
      <c r="C69" s="117" t="s">
        <v>118</v>
      </c>
      <c r="D69" s="1" t="s">
        <v>19</v>
      </c>
      <c r="E69" s="1" t="s">
        <v>115</v>
      </c>
      <c r="F69" s="56">
        <v>4</v>
      </c>
      <c r="G69" s="56">
        <v>1692.77</v>
      </c>
      <c r="H69" s="121">
        <f t="shared" si="11"/>
        <v>2155.7425950000002</v>
      </c>
      <c r="I69" s="125">
        <f>[5]READEQUAÇÃO!N69</f>
        <v>8622.9703800000007</v>
      </c>
      <c r="J69" s="291">
        <f>'BM-06'!L51</f>
        <v>4</v>
      </c>
      <c r="K69" s="125">
        <f t="shared" si="0"/>
        <v>8622.9703800000007</v>
      </c>
      <c r="L69" s="125">
        <f t="shared" si="1"/>
        <v>0</v>
      </c>
      <c r="M69" s="291">
        <f t="shared" si="2"/>
        <v>0</v>
      </c>
      <c r="N69" s="312">
        <f t="shared" si="3"/>
        <v>1</v>
      </c>
    </row>
    <row r="70" spans="1:14" ht="51">
      <c r="A70" s="140" t="s">
        <v>119</v>
      </c>
      <c r="B70" s="1" t="s">
        <v>120</v>
      </c>
      <c r="C70" s="117" t="s">
        <v>121</v>
      </c>
      <c r="D70" s="1" t="s">
        <v>19</v>
      </c>
      <c r="E70" s="1" t="s">
        <v>20</v>
      </c>
      <c r="F70" s="56">
        <v>98.35</v>
      </c>
      <c r="G70" s="56">
        <v>14.4</v>
      </c>
      <c r="H70" s="121">
        <f t="shared" si="11"/>
        <v>18.3384</v>
      </c>
      <c r="I70" s="125">
        <f>[5]READEQUAÇÃO!N70</f>
        <v>1803.5816399999999</v>
      </c>
      <c r="J70" s="291">
        <f>'BM-06'!L52</f>
        <v>98.35</v>
      </c>
      <c r="K70" s="125">
        <f t="shared" si="0"/>
        <v>1803.5816399999999</v>
      </c>
      <c r="L70" s="125">
        <f t="shared" si="1"/>
        <v>0</v>
      </c>
      <c r="M70" s="291">
        <f t="shared" si="2"/>
        <v>0</v>
      </c>
      <c r="N70" s="312">
        <f t="shared" si="3"/>
        <v>1</v>
      </c>
    </row>
    <row r="71" spans="1:14" ht="63.75">
      <c r="A71" s="140" t="s">
        <v>122</v>
      </c>
      <c r="B71" s="1" t="s">
        <v>123</v>
      </c>
      <c r="C71" s="117" t="s">
        <v>124</v>
      </c>
      <c r="D71" s="1" t="s">
        <v>19</v>
      </c>
      <c r="E71" s="1" t="s">
        <v>67</v>
      </c>
      <c r="F71" s="56">
        <v>876.48</v>
      </c>
      <c r="G71" s="56">
        <v>50.08</v>
      </c>
      <c r="H71" s="121">
        <f t="shared" si="11"/>
        <v>63.776879999999998</v>
      </c>
      <c r="I71" s="125">
        <f>[5]READEQUAÇÃO!N71</f>
        <v>55899.159782399998</v>
      </c>
      <c r="J71" s="291">
        <f>'BM-06'!L53</f>
        <v>876.42</v>
      </c>
      <c r="K71" s="125">
        <f t="shared" si="0"/>
        <v>55895.333169599995</v>
      </c>
      <c r="L71" s="125">
        <f t="shared" si="1"/>
        <v>6.0000000000059117E-2</v>
      </c>
      <c r="M71" s="291">
        <f t="shared" si="2"/>
        <v>3.8266128000037702</v>
      </c>
      <c r="N71" s="312">
        <f t="shared" si="3"/>
        <v>1</v>
      </c>
    </row>
    <row r="72" spans="1:14" ht="25.5">
      <c r="A72" s="140" t="s">
        <v>125</v>
      </c>
      <c r="B72" s="1" t="s">
        <v>126</v>
      </c>
      <c r="C72" s="117" t="s">
        <v>127</v>
      </c>
      <c r="D72" s="1" t="s">
        <v>19</v>
      </c>
      <c r="E72" s="1" t="s">
        <v>67</v>
      </c>
      <c r="F72" s="56">
        <v>653.14</v>
      </c>
      <c r="G72" s="56">
        <v>27.72</v>
      </c>
      <c r="H72" s="121">
        <f t="shared" si="11"/>
        <v>35.30142</v>
      </c>
      <c r="I72" s="125">
        <f>[5]READEQUAÇÃO!N72</f>
        <v>23056.769458800001</v>
      </c>
      <c r="J72" s="291">
        <f>'BM-06'!L54</f>
        <v>0</v>
      </c>
      <c r="K72" s="125">
        <f t="shared" si="0"/>
        <v>0</v>
      </c>
      <c r="L72" s="125">
        <f t="shared" si="1"/>
        <v>653.14</v>
      </c>
      <c r="M72" s="291">
        <f t="shared" si="2"/>
        <v>23056.769458800001</v>
      </c>
      <c r="N72" s="312">
        <f t="shared" si="3"/>
        <v>1</v>
      </c>
    </row>
    <row r="73" spans="1:14" ht="25.5">
      <c r="A73" s="140" t="s">
        <v>128</v>
      </c>
      <c r="B73" s="1" t="s">
        <v>129</v>
      </c>
      <c r="C73" s="119" t="s">
        <v>130</v>
      </c>
      <c r="D73" s="1" t="s">
        <v>10</v>
      </c>
      <c r="E73" s="1" t="s">
        <v>131</v>
      </c>
      <c r="F73" s="56">
        <v>91.65</v>
      </c>
      <c r="G73" s="56">
        <v>54.54</v>
      </c>
      <c r="H73" s="121">
        <f t="shared" si="11"/>
        <v>69.456690000000009</v>
      </c>
      <c r="I73" s="125">
        <f>[5]READEQUAÇÃO!N73</f>
        <v>6365.7056385000014</v>
      </c>
      <c r="J73" s="291">
        <f>'BM-06'!L55</f>
        <v>91.65</v>
      </c>
      <c r="K73" s="125">
        <f t="shared" si="0"/>
        <v>6365.7056385000014</v>
      </c>
      <c r="L73" s="125">
        <f t="shared" si="1"/>
        <v>0</v>
      </c>
      <c r="M73" s="291">
        <f t="shared" si="2"/>
        <v>0</v>
      </c>
      <c r="N73" s="312">
        <f t="shared" si="3"/>
        <v>1</v>
      </c>
    </row>
    <row r="74" spans="1:14" ht="38.25">
      <c r="A74" s="140" t="s">
        <v>132</v>
      </c>
      <c r="B74" s="1" t="s">
        <v>133</v>
      </c>
      <c r="C74" s="117" t="s">
        <v>134</v>
      </c>
      <c r="D74" s="1" t="s">
        <v>19</v>
      </c>
      <c r="E74" s="1" t="s">
        <v>20</v>
      </c>
      <c r="F74" s="56">
        <v>178.01</v>
      </c>
      <c r="G74" s="56">
        <v>70.53</v>
      </c>
      <c r="H74" s="121">
        <f t="shared" si="11"/>
        <v>89.819955000000007</v>
      </c>
      <c r="I74" s="125">
        <f>[5]READEQUAÇÃO!N74</f>
        <v>15988.850189550001</v>
      </c>
      <c r="J74" s="313">
        <v>178.01</v>
      </c>
      <c r="K74" s="125">
        <f t="shared" si="0"/>
        <v>15988.850189550001</v>
      </c>
      <c r="L74" s="125"/>
      <c r="M74" s="291"/>
      <c r="N74" s="312">
        <f t="shared" si="3"/>
        <v>1</v>
      </c>
    </row>
    <row r="75" spans="1:14" ht="38.25">
      <c r="A75" s="140" t="s">
        <v>135</v>
      </c>
      <c r="B75" s="1" t="s">
        <v>136</v>
      </c>
      <c r="C75" s="117" t="s">
        <v>137</v>
      </c>
      <c r="D75" s="1" t="s">
        <v>19</v>
      </c>
      <c r="E75" s="1" t="s">
        <v>20</v>
      </c>
      <c r="F75" s="56">
        <v>72</v>
      </c>
      <c r="G75" s="56">
        <v>22.25</v>
      </c>
      <c r="H75" s="121">
        <f t="shared" si="11"/>
        <v>28.335375000000003</v>
      </c>
      <c r="I75" s="125">
        <f>[5]READEQUAÇÃO!N75</f>
        <v>2040.1470000000002</v>
      </c>
      <c r="J75" s="291">
        <f>'BM-06'!L57</f>
        <v>0</v>
      </c>
      <c r="K75" s="125">
        <f t="shared" ref="K75:K138" si="12">J75*H75</f>
        <v>0</v>
      </c>
      <c r="L75" s="125">
        <f t="shared" ref="L75:L138" si="13">F75-J75</f>
        <v>72</v>
      </c>
      <c r="M75" s="291">
        <f t="shared" ref="M75:M138" si="14">L75*H75</f>
        <v>2040.1470000000002</v>
      </c>
      <c r="N75" s="312">
        <f t="shared" ref="N75:N138" si="15">(J75+L75)/F75</f>
        <v>1</v>
      </c>
    </row>
    <row r="76" spans="1:14" ht="38.25">
      <c r="A76" s="140" t="s">
        <v>138</v>
      </c>
      <c r="B76" s="1" t="s">
        <v>139</v>
      </c>
      <c r="C76" s="117" t="s">
        <v>140</v>
      </c>
      <c r="D76" s="1" t="s">
        <v>19</v>
      </c>
      <c r="E76" s="1" t="s">
        <v>20</v>
      </c>
      <c r="F76" s="56">
        <v>24</v>
      </c>
      <c r="G76" s="56">
        <v>52.83</v>
      </c>
      <c r="H76" s="121">
        <f t="shared" si="11"/>
        <v>67.279004999999998</v>
      </c>
      <c r="I76" s="125">
        <f>[5]READEQUAÇÃO!N76</f>
        <v>1614.6961200000001</v>
      </c>
      <c r="J76" s="291">
        <f>'BM-06'!L58</f>
        <v>24</v>
      </c>
      <c r="K76" s="125">
        <f t="shared" si="12"/>
        <v>1614.6961200000001</v>
      </c>
      <c r="L76" s="125">
        <f t="shared" si="13"/>
        <v>0</v>
      </c>
      <c r="M76" s="291">
        <f t="shared" si="14"/>
        <v>0</v>
      </c>
      <c r="N76" s="312">
        <f t="shared" si="15"/>
        <v>1</v>
      </c>
    </row>
    <row r="77" spans="1:14">
      <c r="A77" s="140"/>
      <c r="B77" s="2"/>
      <c r="C77" s="118"/>
      <c r="D77" s="2"/>
      <c r="E77" s="2"/>
      <c r="F77" s="57"/>
      <c r="G77" s="57"/>
      <c r="H77" s="122"/>
      <c r="I77" s="127">
        <f>SUM(I67:I76)</f>
        <v>178267.50222165001</v>
      </c>
      <c r="J77" s="127"/>
      <c r="K77" s="127">
        <f t="shared" ref="K77:M77" si="16">SUM(K67:K76)</f>
        <v>141723.70605225</v>
      </c>
      <c r="L77" s="127"/>
      <c r="M77" s="127">
        <f t="shared" si="16"/>
        <v>36543.796169400004</v>
      </c>
      <c r="N77" s="312"/>
    </row>
    <row r="78" spans="1:14" s="144" customFormat="1">
      <c r="A78" s="140"/>
      <c r="B78" s="162"/>
      <c r="C78" s="163"/>
      <c r="D78" s="141"/>
      <c r="E78" s="141"/>
      <c r="F78" s="142"/>
      <c r="G78" s="142"/>
      <c r="H78" s="143"/>
      <c r="I78" s="164"/>
      <c r="J78" s="293"/>
      <c r="K78" s="125">
        <f t="shared" si="12"/>
        <v>0</v>
      </c>
      <c r="L78" s="125">
        <f t="shared" si="13"/>
        <v>0</v>
      </c>
      <c r="M78" s="291">
        <f t="shared" si="14"/>
        <v>0</v>
      </c>
      <c r="N78" s="312"/>
    </row>
    <row r="79" spans="1:14" ht="20.100000000000001" customHeight="1">
      <c r="A79" s="230" t="s">
        <v>141</v>
      </c>
      <c r="B79" s="367" t="s">
        <v>142</v>
      </c>
      <c r="C79" s="368"/>
      <c r="D79" s="146"/>
      <c r="E79" s="146"/>
      <c r="F79" s="146"/>
      <c r="G79" s="146"/>
      <c r="H79" s="146"/>
      <c r="I79" s="146"/>
      <c r="J79" s="146"/>
      <c r="K79" s="146"/>
      <c r="L79" s="296"/>
      <c r="M79" s="296"/>
      <c r="N79" s="312"/>
    </row>
    <row r="80" spans="1:14" ht="38.25">
      <c r="A80" s="140" t="s">
        <v>143</v>
      </c>
      <c r="B80" s="1" t="s">
        <v>144</v>
      </c>
      <c r="C80" s="117" t="s">
        <v>145</v>
      </c>
      <c r="D80" s="1" t="s">
        <v>19</v>
      </c>
      <c r="E80" s="1" t="s">
        <v>67</v>
      </c>
      <c r="F80" s="56">
        <v>944.79</v>
      </c>
      <c r="G80" s="56">
        <v>19.420000000000002</v>
      </c>
      <c r="H80" s="121">
        <f t="shared" ref="H80:H87" si="17">G80*$O$10</f>
        <v>24.731370000000005</v>
      </c>
      <c r="I80" s="125">
        <f>[5]READEQUAÇÃO!N80</f>
        <v>23365.951062300006</v>
      </c>
      <c r="J80" s="291">
        <f>'BM-06'!L61</f>
        <v>896.49</v>
      </c>
      <c r="K80" s="125">
        <f t="shared" si="12"/>
        <v>22171.425891300005</v>
      </c>
      <c r="L80" s="125">
        <f t="shared" si="13"/>
        <v>48.299999999999955</v>
      </c>
      <c r="M80" s="291">
        <f t="shared" si="14"/>
        <v>1194.5251709999991</v>
      </c>
      <c r="N80" s="312">
        <f t="shared" si="15"/>
        <v>1</v>
      </c>
    </row>
    <row r="81" spans="1:14" ht="51" customHeight="1">
      <c r="A81" s="140" t="s">
        <v>146</v>
      </c>
      <c r="B81" s="1" t="s">
        <v>147</v>
      </c>
      <c r="C81" s="117" t="s">
        <v>148</v>
      </c>
      <c r="D81" s="1" t="s">
        <v>10</v>
      </c>
      <c r="E81" s="1" t="s">
        <v>11</v>
      </c>
      <c r="F81" s="56">
        <v>944.79</v>
      </c>
      <c r="G81" s="56">
        <v>29.29</v>
      </c>
      <c r="H81" s="121">
        <f t="shared" si="17"/>
        <v>37.300815</v>
      </c>
      <c r="I81" s="125">
        <f>[5]READEQUAÇÃO!N81</f>
        <v>35241.437003849998</v>
      </c>
      <c r="J81" s="291">
        <f>'BM-06'!L62</f>
        <v>896.49</v>
      </c>
      <c r="K81" s="125">
        <f t="shared" si="12"/>
        <v>33439.807639350001</v>
      </c>
      <c r="L81" s="125">
        <f t="shared" si="13"/>
        <v>48.299999999999955</v>
      </c>
      <c r="M81" s="291">
        <f t="shared" si="14"/>
        <v>1801.6293644999982</v>
      </c>
      <c r="N81" s="312">
        <f t="shared" si="15"/>
        <v>1</v>
      </c>
    </row>
    <row r="82" spans="1:14" ht="51">
      <c r="A82" s="140" t="s">
        <v>149</v>
      </c>
      <c r="B82" s="1" t="s">
        <v>150</v>
      </c>
      <c r="C82" s="117" t="s">
        <v>151</v>
      </c>
      <c r="D82" s="1" t="s">
        <v>19</v>
      </c>
      <c r="E82" s="1" t="s">
        <v>67</v>
      </c>
      <c r="F82" s="56">
        <v>944.79</v>
      </c>
      <c r="G82" s="56">
        <v>27.26</v>
      </c>
      <c r="H82" s="121">
        <f t="shared" si="17"/>
        <v>34.715610000000005</v>
      </c>
      <c r="I82" s="125">
        <f>[5]READEQUAÇÃO!N82</f>
        <v>32798.961171900002</v>
      </c>
      <c r="J82" s="291">
        <f>'BM-06'!L63</f>
        <v>944.79</v>
      </c>
      <c r="K82" s="125">
        <f t="shared" si="12"/>
        <v>32798.961171900002</v>
      </c>
      <c r="L82" s="125">
        <f t="shared" si="13"/>
        <v>0</v>
      </c>
      <c r="M82" s="291">
        <f t="shared" si="14"/>
        <v>0</v>
      </c>
      <c r="N82" s="312">
        <f t="shared" si="15"/>
        <v>1</v>
      </c>
    </row>
    <row r="83" spans="1:14" ht="38.25">
      <c r="A83" s="140" t="s">
        <v>152</v>
      </c>
      <c r="B83" s="1" t="s">
        <v>153</v>
      </c>
      <c r="C83" s="117" t="s">
        <v>154</v>
      </c>
      <c r="D83" s="1" t="s">
        <v>19</v>
      </c>
      <c r="E83" s="1" t="s">
        <v>29</v>
      </c>
      <c r="F83" s="56">
        <v>72.84</v>
      </c>
      <c r="G83" s="56">
        <v>101.84</v>
      </c>
      <c r="H83" s="121">
        <f t="shared" si="17"/>
        <v>129.69324</v>
      </c>
      <c r="I83" s="125">
        <f>[5]READEQUAÇÃO!N83</f>
        <v>9446.8556016000002</v>
      </c>
      <c r="J83" s="291">
        <f>'BM-06'!L64</f>
        <v>0</v>
      </c>
      <c r="K83" s="125">
        <f t="shared" si="12"/>
        <v>0</v>
      </c>
      <c r="L83" s="125">
        <f t="shared" si="13"/>
        <v>72.84</v>
      </c>
      <c r="M83" s="291">
        <f t="shared" si="14"/>
        <v>9446.8556016000002</v>
      </c>
      <c r="N83" s="312">
        <f t="shared" si="15"/>
        <v>1</v>
      </c>
    </row>
    <row r="84" spans="1:14" ht="76.5">
      <c r="A84" s="140" t="s">
        <v>155</v>
      </c>
      <c r="B84" s="1" t="s">
        <v>156</v>
      </c>
      <c r="C84" s="117" t="s">
        <v>157</v>
      </c>
      <c r="D84" s="1" t="s">
        <v>19</v>
      </c>
      <c r="E84" s="1" t="s">
        <v>20</v>
      </c>
      <c r="F84" s="56">
        <v>46.2</v>
      </c>
      <c r="G84" s="56">
        <v>40.869999999999997</v>
      </c>
      <c r="H84" s="121">
        <f t="shared" si="17"/>
        <v>52.047944999999999</v>
      </c>
      <c r="I84" s="125">
        <f>[5]READEQUAÇÃO!N84</f>
        <v>2404.6150590000002</v>
      </c>
      <c r="J84" s="291">
        <f>'BM-06'!L65</f>
        <v>0</v>
      </c>
      <c r="K84" s="125">
        <f t="shared" si="12"/>
        <v>0</v>
      </c>
      <c r="L84" s="125">
        <f t="shared" si="13"/>
        <v>46.2</v>
      </c>
      <c r="M84" s="291">
        <f t="shared" si="14"/>
        <v>2404.6150590000002</v>
      </c>
      <c r="N84" s="312">
        <f t="shared" si="15"/>
        <v>1</v>
      </c>
    </row>
    <row r="85" spans="1:14">
      <c r="A85" s="140" t="s">
        <v>158</v>
      </c>
      <c r="B85" s="1" t="s">
        <v>159</v>
      </c>
      <c r="C85" s="117" t="s">
        <v>160</v>
      </c>
      <c r="D85" s="1" t="s">
        <v>19</v>
      </c>
      <c r="E85" s="1" t="s">
        <v>20</v>
      </c>
      <c r="F85" s="56">
        <v>436.36</v>
      </c>
      <c r="G85" s="56">
        <v>15.03</v>
      </c>
      <c r="H85" s="121">
        <f t="shared" si="17"/>
        <v>19.140705000000001</v>
      </c>
      <c r="I85" s="125">
        <f>[5]READEQUAÇÃO!N85</f>
        <v>8352.2380338000003</v>
      </c>
      <c r="J85" s="291">
        <f>'BM-06'!L66</f>
        <v>0</v>
      </c>
      <c r="K85" s="125">
        <f t="shared" si="12"/>
        <v>0</v>
      </c>
      <c r="L85" s="125">
        <f t="shared" si="13"/>
        <v>436.36</v>
      </c>
      <c r="M85" s="291">
        <f t="shared" si="14"/>
        <v>8352.2380338000003</v>
      </c>
      <c r="N85" s="312">
        <f t="shared" si="15"/>
        <v>1</v>
      </c>
    </row>
    <row r="86" spans="1:14" ht="51">
      <c r="A86" s="140" t="s">
        <v>161</v>
      </c>
      <c r="B86" s="1" t="s">
        <v>162</v>
      </c>
      <c r="C86" s="117" t="s">
        <v>163</v>
      </c>
      <c r="D86" s="1" t="s">
        <v>19</v>
      </c>
      <c r="E86" s="1" t="s">
        <v>67</v>
      </c>
      <c r="F86" s="56">
        <v>393.34</v>
      </c>
      <c r="G86" s="56">
        <v>34.270000000000003</v>
      </c>
      <c r="H86" s="121">
        <f t="shared" si="17"/>
        <v>43.642845000000008</v>
      </c>
      <c r="I86" s="125">
        <f>[5]READEQUAÇÃO!N86</f>
        <v>17166.476652300003</v>
      </c>
      <c r="J86" s="291">
        <f>'BM-06'!L67</f>
        <v>0</v>
      </c>
      <c r="K86" s="125">
        <f t="shared" si="12"/>
        <v>0</v>
      </c>
      <c r="L86" s="125">
        <f t="shared" si="13"/>
        <v>393.34</v>
      </c>
      <c r="M86" s="291">
        <f t="shared" si="14"/>
        <v>17166.476652300003</v>
      </c>
      <c r="N86" s="312">
        <f t="shared" si="15"/>
        <v>1</v>
      </c>
    </row>
    <row r="87" spans="1:14" ht="38.25">
      <c r="A87" s="140" t="s">
        <v>164</v>
      </c>
      <c r="B87" s="1" t="s">
        <v>165</v>
      </c>
      <c r="C87" s="117" t="s">
        <v>166</v>
      </c>
      <c r="D87" s="1" t="s">
        <v>19</v>
      </c>
      <c r="E87" s="1" t="s">
        <v>67</v>
      </c>
      <c r="F87" s="56">
        <v>944.79</v>
      </c>
      <c r="G87" s="56">
        <v>72.11</v>
      </c>
      <c r="H87" s="121">
        <f t="shared" si="17"/>
        <v>91.832085000000006</v>
      </c>
      <c r="I87" s="125">
        <f>[5]READEQUAÇÃO!N87</f>
        <v>86762.035587150007</v>
      </c>
      <c r="J87" s="291">
        <f>'BM-06'!L68</f>
        <v>0</v>
      </c>
      <c r="K87" s="125">
        <f t="shared" si="12"/>
        <v>0</v>
      </c>
      <c r="L87" s="125">
        <f t="shared" si="13"/>
        <v>944.79</v>
      </c>
      <c r="M87" s="291">
        <f t="shared" si="14"/>
        <v>86762.035587150007</v>
      </c>
      <c r="N87" s="312">
        <f t="shared" si="15"/>
        <v>1</v>
      </c>
    </row>
    <row r="88" spans="1:14" s="144" customFormat="1" ht="47.25" customHeight="1">
      <c r="A88" s="140" t="s">
        <v>794</v>
      </c>
      <c r="B88" s="141">
        <v>88489</v>
      </c>
      <c r="C88" s="176" t="s">
        <v>580</v>
      </c>
      <c r="D88" s="141" t="s">
        <v>19</v>
      </c>
      <c r="E88" s="141" t="s">
        <v>67</v>
      </c>
      <c r="F88" s="142">
        <v>0</v>
      </c>
      <c r="G88" s="142">
        <v>9.89</v>
      </c>
      <c r="H88" s="143">
        <f>G88*$O$10*$P$7</f>
        <v>10.957576050000002</v>
      </c>
      <c r="I88" s="587">
        <f>[5]READEQUAÇÃO!N88</f>
        <v>0</v>
      </c>
      <c r="J88" s="291">
        <f>'BM-06'!L69</f>
        <v>0</v>
      </c>
      <c r="K88" s="125">
        <f t="shared" si="12"/>
        <v>0</v>
      </c>
      <c r="L88" s="125">
        <f t="shared" si="13"/>
        <v>0</v>
      </c>
      <c r="M88" s="291">
        <f t="shared" si="14"/>
        <v>0</v>
      </c>
      <c r="N88" s="312"/>
    </row>
    <row r="89" spans="1:14">
      <c r="A89" s="140"/>
      <c r="B89" s="2"/>
      <c r="C89" s="118"/>
      <c r="D89" s="2"/>
      <c r="E89" s="2"/>
      <c r="F89" s="57"/>
      <c r="G89" s="57"/>
      <c r="H89" s="122"/>
      <c r="I89" s="127">
        <f>SUM(I80:I88)</f>
        <v>215538.57017190001</v>
      </c>
      <c r="J89" s="127"/>
      <c r="K89" s="127">
        <f t="shared" ref="K89:M89" si="18">SUM(K80:K88)</f>
        <v>88410.194702550012</v>
      </c>
      <c r="L89" s="127"/>
      <c r="M89" s="127">
        <f t="shared" si="18"/>
        <v>127128.37546935001</v>
      </c>
      <c r="N89" s="312"/>
    </row>
    <row r="90" spans="1:14" s="144" customFormat="1">
      <c r="A90" s="140"/>
      <c r="B90" s="162"/>
      <c r="C90" s="163"/>
      <c r="D90" s="141"/>
      <c r="E90" s="141"/>
      <c r="F90" s="142"/>
      <c r="G90" s="142"/>
      <c r="H90" s="143"/>
      <c r="I90" s="164"/>
      <c r="J90" s="293"/>
      <c r="K90" s="125">
        <f t="shared" si="12"/>
        <v>0</v>
      </c>
      <c r="L90" s="125">
        <f t="shared" si="13"/>
        <v>0</v>
      </c>
      <c r="M90" s="291">
        <f t="shared" si="14"/>
        <v>0</v>
      </c>
      <c r="N90" s="312"/>
    </row>
    <row r="91" spans="1:14" ht="20.100000000000001" customHeight="1">
      <c r="A91" s="230" t="s">
        <v>167</v>
      </c>
      <c r="B91" s="367" t="s">
        <v>168</v>
      </c>
      <c r="C91" s="368"/>
      <c r="D91" s="146"/>
      <c r="E91" s="146"/>
      <c r="F91" s="146"/>
      <c r="G91" s="146"/>
      <c r="H91" s="146"/>
      <c r="I91" s="146"/>
      <c r="J91" s="146"/>
      <c r="K91" s="146"/>
      <c r="L91" s="296"/>
      <c r="M91" s="296"/>
      <c r="N91" s="312"/>
    </row>
    <row r="92" spans="1:14" ht="51">
      <c r="A92" s="140" t="s">
        <v>169</v>
      </c>
      <c r="B92" s="1" t="s">
        <v>170</v>
      </c>
      <c r="C92" s="117" t="s">
        <v>171</v>
      </c>
      <c r="D92" s="1" t="s">
        <v>19</v>
      </c>
      <c r="E92" s="1" t="s">
        <v>67</v>
      </c>
      <c r="F92" s="56">
        <v>2367.2199999999998</v>
      </c>
      <c r="G92" s="56">
        <v>2.64</v>
      </c>
      <c r="H92" s="121">
        <f>G92*$O$10</f>
        <v>3.3620400000000004</v>
      </c>
      <c r="I92" s="125">
        <f>[5]READEQUAÇÃO!N92</f>
        <v>7958.6883287999999</v>
      </c>
      <c r="J92" s="291">
        <f>'BM-06'!L71</f>
        <v>2045.2139999999999</v>
      </c>
      <c r="K92" s="125">
        <f t="shared" si="12"/>
        <v>6876.0912765600006</v>
      </c>
      <c r="L92" s="125">
        <f t="shared" si="13"/>
        <v>322.00599999999986</v>
      </c>
      <c r="M92" s="291">
        <f t="shared" si="14"/>
        <v>1082.5970522399996</v>
      </c>
      <c r="N92" s="312">
        <f t="shared" si="15"/>
        <v>1</v>
      </c>
    </row>
    <row r="93" spans="1:14" ht="63.75">
      <c r="A93" s="140" t="s">
        <v>172</v>
      </c>
      <c r="B93" s="1" t="s">
        <v>173</v>
      </c>
      <c r="C93" s="117" t="s">
        <v>174</v>
      </c>
      <c r="D93" s="1" t="s">
        <v>19</v>
      </c>
      <c r="E93" s="1" t="s">
        <v>67</v>
      </c>
      <c r="F93" s="56">
        <v>2197.91</v>
      </c>
      <c r="G93" s="56">
        <v>14.42</v>
      </c>
      <c r="H93" s="121">
        <f>G93*$O$10</f>
        <v>18.363870000000002</v>
      </c>
      <c r="I93" s="125">
        <f>[5]READEQUAÇÃO!N93</f>
        <v>40362.133511700005</v>
      </c>
      <c r="J93" s="291">
        <f>'BM-06'!L72</f>
        <v>1740.134</v>
      </c>
      <c r="K93" s="125">
        <f t="shared" si="12"/>
        <v>31955.594558580004</v>
      </c>
      <c r="L93" s="125">
        <f t="shared" si="13"/>
        <v>457.77599999999984</v>
      </c>
      <c r="M93" s="291">
        <f t="shared" si="14"/>
        <v>8406.538953119998</v>
      </c>
      <c r="N93" s="312">
        <f t="shared" si="15"/>
        <v>1</v>
      </c>
    </row>
    <row r="94" spans="1:14" ht="89.25">
      <c r="A94" s="140" t="s">
        <v>175</v>
      </c>
      <c r="B94" s="1" t="s">
        <v>176</v>
      </c>
      <c r="C94" s="117" t="s">
        <v>177</v>
      </c>
      <c r="D94" s="1" t="s">
        <v>19</v>
      </c>
      <c r="E94" s="1" t="s">
        <v>67</v>
      </c>
      <c r="F94" s="56">
        <v>180.48</v>
      </c>
      <c r="G94" s="56">
        <v>11.03</v>
      </c>
      <c r="H94" s="121">
        <f>G94*$O$10</f>
        <v>14.046704999999999</v>
      </c>
      <c r="I94" s="125">
        <f>[5]READEQUAÇÃO!N94</f>
        <v>2535.1493183999996</v>
      </c>
      <c r="J94" s="291">
        <f>'BM-06'!L73</f>
        <v>162.423</v>
      </c>
      <c r="K94" s="125">
        <f t="shared" si="12"/>
        <v>2281.5079662150001</v>
      </c>
      <c r="L94" s="125">
        <f t="shared" si="13"/>
        <v>18.056999999999988</v>
      </c>
      <c r="M94" s="291">
        <f t="shared" si="14"/>
        <v>253.64135218499982</v>
      </c>
      <c r="N94" s="312">
        <f t="shared" si="15"/>
        <v>1</v>
      </c>
    </row>
    <row r="95" spans="1:14" ht="51">
      <c r="A95" s="140" t="s">
        <v>178</v>
      </c>
      <c r="B95" s="1" t="s">
        <v>179</v>
      </c>
      <c r="C95" s="117" t="s">
        <v>180</v>
      </c>
      <c r="D95" s="1" t="s">
        <v>19</v>
      </c>
      <c r="E95" s="1" t="s">
        <v>67</v>
      </c>
      <c r="F95" s="56">
        <v>180.48</v>
      </c>
      <c r="G95" s="56">
        <v>41.91</v>
      </c>
      <c r="H95" s="121">
        <f>G95*$O$10</f>
        <v>53.372385000000001</v>
      </c>
      <c r="I95" s="125">
        <f>[5]READEQUAÇÃO!N95</f>
        <v>9632.6480448000002</v>
      </c>
      <c r="J95" s="291">
        <f>'BM-06'!L74</f>
        <v>0</v>
      </c>
      <c r="K95" s="125">
        <f t="shared" si="12"/>
        <v>0</v>
      </c>
      <c r="L95" s="125">
        <f t="shared" si="13"/>
        <v>180.48</v>
      </c>
      <c r="M95" s="291">
        <f t="shared" si="14"/>
        <v>9632.6480448000002</v>
      </c>
      <c r="N95" s="312">
        <f t="shared" si="15"/>
        <v>1</v>
      </c>
    </row>
    <row r="96" spans="1:14" ht="76.5">
      <c r="A96" s="140" t="s">
        <v>181</v>
      </c>
      <c r="B96" s="1" t="s">
        <v>182</v>
      </c>
      <c r="C96" s="117" t="s">
        <v>183</v>
      </c>
      <c r="D96" s="1" t="s">
        <v>19</v>
      </c>
      <c r="E96" s="1" t="s">
        <v>29</v>
      </c>
      <c r="F96" s="56">
        <v>0.42</v>
      </c>
      <c r="G96" s="56">
        <v>263.22000000000003</v>
      </c>
      <c r="H96" s="121">
        <f>G96*$O$10</f>
        <v>335.21067000000005</v>
      </c>
      <c r="I96" s="125">
        <f>[5]READEQUAÇÃO!N96</f>
        <v>140.78848140000002</v>
      </c>
      <c r="J96" s="291">
        <f>'BM-06'!L75</f>
        <v>0</v>
      </c>
      <c r="K96" s="125">
        <f t="shared" si="12"/>
        <v>0</v>
      </c>
      <c r="L96" s="125">
        <f t="shared" si="13"/>
        <v>0.42</v>
      </c>
      <c r="M96" s="291">
        <f t="shared" si="14"/>
        <v>140.78848140000002</v>
      </c>
      <c r="N96" s="312">
        <f t="shared" si="15"/>
        <v>1</v>
      </c>
    </row>
    <row r="97" spans="1:14">
      <c r="A97" s="140"/>
      <c r="B97" s="2"/>
      <c r="C97" s="118"/>
      <c r="D97" s="2"/>
      <c r="E97" s="2"/>
      <c r="F97" s="57"/>
      <c r="G97" s="57"/>
      <c r="H97" s="122"/>
      <c r="I97" s="127">
        <f>SUM(I92:I96)</f>
        <v>60629.407685100006</v>
      </c>
      <c r="J97" s="127"/>
      <c r="K97" s="127">
        <f t="shared" ref="K97:M97" si="19">SUM(K92:K96)</f>
        <v>41113.193801355003</v>
      </c>
      <c r="L97" s="127"/>
      <c r="M97" s="127">
        <f t="shared" si="19"/>
        <v>19516.213883744997</v>
      </c>
      <c r="N97" s="312"/>
    </row>
    <row r="98" spans="1:14" s="144" customFormat="1">
      <c r="A98" s="140"/>
      <c r="B98" s="162"/>
      <c r="C98" s="163"/>
      <c r="D98" s="141"/>
      <c r="E98" s="141"/>
      <c r="F98" s="142"/>
      <c r="G98" s="142"/>
      <c r="H98" s="143"/>
      <c r="I98" s="164"/>
      <c r="J98" s="293"/>
      <c r="K98" s="125">
        <f t="shared" si="12"/>
        <v>0</v>
      </c>
      <c r="L98" s="125">
        <f t="shared" si="13"/>
        <v>0</v>
      </c>
      <c r="M98" s="291">
        <f t="shared" si="14"/>
        <v>0</v>
      </c>
      <c r="N98" s="312"/>
    </row>
    <row r="99" spans="1:14" ht="30" customHeight="1">
      <c r="A99" s="230" t="s">
        <v>184</v>
      </c>
      <c r="B99" s="369" t="s">
        <v>185</v>
      </c>
      <c r="C99" s="370"/>
      <c r="D99" s="146"/>
      <c r="E99" s="146"/>
      <c r="F99" s="146"/>
      <c r="G99" s="146"/>
      <c r="H99" s="146"/>
      <c r="I99" s="146"/>
      <c r="J99" s="146"/>
      <c r="K99" s="146"/>
      <c r="L99" s="296"/>
      <c r="M99" s="296"/>
      <c r="N99" s="312"/>
    </row>
    <row r="100" spans="1:14" ht="76.5">
      <c r="A100" s="140" t="s">
        <v>186</v>
      </c>
      <c r="B100" s="1" t="s">
        <v>187</v>
      </c>
      <c r="C100" s="117" t="s">
        <v>188</v>
      </c>
      <c r="D100" s="1" t="s">
        <v>19</v>
      </c>
      <c r="E100" s="1" t="s">
        <v>115</v>
      </c>
      <c r="F100" s="56">
        <v>2</v>
      </c>
      <c r="G100" s="56">
        <v>531.51</v>
      </c>
      <c r="H100" s="121">
        <f t="shared" ref="H100:H113" si="20">G100*$O$10</f>
        <v>676.87798500000008</v>
      </c>
      <c r="I100" s="125">
        <f>[5]READEQUAÇÃO!N100</f>
        <v>1353.7559700000002</v>
      </c>
      <c r="J100" s="291">
        <f>'BM-06'!L78</f>
        <v>0</v>
      </c>
      <c r="K100" s="125">
        <f t="shared" si="12"/>
        <v>0</v>
      </c>
      <c r="L100" s="125">
        <f t="shared" si="13"/>
        <v>2</v>
      </c>
      <c r="M100" s="291">
        <f t="shared" si="14"/>
        <v>1353.7559700000002</v>
      </c>
      <c r="N100" s="312">
        <f t="shared" si="15"/>
        <v>1</v>
      </c>
    </row>
    <row r="101" spans="1:14" ht="76.5">
      <c r="A101" s="140" t="s">
        <v>189</v>
      </c>
      <c r="B101" s="1" t="s">
        <v>190</v>
      </c>
      <c r="C101" s="117" t="s">
        <v>191</v>
      </c>
      <c r="D101" s="1" t="s">
        <v>19</v>
      </c>
      <c r="E101" s="1" t="s">
        <v>115</v>
      </c>
      <c r="F101" s="56">
        <v>4</v>
      </c>
      <c r="G101" s="56">
        <v>527.07000000000005</v>
      </c>
      <c r="H101" s="121">
        <f t="shared" si="20"/>
        <v>671.22364500000015</v>
      </c>
      <c r="I101" s="125">
        <f>[5]READEQUAÇÃO!N101</f>
        <v>2684.8945800000006</v>
      </c>
      <c r="J101" s="291">
        <f>'BM-06'!L79</f>
        <v>0</v>
      </c>
      <c r="K101" s="125">
        <f t="shared" si="12"/>
        <v>0</v>
      </c>
      <c r="L101" s="125">
        <f t="shared" si="13"/>
        <v>4</v>
      </c>
      <c r="M101" s="291">
        <f t="shared" si="14"/>
        <v>2684.8945800000006</v>
      </c>
      <c r="N101" s="312">
        <f t="shared" si="15"/>
        <v>1</v>
      </c>
    </row>
    <row r="102" spans="1:14" ht="76.5">
      <c r="A102" s="140" t="s">
        <v>192</v>
      </c>
      <c r="B102" s="1" t="s">
        <v>193</v>
      </c>
      <c r="C102" s="117" t="s">
        <v>194</v>
      </c>
      <c r="D102" s="1" t="s">
        <v>19</v>
      </c>
      <c r="E102" s="1" t="s">
        <v>115</v>
      </c>
      <c r="F102" s="56">
        <v>10</v>
      </c>
      <c r="G102" s="56">
        <v>552.88</v>
      </c>
      <c r="H102" s="121">
        <f t="shared" si="20"/>
        <v>704.09268000000009</v>
      </c>
      <c r="I102" s="125">
        <f>[5]READEQUAÇÃO!N102</f>
        <v>7040.9268000000011</v>
      </c>
      <c r="J102" s="291">
        <f>'BM-06'!L80</f>
        <v>0</v>
      </c>
      <c r="K102" s="125">
        <f t="shared" si="12"/>
        <v>0</v>
      </c>
      <c r="L102" s="125">
        <f t="shared" si="13"/>
        <v>10</v>
      </c>
      <c r="M102" s="291">
        <f t="shared" si="14"/>
        <v>7040.9268000000011</v>
      </c>
      <c r="N102" s="312">
        <f t="shared" si="15"/>
        <v>1</v>
      </c>
    </row>
    <row r="103" spans="1:14" ht="76.5">
      <c r="A103" s="140" t="s">
        <v>195</v>
      </c>
      <c r="B103" s="1" t="s">
        <v>196</v>
      </c>
      <c r="C103" s="117" t="s">
        <v>197</v>
      </c>
      <c r="D103" s="1" t="s">
        <v>19</v>
      </c>
      <c r="E103" s="1" t="s">
        <v>115</v>
      </c>
      <c r="F103" s="56">
        <v>6</v>
      </c>
      <c r="G103" s="56">
        <v>603</v>
      </c>
      <c r="H103" s="121">
        <f t="shared" si="20"/>
        <v>767.92050000000006</v>
      </c>
      <c r="I103" s="125">
        <f>[5]READEQUAÇÃO!N103</f>
        <v>4607.5230000000001</v>
      </c>
      <c r="J103" s="291">
        <f>'BM-06'!L81</f>
        <v>0</v>
      </c>
      <c r="K103" s="125">
        <f t="shared" si="12"/>
        <v>0</v>
      </c>
      <c r="L103" s="125">
        <f t="shared" si="13"/>
        <v>6</v>
      </c>
      <c r="M103" s="291">
        <f t="shared" si="14"/>
        <v>4607.5230000000001</v>
      </c>
      <c r="N103" s="312">
        <f t="shared" si="15"/>
        <v>1</v>
      </c>
    </row>
    <row r="104" spans="1:14" ht="38.25">
      <c r="A104" s="140" t="s">
        <v>198</v>
      </c>
      <c r="B104" s="1" t="s">
        <v>199</v>
      </c>
      <c r="C104" s="117" t="s">
        <v>200</v>
      </c>
      <c r="D104" s="1" t="s">
        <v>19</v>
      </c>
      <c r="E104" s="1" t="s">
        <v>67</v>
      </c>
      <c r="F104" s="56">
        <v>8.82</v>
      </c>
      <c r="G104" s="56">
        <v>433.8</v>
      </c>
      <c r="H104" s="121">
        <f t="shared" si="20"/>
        <v>552.4443</v>
      </c>
      <c r="I104" s="125">
        <f>[5]READEQUAÇÃO!N104</f>
        <v>4872.5587260000002</v>
      </c>
      <c r="J104" s="291">
        <f>'BM-06'!L82</f>
        <v>0</v>
      </c>
      <c r="K104" s="125">
        <f t="shared" si="12"/>
        <v>0</v>
      </c>
      <c r="L104" s="125">
        <f t="shared" si="13"/>
        <v>8.82</v>
      </c>
      <c r="M104" s="291">
        <f t="shared" si="14"/>
        <v>4872.5587260000002</v>
      </c>
      <c r="N104" s="312">
        <f t="shared" si="15"/>
        <v>1</v>
      </c>
    </row>
    <row r="105" spans="1:14" ht="25.5">
      <c r="A105" s="140" t="s">
        <v>201</v>
      </c>
      <c r="B105" s="1" t="s">
        <v>202</v>
      </c>
      <c r="C105" s="117" t="s">
        <v>203</v>
      </c>
      <c r="D105" s="1" t="s">
        <v>10</v>
      </c>
      <c r="E105" s="1" t="s">
        <v>11</v>
      </c>
      <c r="F105" s="56">
        <v>33</v>
      </c>
      <c r="G105" s="56">
        <v>445.08</v>
      </c>
      <c r="H105" s="121">
        <f t="shared" si="20"/>
        <v>566.80938000000003</v>
      </c>
      <c r="I105" s="125">
        <f>[5]READEQUAÇÃO!N105</f>
        <v>18704.70954</v>
      </c>
      <c r="J105" s="291">
        <f>'BM-06'!L83</f>
        <v>0</v>
      </c>
      <c r="K105" s="125">
        <f t="shared" si="12"/>
        <v>0</v>
      </c>
      <c r="L105" s="125">
        <f t="shared" si="13"/>
        <v>33</v>
      </c>
      <c r="M105" s="291">
        <f t="shared" si="14"/>
        <v>18704.70954</v>
      </c>
      <c r="N105" s="312">
        <f t="shared" si="15"/>
        <v>1</v>
      </c>
    </row>
    <row r="106" spans="1:14">
      <c r="A106" s="140" t="s">
        <v>204</v>
      </c>
      <c r="B106" s="1" t="s">
        <v>205</v>
      </c>
      <c r="C106" s="117" t="s">
        <v>206</v>
      </c>
      <c r="D106" s="1" t="s">
        <v>10</v>
      </c>
      <c r="E106" s="1" t="s">
        <v>11</v>
      </c>
      <c r="F106" s="56">
        <v>33</v>
      </c>
      <c r="G106" s="56">
        <v>122.9</v>
      </c>
      <c r="H106" s="121">
        <f t="shared" si="20"/>
        <v>156.51315000000002</v>
      </c>
      <c r="I106" s="125">
        <f>[5]READEQUAÇÃO!N106</f>
        <v>5164.9339500000006</v>
      </c>
      <c r="J106" s="291">
        <f>'BM-06'!L84</f>
        <v>0</v>
      </c>
      <c r="K106" s="125">
        <f t="shared" si="12"/>
        <v>0</v>
      </c>
      <c r="L106" s="125">
        <f t="shared" si="13"/>
        <v>33</v>
      </c>
      <c r="M106" s="291">
        <f t="shared" si="14"/>
        <v>5164.9339500000006</v>
      </c>
      <c r="N106" s="312">
        <f t="shared" si="15"/>
        <v>1</v>
      </c>
    </row>
    <row r="107" spans="1:14" ht="63.75">
      <c r="A107" s="140" t="s">
        <v>207</v>
      </c>
      <c r="B107" s="1" t="s">
        <v>208</v>
      </c>
      <c r="C107" s="117" t="s">
        <v>209</v>
      </c>
      <c r="D107" s="1" t="s">
        <v>19</v>
      </c>
      <c r="E107" s="1" t="s">
        <v>67</v>
      </c>
      <c r="F107" s="56">
        <v>2.25</v>
      </c>
      <c r="G107" s="56">
        <v>434.36</v>
      </c>
      <c r="H107" s="121">
        <f t="shared" si="20"/>
        <v>553.15746000000001</v>
      </c>
      <c r="I107" s="125">
        <f>[5]READEQUAÇÃO!N107</f>
        <v>1244.6042850000001</v>
      </c>
      <c r="J107" s="291">
        <f>'BM-06'!L85</f>
        <v>0</v>
      </c>
      <c r="K107" s="125">
        <f t="shared" si="12"/>
        <v>0</v>
      </c>
      <c r="L107" s="125">
        <f t="shared" si="13"/>
        <v>2.25</v>
      </c>
      <c r="M107" s="291">
        <f t="shared" si="14"/>
        <v>1244.6042850000001</v>
      </c>
      <c r="N107" s="312">
        <f t="shared" si="15"/>
        <v>1</v>
      </c>
    </row>
    <row r="108" spans="1:14" ht="51">
      <c r="A108" s="140" t="s">
        <v>210</v>
      </c>
      <c r="B108" s="1" t="s">
        <v>211</v>
      </c>
      <c r="C108" s="117" t="s">
        <v>212</v>
      </c>
      <c r="D108" s="1" t="s">
        <v>19</v>
      </c>
      <c r="E108" s="1" t="s">
        <v>67</v>
      </c>
      <c r="F108" s="56">
        <v>3.2</v>
      </c>
      <c r="G108" s="56">
        <v>666.48</v>
      </c>
      <c r="H108" s="121">
        <f t="shared" si="20"/>
        <v>848.76228000000003</v>
      </c>
      <c r="I108" s="125">
        <f>[5]READEQUAÇÃO!N108</f>
        <v>2716.0392960000004</v>
      </c>
      <c r="J108" s="291">
        <f>'BM-06'!L86</f>
        <v>0</v>
      </c>
      <c r="K108" s="125">
        <f t="shared" si="12"/>
        <v>0</v>
      </c>
      <c r="L108" s="125">
        <f t="shared" si="13"/>
        <v>3.2</v>
      </c>
      <c r="M108" s="291">
        <f t="shared" si="14"/>
        <v>2716.0392960000004</v>
      </c>
      <c r="N108" s="312">
        <f t="shared" si="15"/>
        <v>1</v>
      </c>
    </row>
    <row r="109" spans="1:14" ht="38.25">
      <c r="A109" s="140" t="s">
        <v>213</v>
      </c>
      <c r="B109" s="1" t="s">
        <v>214</v>
      </c>
      <c r="C109" s="117" t="s">
        <v>215</v>
      </c>
      <c r="D109" s="1" t="s">
        <v>10</v>
      </c>
      <c r="E109" s="1" t="s">
        <v>11</v>
      </c>
      <c r="F109" s="56">
        <v>50.71</v>
      </c>
      <c r="G109" s="56">
        <v>282.06</v>
      </c>
      <c r="H109" s="121">
        <f t="shared" si="20"/>
        <v>359.20341000000002</v>
      </c>
      <c r="I109" s="125">
        <f>[5]READEQUAÇÃO!N109</f>
        <v>18215.204921100001</v>
      </c>
      <c r="J109" s="291">
        <f>'BM-06'!L87</f>
        <v>0</v>
      </c>
      <c r="K109" s="125">
        <f t="shared" si="12"/>
        <v>0</v>
      </c>
      <c r="L109" s="125">
        <f t="shared" si="13"/>
        <v>50.71</v>
      </c>
      <c r="M109" s="291">
        <f t="shared" si="14"/>
        <v>18215.204921100001</v>
      </c>
      <c r="N109" s="312">
        <f t="shared" si="15"/>
        <v>1</v>
      </c>
    </row>
    <row r="110" spans="1:14">
      <c r="A110" s="140" t="s">
        <v>216</v>
      </c>
      <c r="B110" s="1" t="s">
        <v>217</v>
      </c>
      <c r="C110" s="117" t="s">
        <v>218</v>
      </c>
      <c r="D110" s="1" t="s">
        <v>10</v>
      </c>
      <c r="E110" s="1" t="s">
        <v>11</v>
      </c>
      <c r="F110" s="56">
        <v>16.350000000000001</v>
      </c>
      <c r="G110" s="56">
        <v>174.8</v>
      </c>
      <c r="H110" s="121">
        <f t="shared" si="20"/>
        <v>222.60780000000003</v>
      </c>
      <c r="I110" s="125">
        <f>[5]READEQUAÇÃO!N110</f>
        <v>3639.6375300000009</v>
      </c>
      <c r="J110" s="291">
        <f>'BM-06'!L88</f>
        <v>0</v>
      </c>
      <c r="K110" s="125">
        <f t="shared" si="12"/>
        <v>0</v>
      </c>
      <c r="L110" s="125">
        <f t="shared" si="13"/>
        <v>16.350000000000001</v>
      </c>
      <c r="M110" s="291">
        <f t="shared" si="14"/>
        <v>3639.6375300000009</v>
      </c>
      <c r="N110" s="312">
        <f t="shared" si="15"/>
        <v>1</v>
      </c>
    </row>
    <row r="111" spans="1:14" ht="25.5">
      <c r="A111" s="140" t="s">
        <v>219</v>
      </c>
      <c r="B111" s="1" t="s">
        <v>220</v>
      </c>
      <c r="C111" s="117" t="s">
        <v>221</v>
      </c>
      <c r="D111" s="1" t="s">
        <v>10</v>
      </c>
      <c r="E111" s="1" t="s">
        <v>11</v>
      </c>
      <c r="F111" s="56">
        <v>14.35</v>
      </c>
      <c r="G111" s="56">
        <v>430.88</v>
      </c>
      <c r="H111" s="121">
        <f t="shared" si="20"/>
        <v>548.72568000000001</v>
      </c>
      <c r="I111" s="125">
        <f>[5]READEQUAÇÃO!N111</f>
        <v>7874.2135079999998</v>
      </c>
      <c r="J111" s="291">
        <f>'BM-06'!L89</f>
        <v>0</v>
      </c>
      <c r="K111" s="125">
        <f t="shared" si="12"/>
        <v>0</v>
      </c>
      <c r="L111" s="125">
        <f t="shared" si="13"/>
        <v>14.35</v>
      </c>
      <c r="M111" s="291">
        <f t="shared" si="14"/>
        <v>7874.2135079999998</v>
      </c>
      <c r="N111" s="312">
        <f t="shared" si="15"/>
        <v>1</v>
      </c>
    </row>
    <row r="112" spans="1:14">
      <c r="A112" s="140" t="s">
        <v>222</v>
      </c>
      <c r="B112" s="1" t="s">
        <v>223</v>
      </c>
      <c r="C112" s="117" t="s">
        <v>224</v>
      </c>
      <c r="D112" s="1" t="s">
        <v>10</v>
      </c>
      <c r="E112" s="1" t="s">
        <v>11</v>
      </c>
      <c r="F112" s="56">
        <v>35.159999999999997</v>
      </c>
      <c r="G112" s="56">
        <v>285.70999999999998</v>
      </c>
      <c r="H112" s="121">
        <f t="shared" si="20"/>
        <v>363.85168499999997</v>
      </c>
      <c r="I112" s="125">
        <f>[5]READEQUAÇÃO!N112</f>
        <v>12793.025244599998</v>
      </c>
      <c r="J112" s="291">
        <f>'BM-06'!L90</f>
        <v>0</v>
      </c>
      <c r="K112" s="125">
        <f t="shared" si="12"/>
        <v>0</v>
      </c>
      <c r="L112" s="125">
        <f t="shared" si="13"/>
        <v>35.159999999999997</v>
      </c>
      <c r="M112" s="291">
        <f t="shared" si="14"/>
        <v>12793.025244599998</v>
      </c>
      <c r="N112" s="312">
        <f t="shared" si="15"/>
        <v>1</v>
      </c>
    </row>
    <row r="113" spans="1:14">
      <c r="A113" s="140" t="s">
        <v>225</v>
      </c>
      <c r="B113" s="1" t="s">
        <v>226</v>
      </c>
      <c r="C113" s="117" t="s">
        <v>227</v>
      </c>
      <c r="D113" s="1" t="s">
        <v>10</v>
      </c>
      <c r="E113" s="1" t="s">
        <v>11</v>
      </c>
      <c r="F113" s="56">
        <v>0.36</v>
      </c>
      <c r="G113" s="56">
        <v>389.08</v>
      </c>
      <c r="H113" s="121">
        <f t="shared" si="20"/>
        <v>495.49338</v>
      </c>
      <c r="I113" s="125">
        <f>[5]READEQUAÇÃO!N113</f>
        <v>178.3776168</v>
      </c>
      <c r="J113" s="291">
        <f>'BM-06'!L91</f>
        <v>0</v>
      </c>
      <c r="K113" s="125">
        <f t="shared" si="12"/>
        <v>0</v>
      </c>
      <c r="L113" s="125">
        <f t="shared" si="13"/>
        <v>0.36</v>
      </c>
      <c r="M113" s="291">
        <f t="shared" si="14"/>
        <v>178.3776168</v>
      </c>
      <c r="N113" s="312">
        <f t="shared" si="15"/>
        <v>1</v>
      </c>
    </row>
    <row r="114" spans="1:14">
      <c r="A114" s="140"/>
      <c r="B114" s="2"/>
      <c r="C114" s="118"/>
      <c r="D114" s="2"/>
      <c r="E114" s="2"/>
      <c r="F114" s="57"/>
      <c r="G114" s="57"/>
      <c r="H114" s="122"/>
      <c r="I114" s="127">
        <f>SUM(I100:I113)</f>
        <v>91090.404967500013</v>
      </c>
      <c r="J114" s="127">
        <f t="shared" ref="J114:M114" si="21">SUM(J100:J113)</f>
        <v>0</v>
      </c>
      <c r="K114" s="127">
        <f t="shared" si="21"/>
        <v>0</v>
      </c>
      <c r="L114" s="127"/>
      <c r="M114" s="127">
        <f t="shared" si="21"/>
        <v>91090.404967500013</v>
      </c>
      <c r="N114" s="312"/>
    </row>
    <row r="115" spans="1:14" s="144" customFormat="1">
      <c r="A115" s="140"/>
      <c r="B115" s="162"/>
      <c r="C115" s="163"/>
      <c r="D115" s="141"/>
      <c r="E115" s="141"/>
      <c r="F115" s="142"/>
      <c r="G115" s="142"/>
      <c r="H115" s="143"/>
      <c r="I115" s="164"/>
      <c r="J115" s="293"/>
      <c r="K115" s="125">
        <f t="shared" si="12"/>
        <v>0</v>
      </c>
      <c r="L115" s="125">
        <f t="shared" si="13"/>
        <v>0</v>
      </c>
      <c r="M115" s="291">
        <f t="shared" si="14"/>
        <v>0</v>
      </c>
      <c r="N115" s="312"/>
    </row>
    <row r="116" spans="1:14" ht="20.100000000000001" customHeight="1">
      <c r="A116" s="230" t="s">
        <v>228</v>
      </c>
      <c r="B116" s="367" t="s">
        <v>229</v>
      </c>
      <c r="C116" s="368"/>
      <c r="D116" s="146"/>
      <c r="E116" s="146"/>
      <c r="F116" s="146"/>
      <c r="G116" s="146"/>
      <c r="H116" s="146"/>
      <c r="I116" s="146"/>
      <c r="J116" s="146"/>
      <c r="K116" s="146"/>
      <c r="L116" s="296"/>
      <c r="M116" s="296"/>
      <c r="N116" s="312"/>
    </row>
    <row r="117" spans="1:14" ht="60.75" customHeight="1">
      <c r="A117" s="140" t="s">
        <v>233</v>
      </c>
      <c r="B117" s="1" t="s">
        <v>234</v>
      </c>
      <c r="C117" s="117" t="s">
        <v>235</v>
      </c>
      <c r="D117" s="1" t="s">
        <v>19</v>
      </c>
      <c r="E117" s="1" t="s">
        <v>67</v>
      </c>
      <c r="F117" s="56">
        <v>183.4</v>
      </c>
      <c r="G117" s="56">
        <v>64.89</v>
      </c>
      <c r="H117" s="121">
        <f>G117*$O$10</f>
        <v>82.637415000000004</v>
      </c>
      <c r="I117" s="125">
        <f>[5]READEQUAÇÃO!N118</f>
        <v>15155.701911000002</v>
      </c>
      <c r="J117" s="291"/>
      <c r="K117" s="125">
        <f t="shared" si="12"/>
        <v>0</v>
      </c>
      <c r="L117" s="125">
        <f t="shared" si="13"/>
        <v>183.4</v>
      </c>
      <c r="M117" s="291">
        <f t="shared" si="14"/>
        <v>15155.701911000002</v>
      </c>
      <c r="N117" s="312">
        <f t="shared" si="15"/>
        <v>1</v>
      </c>
    </row>
    <row r="118" spans="1:14">
      <c r="A118" s="140"/>
      <c r="B118" s="2"/>
      <c r="C118" s="118"/>
      <c r="D118" s="2"/>
      <c r="E118" s="2"/>
      <c r="F118" s="57"/>
      <c r="G118" s="57"/>
      <c r="H118" s="122"/>
      <c r="I118" s="127">
        <f>SUM(I117:I117)</f>
        <v>15155.701911000002</v>
      </c>
      <c r="J118" s="127">
        <f t="shared" ref="J118:M118" si="22">SUM(J117:J117)</f>
        <v>0</v>
      </c>
      <c r="K118" s="127">
        <f t="shared" si="22"/>
        <v>0</v>
      </c>
      <c r="L118" s="127"/>
      <c r="M118" s="127">
        <f t="shared" si="22"/>
        <v>15155.701911000002</v>
      </c>
      <c r="N118" s="312"/>
    </row>
    <row r="119" spans="1:14" s="144" customFormat="1">
      <c r="A119" s="140"/>
      <c r="B119" s="162"/>
      <c r="C119" s="163"/>
      <c r="D119" s="141"/>
      <c r="E119" s="141"/>
      <c r="F119" s="142"/>
      <c r="G119" s="142"/>
      <c r="H119" s="143"/>
      <c r="I119" s="164"/>
      <c r="J119" s="293"/>
      <c r="K119" s="125">
        <f t="shared" si="12"/>
        <v>0</v>
      </c>
      <c r="L119" s="125">
        <f t="shared" si="13"/>
        <v>0</v>
      </c>
      <c r="M119" s="291">
        <f t="shared" si="14"/>
        <v>0</v>
      </c>
      <c r="N119" s="312"/>
    </row>
    <row r="120" spans="1:14" ht="20.100000000000001" customHeight="1">
      <c r="A120" s="230" t="s">
        <v>236</v>
      </c>
      <c r="B120" s="367" t="s">
        <v>237</v>
      </c>
      <c r="C120" s="368"/>
      <c r="D120" s="146"/>
      <c r="E120" s="146"/>
      <c r="F120" s="146"/>
      <c r="G120" s="146"/>
      <c r="H120" s="146"/>
      <c r="I120" s="146"/>
      <c r="J120" s="146"/>
      <c r="K120" s="146"/>
      <c r="L120" s="296"/>
      <c r="M120" s="296"/>
      <c r="N120" s="312"/>
    </row>
    <row r="121" spans="1:14" ht="38.25">
      <c r="A121" s="140" t="s">
        <v>238</v>
      </c>
      <c r="B121" s="1" t="s">
        <v>239</v>
      </c>
      <c r="C121" s="117" t="s">
        <v>240</v>
      </c>
      <c r="D121" s="1" t="s">
        <v>19</v>
      </c>
      <c r="E121" s="1" t="s">
        <v>115</v>
      </c>
      <c r="F121" s="56">
        <v>2</v>
      </c>
      <c r="G121" s="56">
        <v>186.33</v>
      </c>
      <c r="H121" s="121">
        <f>G121*$O$10</f>
        <v>237.29125500000004</v>
      </c>
      <c r="I121" s="125">
        <f>[5]READEQUAÇÃO!N122</f>
        <v>474.58251000000007</v>
      </c>
      <c r="J121" s="291"/>
      <c r="K121" s="125">
        <f t="shared" si="12"/>
        <v>0</v>
      </c>
      <c r="L121" s="125">
        <f t="shared" si="13"/>
        <v>2</v>
      </c>
      <c r="M121" s="291">
        <f t="shared" si="14"/>
        <v>474.58251000000007</v>
      </c>
      <c r="N121" s="312">
        <f t="shared" si="15"/>
        <v>1</v>
      </c>
    </row>
    <row r="122" spans="1:14" ht="38.25">
      <c r="A122" s="140" t="s">
        <v>241</v>
      </c>
      <c r="B122" s="1" t="s">
        <v>242</v>
      </c>
      <c r="C122" s="117" t="s">
        <v>243</v>
      </c>
      <c r="D122" s="1" t="s">
        <v>19</v>
      </c>
      <c r="E122" s="1" t="s">
        <v>115</v>
      </c>
      <c r="F122" s="56">
        <v>3</v>
      </c>
      <c r="G122" s="56">
        <v>180.65</v>
      </c>
      <c r="H122" s="121">
        <f>G122*$O$10</f>
        <v>230.05777500000002</v>
      </c>
      <c r="I122" s="125">
        <f>[5]READEQUAÇÃO!N123</f>
        <v>690.17332500000009</v>
      </c>
      <c r="J122" s="291"/>
      <c r="K122" s="125">
        <f t="shared" si="12"/>
        <v>0</v>
      </c>
      <c r="L122" s="125">
        <f t="shared" si="13"/>
        <v>3</v>
      </c>
      <c r="M122" s="291">
        <f t="shared" si="14"/>
        <v>690.17332500000009</v>
      </c>
      <c r="N122" s="312">
        <f t="shared" si="15"/>
        <v>1</v>
      </c>
    </row>
    <row r="123" spans="1:14" ht="38.25">
      <c r="A123" s="140" t="s">
        <v>244</v>
      </c>
      <c r="B123" s="1" t="s">
        <v>245</v>
      </c>
      <c r="C123" s="117" t="s">
        <v>246</v>
      </c>
      <c r="D123" s="1" t="s">
        <v>10</v>
      </c>
      <c r="E123" s="1" t="s">
        <v>15</v>
      </c>
      <c r="F123" s="56">
        <v>4</v>
      </c>
      <c r="G123" s="56">
        <v>204.75</v>
      </c>
      <c r="H123" s="121">
        <f>G123*$O$10</f>
        <v>260.74912499999999</v>
      </c>
      <c r="I123" s="125">
        <f>[5]READEQUAÇÃO!N124</f>
        <v>1042.9965</v>
      </c>
      <c r="J123" s="291"/>
      <c r="K123" s="125">
        <f t="shared" si="12"/>
        <v>0</v>
      </c>
      <c r="L123" s="125">
        <f t="shared" si="13"/>
        <v>4</v>
      </c>
      <c r="M123" s="291">
        <f t="shared" si="14"/>
        <v>1042.9965</v>
      </c>
      <c r="N123" s="312">
        <f t="shared" si="15"/>
        <v>1</v>
      </c>
    </row>
    <row r="124" spans="1:14" ht="51">
      <c r="A124" s="140" t="s">
        <v>247</v>
      </c>
      <c r="B124" s="1" t="s">
        <v>248</v>
      </c>
      <c r="C124" s="117" t="s">
        <v>249</v>
      </c>
      <c r="D124" s="1" t="s">
        <v>10</v>
      </c>
      <c r="E124" s="1" t="s">
        <v>250</v>
      </c>
      <c r="F124" s="56">
        <v>9</v>
      </c>
      <c r="G124" s="56">
        <v>26.04</v>
      </c>
      <c r="H124" s="121">
        <f>G124*$O$10</f>
        <v>33.161940000000001</v>
      </c>
      <c r="I124" s="125">
        <f>[5]READEQUAÇÃO!N125</f>
        <v>298.45746000000003</v>
      </c>
      <c r="J124" s="291"/>
      <c r="K124" s="125">
        <f t="shared" si="12"/>
        <v>0</v>
      </c>
      <c r="L124" s="125">
        <f t="shared" si="13"/>
        <v>9</v>
      </c>
      <c r="M124" s="291">
        <f t="shared" si="14"/>
        <v>298.45746000000003</v>
      </c>
      <c r="N124" s="312">
        <f t="shared" si="15"/>
        <v>1</v>
      </c>
    </row>
    <row r="125" spans="1:14" ht="25.5">
      <c r="A125" s="140" t="s">
        <v>251</v>
      </c>
      <c r="B125" s="1" t="s">
        <v>252</v>
      </c>
      <c r="C125" s="117" t="s">
        <v>253</v>
      </c>
      <c r="D125" s="1" t="s">
        <v>10</v>
      </c>
      <c r="E125" s="1" t="s">
        <v>15</v>
      </c>
      <c r="F125" s="56">
        <v>5</v>
      </c>
      <c r="G125" s="56">
        <v>12.94</v>
      </c>
      <c r="H125" s="121">
        <f>G125*$O$10</f>
        <v>16.479089999999999</v>
      </c>
      <c r="I125" s="125">
        <f>[5]READEQUAÇÃO!N126</f>
        <v>82.395449999999997</v>
      </c>
      <c r="J125" s="291"/>
      <c r="K125" s="125">
        <f t="shared" si="12"/>
        <v>0</v>
      </c>
      <c r="L125" s="125">
        <f t="shared" si="13"/>
        <v>5</v>
      </c>
      <c r="M125" s="291">
        <f t="shared" si="14"/>
        <v>82.395449999999997</v>
      </c>
      <c r="N125" s="312">
        <f t="shared" si="15"/>
        <v>1</v>
      </c>
    </row>
    <row r="126" spans="1:14">
      <c r="A126" s="140"/>
      <c r="B126" s="2"/>
      <c r="C126" s="118"/>
      <c r="D126" s="2"/>
      <c r="E126" s="2"/>
      <c r="F126" s="57"/>
      <c r="G126" s="57"/>
      <c r="H126" s="122"/>
      <c r="I126" s="127">
        <f>SUM(I121:I125)</f>
        <v>2588.6052450000002</v>
      </c>
      <c r="J126" s="127">
        <f t="shared" ref="J126:M126" si="23">SUM(J121:J125)</f>
        <v>0</v>
      </c>
      <c r="K126" s="127">
        <f t="shared" si="23"/>
        <v>0</v>
      </c>
      <c r="L126" s="127"/>
      <c r="M126" s="127">
        <f t="shared" si="23"/>
        <v>2588.6052450000002</v>
      </c>
      <c r="N126" s="312"/>
    </row>
    <row r="127" spans="1:14" s="144" customFormat="1">
      <c r="A127" s="140"/>
      <c r="B127" s="162"/>
      <c r="C127" s="163"/>
      <c r="D127" s="141"/>
      <c r="E127" s="141"/>
      <c r="F127" s="142"/>
      <c r="G127" s="142"/>
      <c r="H127" s="143"/>
      <c r="I127" s="164"/>
      <c r="J127" s="293"/>
      <c r="K127" s="125">
        <f t="shared" si="12"/>
        <v>0</v>
      </c>
      <c r="L127" s="125">
        <f t="shared" si="13"/>
        <v>0</v>
      </c>
      <c r="M127" s="291">
        <f t="shared" si="14"/>
        <v>0</v>
      </c>
      <c r="N127" s="312"/>
    </row>
    <row r="128" spans="1:14" ht="20.100000000000001" customHeight="1">
      <c r="A128" s="230" t="s">
        <v>254</v>
      </c>
      <c r="B128" s="367" t="s">
        <v>255</v>
      </c>
      <c r="C128" s="368"/>
      <c r="D128" s="146"/>
      <c r="E128" s="146"/>
      <c r="F128" s="146"/>
      <c r="G128" s="146"/>
      <c r="H128" s="146"/>
      <c r="I128" s="146"/>
      <c r="J128" s="146"/>
      <c r="K128" s="146"/>
      <c r="L128" s="296"/>
      <c r="M128" s="296"/>
      <c r="N128" s="312"/>
    </row>
    <row r="129" spans="1:14">
      <c r="A129" s="140" t="s">
        <v>256</v>
      </c>
      <c r="B129" s="1" t="s">
        <v>257</v>
      </c>
      <c r="C129" s="117" t="s">
        <v>258</v>
      </c>
      <c r="D129" s="1" t="s">
        <v>259</v>
      </c>
      <c r="E129" s="1" t="s">
        <v>115</v>
      </c>
      <c r="F129" s="56">
        <v>119</v>
      </c>
      <c r="G129" s="56">
        <v>7.07</v>
      </c>
      <c r="H129" s="121">
        <f t="shared" ref="H129:H175" si="24">G129*$O$10</f>
        <v>9.0036450000000006</v>
      </c>
      <c r="I129" s="125">
        <f>[5]READEQUAÇÃO!N130</f>
        <v>1071.433755</v>
      </c>
      <c r="J129" s="291"/>
      <c r="K129" s="125">
        <f t="shared" si="12"/>
        <v>0</v>
      </c>
      <c r="L129" s="125">
        <f t="shared" si="13"/>
        <v>119</v>
      </c>
      <c r="M129" s="291">
        <f t="shared" si="14"/>
        <v>1071.433755</v>
      </c>
      <c r="N129" s="312">
        <f t="shared" si="15"/>
        <v>1</v>
      </c>
    </row>
    <row r="130" spans="1:14" ht="38.25">
      <c r="A130" s="140" t="s">
        <v>260</v>
      </c>
      <c r="B130" s="1" t="s">
        <v>261</v>
      </c>
      <c r="C130" s="117" t="s">
        <v>262</v>
      </c>
      <c r="D130" s="1" t="s">
        <v>19</v>
      </c>
      <c r="E130" s="1" t="s">
        <v>115</v>
      </c>
      <c r="F130" s="56">
        <v>8</v>
      </c>
      <c r="G130" s="56">
        <v>5.83</v>
      </c>
      <c r="H130" s="121">
        <f t="shared" si="24"/>
        <v>7.4245050000000008</v>
      </c>
      <c r="I130" s="125">
        <f>[5]READEQUAÇÃO!N131</f>
        <v>59.396040000000006</v>
      </c>
      <c r="J130" s="291"/>
      <c r="K130" s="125">
        <f t="shared" si="12"/>
        <v>0</v>
      </c>
      <c r="L130" s="125">
        <f t="shared" si="13"/>
        <v>8</v>
      </c>
      <c r="M130" s="291">
        <f t="shared" si="14"/>
        <v>59.396040000000006</v>
      </c>
      <c r="N130" s="312">
        <f t="shared" si="15"/>
        <v>1</v>
      </c>
    </row>
    <row r="131" spans="1:14" ht="51">
      <c r="A131" s="140" t="s">
        <v>263</v>
      </c>
      <c r="B131" s="1" t="s">
        <v>264</v>
      </c>
      <c r="C131" s="117" t="s">
        <v>265</v>
      </c>
      <c r="D131" s="1" t="s">
        <v>19</v>
      </c>
      <c r="E131" s="1" t="s">
        <v>115</v>
      </c>
      <c r="F131" s="56">
        <v>10</v>
      </c>
      <c r="G131" s="56">
        <v>10.97</v>
      </c>
      <c r="H131" s="121">
        <f t="shared" si="24"/>
        <v>13.970295000000002</v>
      </c>
      <c r="I131" s="125">
        <f>[5]READEQUAÇÃO!N132</f>
        <v>139.70295000000002</v>
      </c>
      <c r="J131" s="291"/>
      <c r="K131" s="125">
        <f t="shared" si="12"/>
        <v>0</v>
      </c>
      <c r="L131" s="125">
        <f t="shared" si="13"/>
        <v>10</v>
      </c>
      <c r="M131" s="291">
        <f t="shared" si="14"/>
        <v>139.70295000000002</v>
      </c>
      <c r="N131" s="312">
        <f t="shared" si="15"/>
        <v>1</v>
      </c>
    </row>
    <row r="132" spans="1:14" ht="51">
      <c r="A132" s="140" t="s">
        <v>266</v>
      </c>
      <c r="B132" s="1" t="s">
        <v>267</v>
      </c>
      <c r="C132" s="117" t="s">
        <v>268</v>
      </c>
      <c r="D132" s="1" t="s">
        <v>19</v>
      </c>
      <c r="E132" s="1" t="s">
        <v>115</v>
      </c>
      <c r="F132" s="56">
        <v>6</v>
      </c>
      <c r="G132" s="56">
        <v>12.5</v>
      </c>
      <c r="H132" s="121">
        <f t="shared" si="24"/>
        <v>15.918750000000001</v>
      </c>
      <c r="I132" s="125">
        <f>[5]READEQUAÇÃO!N133</f>
        <v>95.512500000000003</v>
      </c>
      <c r="J132" s="291"/>
      <c r="K132" s="125">
        <f t="shared" si="12"/>
        <v>0</v>
      </c>
      <c r="L132" s="125">
        <f t="shared" si="13"/>
        <v>6</v>
      </c>
      <c r="M132" s="291">
        <f t="shared" si="14"/>
        <v>95.512500000000003</v>
      </c>
      <c r="N132" s="312">
        <f t="shared" si="15"/>
        <v>1</v>
      </c>
    </row>
    <row r="133" spans="1:14" ht="51">
      <c r="A133" s="140" t="s">
        <v>269</v>
      </c>
      <c r="B133" s="1" t="s">
        <v>270</v>
      </c>
      <c r="C133" s="117" t="s">
        <v>271</v>
      </c>
      <c r="D133" s="1" t="s">
        <v>19</v>
      </c>
      <c r="E133" s="1" t="s">
        <v>20</v>
      </c>
      <c r="F133" s="56">
        <v>203.96</v>
      </c>
      <c r="G133" s="56">
        <v>8.6</v>
      </c>
      <c r="H133" s="121">
        <f t="shared" si="24"/>
        <v>10.9521</v>
      </c>
      <c r="I133" s="125">
        <f>[5]READEQUAÇÃO!N134</f>
        <v>2233.7903160000001</v>
      </c>
      <c r="J133" s="291"/>
      <c r="K133" s="125">
        <f t="shared" si="12"/>
        <v>0</v>
      </c>
      <c r="L133" s="125">
        <f t="shared" si="13"/>
        <v>203.96</v>
      </c>
      <c r="M133" s="291">
        <f t="shared" si="14"/>
        <v>2233.7903160000001</v>
      </c>
      <c r="N133" s="312">
        <f t="shared" si="15"/>
        <v>1</v>
      </c>
    </row>
    <row r="134" spans="1:14" ht="51">
      <c r="A134" s="140" t="s">
        <v>272</v>
      </c>
      <c r="B134" s="1" t="s">
        <v>273</v>
      </c>
      <c r="C134" s="117" t="s">
        <v>274</v>
      </c>
      <c r="D134" s="1" t="s">
        <v>19</v>
      </c>
      <c r="E134" s="1" t="s">
        <v>20</v>
      </c>
      <c r="F134" s="56">
        <v>18.809999999999999</v>
      </c>
      <c r="G134" s="56">
        <v>9.2899999999999991</v>
      </c>
      <c r="H134" s="121">
        <f t="shared" si="24"/>
        <v>11.830814999999999</v>
      </c>
      <c r="I134" s="125">
        <f>[5]READEQUAÇÃO!N135</f>
        <v>222.53763014999998</v>
      </c>
      <c r="J134" s="291"/>
      <c r="K134" s="125">
        <f t="shared" si="12"/>
        <v>0</v>
      </c>
      <c r="L134" s="125">
        <f t="shared" si="13"/>
        <v>18.809999999999999</v>
      </c>
      <c r="M134" s="291">
        <f t="shared" si="14"/>
        <v>222.53763014999998</v>
      </c>
      <c r="N134" s="312">
        <f t="shared" si="15"/>
        <v>1</v>
      </c>
    </row>
    <row r="135" spans="1:14" s="144" customFormat="1" ht="51">
      <c r="A135" s="140" t="s">
        <v>275</v>
      </c>
      <c r="B135" s="141" t="s">
        <v>276</v>
      </c>
      <c r="C135" s="176" t="s">
        <v>277</v>
      </c>
      <c r="D135" s="141" t="s">
        <v>19</v>
      </c>
      <c r="E135" s="141" t="s">
        <v>20</v>
      </c>
      <c r="F135" s="142">
        <v>0</v>
      </c>
      <c r="G135" s="142">
        <v>5.36</v>
      </c>
      <c r="H135" s="143">
        <f t="shared" si="24"/>
        <v>6.8259600000000011</v>
      </c>
      <c r="I135" s="587">
        <f>[5]READEQUAÇÃO!N136</f>
        <v>0</v>
      </c>
      <c r="J135" s="295"/>
      <c r="K135" s="125">
        <f t="shared" si="12"/>
        <v>0</v>
      </c>
      <c r="L135" s="125">
        <f t="shared" si="13"/>
        <v>0</v>
      </c>
      <c r="M135" s="291">
        <f t="shared" si="14"/>
        <v>0</v>
      </c>
      <c r="N135" s="312" t="e">
        <f t="shared" si="15"/>
        <v>#DIV/0!</v>
      </c>
    </row>
    <row r="136" spans="1:14" s="144" customFormat="1" ht="25.5">
      <c r="A136" s="140" t="s">
        <v>278</v>
      </c>
      <c r="B136" s="141" t="s">
        <v>279</v>
      </c>
      <c r="C136" s="176" t="s">
        <v>280</v>
      </c>
      <c r="D136" s="141" t="s">
        <v>19</v>
      </c>
      <c r="E136" s="141" t="s">
        <v>20</v>
      </c>
      <c r="F136" s="142">
        <v>0</v>
      </c>
      <c r="G136" s="142">
        <v>9.08</v>
      </c>
      <c r="H136" s="143">
        <f t="shared" si="24"/>
        <v>11.56338</v>
      </c>
      <c r="I136" s="587">
        <f>[5]READEQUAÇÃO!N137</f>
        <v>0</v>
      </c>
      <c r="J136" s="295"/>
      <c r="K136" s="125">
        <f t="shared" si="12"/>
        <v>0</v>
      </c>
      <c r="L136" s="125">
        <f t="shared" si="13"/>
        <v>0</v>
      </c>
      <c r="M136" s="291">
        <f t="shared" si="14"/>
        <v>0</v>
      </c>
      <c r="N136" s="312" t="e">
        <f t="shared" si="15"/>
        <v>#DIV/0!</v>
      </c>
    </row>
    <row r="137" spans="1:14" ht="51">
      <c r="A137" s="140" t="s">
        <v>281</v>
      </c>
      <c r="B137" s="1" t="s">
        <v>282</v>
      </c>
      <c r="C137" s="117" t="s">
        <v>283</v>
      </c>
      <c r="D137" s="1" t="s">
        <v>19</v>
      </c>
      <c r="E137" s="1" t="s">
        <v>20</v>
      </c>
      <c r="F137" s="56">
        <v>20.3</v>
      </c>
      <c r="G137" s="56">
        <v>11.61</v>
      </c>
      <c r="H137" s="121">
        <f t="shared" si="24"/>
        <v>14.785335</v>
      </c>
      <c r="I137" s="125">
        <f>[5]READEQUAÇÃO!N138</f>
        <v>300.14230050000003</v>
      </c>
      <c r="J137" s="291"/>
      <c r="K137" s="125">
        <f t="shared" si="12"/>
        <v>0</v>
      </c>
      <c r="L137" s="125">
        <f t="shared" si="13"/>
        <v>20.3</v>
      </c>
      <c r="M137" s="291">
        <f t="shared" si="14"/>
        <v>300.14230050000003</v>
      </c>
      <c r="N137" s="312">
        <f t="shared" si="15"/>
        <v>1</v>
      </c>
    </row>
    <row r="138" spans="1:14" ht="51">
      <c r="A138" s="140" t="s">
        <v>284</v>
      </c>
      <c r="B138" s="1" t="s">
        <v>285</v>
      </c>
      <c r="C138" s="117" t="s">
        <v>286</v>
      </c>
      <c r="D138" s="1" t="s">
        <v>19</v>
      </c>
      <c r="E138" s="1" t="s">
        <v>20</v>
      </c>
      <c r="F138" s="56">
        <v>205</v>
      </c>
      <c r="G138" s="56">
        <v>9.59</v>
      </c>
      <c r="H138" s="121">
        <f t="shared" si="24"/>
        <v>12.212865000000001</v>
      </c>
      <c r="I138" s="125">
        <f>[5]READEQUAÇÃO!N139</f>
        <v>2503.6373250000001</v>
      </c>
      <c r="J138" s="291"/>
      <c r="K138" s="125">
        <f t="shared" si="12"/>
        <v>0</v>
      </c>
      <c r="L138" s="125">
        <f t="shared" si="13"/>
        <v>205</v>
      </c>
      <c r="M138" s="291">
        <f t="shared" si="14"/>
        <v>2503.6373250000001</v>
      </c>
      <c r="N138" s="312">
        <f t="shared" si="15"/>
        <v>1</v>
      </c>
    </row>
    <row r="139" spans="1:14" ht="51">
      <c r="A139" s="140" t="s">
        <v>287</v>
      </c>
      <c r="B139" s="1" t="s">
        <v>288</v>
      </c>
      <c r="C139" s="117" t="s">
        <v>289</v>
      </c>
      <c r="D139" s="1" t="s">
        <v>19</v>
      </c>
      <c r="E139" s="1" t="s">
        <v>115</v>
      </c>
      <c r="F139" s="56">
        <v>6</v>
      </c>
      <c r="G139" s="56">
        <v>5.3</v>
      </c>
      <c r="H139" s="121">
        <f t="shared" si="24"/>
        <v>6.7495500000000002</v>
      </c>
      <c r="I139" s="125">
        <f>[5]READEQUAÇÃO!N140</f>
        <v>40.497300000000003</v>
      </c>
      <c r="J139" s="291"/>
      <c r="K139" s="125">
        <f t="shared" ref="K139:K202" si="25">J139*H139</f>
        <v>0</v>
      </c>
      <c r="L139" s="125">
        <f t="shared" ref="L139:L202" si="26">F139-J139</f>
        <v>6</v>
      </c>
      <c r="M139" s="291">
        <f t="shared" ref="M139:M202" si="27">L139*H139</f>
        <v>40.497300000000003</v>
      </c>
      <c r="N139" s="312">
        <f t="shared" ref="N139:N202" si="28">(J139+L139)/F139</f>
        <v>1</v>
      </c>
    </row>
    <row r="140" spans="1:14" ht="51">
      <c r="A140" s="140" t="s">
        <v>290</v>
      </c>
      <c r="B140" s="1" t="s">
        <v>291</v>
      </c>
      <c r="C140" s="117" t="s">
        <v>292</v>
      </c>
      <c r="D140" s="1" t="s">
        <v>19</v>
      </c>
      <c r="E140" s="1" t="s">
        <v>115</v>
      </c>
      <c r="F140" s="56">
        <v>14</v>
      </c>
      <c r="G140" s="56">
        <v>7.01</v>
      </c>
      <c r="H140" s="121">
        <f t="shared" si="24"/>
        <v>8.9272349999999996</v>
      </c>
      <c r="I140" s="125">
        <f>[5]READEQUAÇÃO!N141</f>
        <v>124.98129</v>
      </c>
      <c r="J140" s="291"/>
      <c r="K140" s="125">
        <f t="shared" si="25"/>
        <v>0</v>
      </c>
      <c r="L140" s="125">
        <f t="shared" si="26"/>
        <v>14</v>
      </c>
      <c r="M140" s="291">
        <f t="shared" si="27"/>
        <v>124.98129</v>
      </c>
      <c r="N140" s="312">
        <f t="shared" si="28"/>
        <v>1</v>
      </c>
    </row>
    <row r="141" spans="1:14" s="144" customFormat="1" ht="38.25">
      <c r="A141" s="140" t="s">
        <v>293</v>
      </c>
      <c r="B141" s="141" t="s">
        <v>294</v>
      </c>
      <c r="C141" s="176" t="s">
        <v>295</v>
      </c>
      <c r="D141" s="141" t="s">
        <v>19</v>
      </c>
      <c r="E141" s="141" t="s">
        <v>115</v>
      </c>
      <c r="F141" s="142">
        <v>0</v>
      </c>
      <c r="G141" s="142">
        <v>9.07</v>
      </c>
      <c r="H141" s="143">
        <f t="shared" si="24"/>
        <v>11.550645000000001</v>
      </c>
      <c r="I141" s="587">
        <f>[5]READEQUAÇÃO!N142</f>
        <v>0</v>
      </c>
      <c r="J141" s="295"/>
      <c r="K141" s="125">
        <f t="shared" si="25"/>
        <v>0</v>
      </c>
      <c r="L141" s="125">
        <f t="shared" si="26"/>
        <v>0</v>
      </c>
      <c r="M141" s="291">
        <f t="shared" si="27"/>
        <v>0</v>
      </c>
      <c r="N141" s="312" t="e">
        <f t="shared" si="28"/>
        <v>#DIV/0!</v>
      </c>
    </row>
    <row r="142" spans="1:14" ht="63.75">
      <c r="A142" s="140" t="s">
        <v>296</v>
      </c>
      <c r="B142" s="1" t="s">
        <v>297</v>
      </c>
      <c r="C142" s="117" t="s">
        <v>298</v>
      </c>
      <c r="D142" s="1" t="s">
        <v>19</v>
      </c>
      <c r="E142" s="1" t="s">
        <v>115</v>
      </c>
      <c r="F142" s="56">
        <v>1</v>
      </c>
      <c r="G142" s="56">
        <v>490.95</v>
      </c>
      <c r="H142" s="121">
        <f t="shared" si="24"/>
        <v>625.22482500000001</v>
      </c>
      <c r="I142" s="125">
        <f>[5]READEQUAÇÃO!N143</f>
        <v>625.22482500000001</v>
      </c>
      <c r="J142" s="291"/>
      <c r="K142" s="125">
        <f t="shared" si="25"/>
        <v>0</v>
      </c>
      <c r="L142" s="125">
        <f t="shared" si="26"/>
        <v>1</v>
      </c>
      <c r="M142" s="291">
        <f t="shared" si="27"/>
        <v>625.22482500000001</v>
      </c>
      <c r="N142" s="312">
        <f t="shared" si="28"/>
        <v>1</v>
      </c>
    </row>
    <row r="143" spans="1:14" ht="63.75">
      <c r="A143" s="140" t="s">
        <v>299</v>
      </c>
      <c r="B143" s="1" t="s">
        <v>300</v>
      </c>
      <c r="C143" s="117" t="s">
        <v>301</v>
      </c>
      <c r="D143" s="1" t="s">
        <v>19</v>
      </c>
      <c r="E143" s="1" t="s">
        <v>115</v>
      </c>
      <c r="F143" s="56">
        <v>1</v>
      </c>
      <c r="G143" s="56">
        <v>460.24</v>
      </c>
      <c r="H143" s="121">
        <f t="shared" si="24"/>
        <v>586.1156400000001</v>
      </c>
      <c r="I143" s="125">
        <f>[5]READEQUAÇÃO!N144</f>
        <v>586.1156400000001</v>
      </c>
      <c r="J143" s="291"/>
      <c r="K143" s="125">
        <f t="shared" si="25"/>
        <v>0</v>
      </c>
      <c r="L143" s="125">
        <f t="shared" si="26"/>
        <v>1</v>
      </c>
      <c r="M143" s="291">
        <f t="shared" si="27"/>
        <v>586.1156400000001</v>
      </c>
      <c r="N143" s="312">
        <f t="shared" si="28"/>
        <v>1</v>
      </c>
    </row>
    <row r="144" spans="1:14">
      <c r="A144" s="140" t="s">
        <v>302</v>
      </c>
      <c r="B144" s="1" t="s">
        <v>303</v>
      </c>
      <c r="C144" s="117" t="s">
        <v>304</v>
      </c>
      <c r="D144" s="1"/>
      <c r="E144" s="1" t="s">
        <v>305</v>
      </c>
      <c r="F144" s="56">
        <v>41</v>
      </c>
      <c r="G144" s="56">
        <v>22.26</v>
      </c>
      <c r="H144" s="121">
        <f t="shared" si="24"/>
        <v>28.348110000000002</v>
      </c>
      <c r="I144" s="125">
        <f>[5]READEQUAÇÃO!N145</f>
        <v>1162.27251</v>
      </c>
      <c r="J144" s="291"/>
      <c r="K144" s="125">
        <f t="shared" si="25"/>
        <v>0</v>
      </c>
      <c r="L144" s="125">
        <f t="shared" si="26"/>
        <v>41</v>
      </c>
      <c r="M144" s="291">
        <f t="shared" si="27"/>
        <v>1162.27251</v>
      </c>
      <c r="N144" s="312">
        <f t="shared" si="28"/>
        <v>1</v>
      </c>
    </row>
    <row r="145" spans="1:14" ht="25.5">
      <c r="A145" s="140" t="s">
        <v>306</v>
      </c>
      <c r="B145" s="1" t="s">
        <v>307</v>
      </c>
      <c r="C145" s="117" t="s">
        <v>308</v>
      </c>
      <c r="D145" s="1" t="s">
        <v>10</v>
      </c>
      <c r="E145" s="1" t="s">
        <v>15</v>
      </c>
      <c r="F145" s="56">
        <v>6</v>
      </c>
      <c r="G145" s="56">
        <v>71.28</v>
      </c>
      <c r="H145" s="121">
        <f t="shared" si="24"/>
        <v>90.775080000000003</v>
      </c>
      <c r="I145" s="125">
        <f>[5]READEQUAÇÃO!N146</f>
        <v>544.65048000000002</v>
      </c>
      <c r="J145" s="291"/>
      <c r="K145" s="125">
        <f t="shared" si="25"/>
        <v>0</v>
      </c>
      <c r="L145" s="125">
        <f t="shared" si="26"/>
        <v>6</v>
      </c>
      <c r="M145" s="291">
        <f t="shared" si="27"/>
        <v>544.65048000000002</v>
      </c>
      <c r="N145" s="312">
        <f t="shared" si="28"/>
        <v>1</v>
      </c>
    </row>
    <row r="146" spans="1:14" ht="38.25">
      <c r="A146" s="140" t="s">
        <v>309</v>
      </c>
      <c r="B146" s="1" t="s">
        <v>310</v>
      </c>
      <c r="C146" s="117" t="s">
        <v>311</v>
      </c>
      <c r="D146" s="1" t="s">
        <v>19</v>
      </c>
      <c r="E146" s="1" t="s">
        <v>115</v>
      </c>
      <c r="F146" s="56">
        <v>11</v>
      </c>
      <c r="G146" s="56">
        <v>26.34</v>
      </c>
      <c r="H146" s="121">
        <f t="shared" si="24"/>
        <v>33.543990000000001</v>
      </c>
      <c r="I146" s="125">
        <f>[5]READEQUAÇÃO!N147</f>
        <v>368.98389000000003</v>
      </c>
      <c r="J146" s="291"/>
      <c r="K146" s="125">
        <f t="shared" si="25"/>
        <v>0</v>
      </c>
      <c r="L146" s="125">
        <f t="shared" si="26"/>
        <v>11</v>
      </c>
      <c r="M146" s="291">
        <f t="shared" si="27"/>
        <v>368.98389000000003</v>
      </c>
      <c r="N146" s="312">
        <f t="shared" si="28"/>
        <v>1</v>
      </c>
    </row>
    <row r="147" spans="1:14" ht="51">
      <c r="A147" s="140" t="s">
        <v>312</v>
      </c>
      <c r="B147" s="1" t="s">
        <v>313</v>
      </c>
      <c r="C147" s="117" t="s">
        <v>314</v>
      </c>
      <c r="D147" s="1" t="s">
        <v>19</v>
      </c>
      <c r="E147" s="1" t="s">
        <v>115</v>
      </c>
      <c r="F147" s="56">
        <v>8</v>
      </c>
      <c r="G147" s="56">
        <v>30.42</v>
      </c>
      <c r="H147" s="121">
        <f t="shared" si="24"/>
        <v>38.739870000000003</v>
      </c>
      <c r="I147" s="125">
        <f>[5]READEQUAÇÃO!N148</f>
        <v>309.91896000000003</v>
      </c>
      <c r="J147" s="291"/>
      <c r="K147" s="125">
        <f t="shared" si="25"/>
        <v>0</v>
      </c>
      <c r="L147" s="125">
        <f t="shared" si="26"/>
        <v>8</v>
      </c>
      <c r="M147" s="291">
        <f t="shared" si="27"/>
        <v>309.91896000000003</v>
      </c>
      <c r="N147" s="312">
        <f t="shared" si="28"/>
        <v>1</v>
      </c>
    </row>
    <row r="148" spans="1:14" ht="51">
      <c r="A148" s="140" t="s">
        <v>315</v>
      </c>
      <c r="B148" s="1" t="s">
        <v>316</v>
      </c>
      <c r="C148" s="117" t="s">
        <v>317</v>
      </c>
      <c r="D148" s="1" t="s">
        <v>19</v>
      </c>
      <c r="E148" s="1" t="s">
        <v>115</v>
      </c>
      <c r="F148" s="56">
        <v>1</v>
      </c>
      <c r="G148" s="56">
        <v>54.64</v>
      </c>
      <c r="H148" s="121">
        <f t="shared" si="24"/>
        <v>69.584040000000002</v>
      </c>
      <c r="I148" s="125">
        <f>[5]READEQUAÇÃO!N149</f>
        <v>69.584040000000002</v>
      </c>
      <c r="J148" s="291"/>
      <c r="K148" s="125">
        <f t="shared" si="25"/>
        <v>0</v>
      </c>
      <c r="L148" s="125">
        <f t="shared" si="26"/>
        <v>1</v>
      </c>
      <c r="M148" s="291">
        <f t="shared" si="27"/>
        <v>69.584040000000002</v>
      </c>
      <c r="N148" s="312">
        <f t="shared" si="28"/>
        <v>1</v>
      </c>
    </row>
    <row r="149" spans="1:14" ht="51">
      <c r="A149" s="140" t="s">
        <v>318</v>
      </c>
      <c r="B149" s="1" t="s">
        <v>319</v>
      </c>
      <c r="C149" s="117" t="s">
        <v>320</v>
      </c>
      <c r="D149" s="1" t="s">
        <v>19</v>
      </c>
      <c r="E149" s="1" t="s">
        <v>115</v>
      </c>
      <c r="F149" s="56">
        <v>6</v>
      </c>
      <c r="G149" s="56">
        <v>85.63</v>
      </c>
      <c r="H149" s="121">
        <f t="shared" si="24"/>
        <v>109.04980500000001</v>
      </c>
      <c r="I149" s="125">
        <f>[5]READEQUAÇÃO!N150</f>
        <v>654.29883000000007</v>
      </c>
      <c r="J149" s="291"/>
      <c r="K149" s="125">
        <f t="shared" si="25"/>
        <v>0</v>
      </c>
      <c r="L149" s="125">
        <f t="shared" si="26"/>
        <v>6</v>
      </c>
      <c r="M149" s="291">
        <f t="shared" si="27"/>
        <v>654.29883000000007</v>
      </c>
      <c r="N149" s="312">
        <f t="shared" si="28"/>
        <v>1</v>
      </c>
    </row>
    <row r="150" spans="1:14" ht="51">
      <c r="A150" s="140" t="s">
        <v>321</v>
      </c>
      <c r="B150" s="1" t="s">
        <v>322</v>
      </c>
      <c r="C150" s="117" t="s">
        <v>323</v>
      </c>
      <c r="D150" s="1" t="s">
        <v>19</v>
      </c>
      <c r="E150" s="1" t="s">
        <v>115</v>
      </c>
      <c r="F150" s="56">
        <v>81</v>
      </c>
      <c r="G150" s="56">
        <v>117.08</v>
      </c>
      <c r="H150" s="121">
        <f t="shared" si="24"/>
        <v>149.10138000000001</v>
      </c>
      <c r="I150" s="125">
        <f>[5]READEQUAÇÃO!N151</f>
        <v>12077.21178</v>
      </c>
      <c r="J150" s="291"/>
      <c r="K150" s="125">
        <f t="shared" si="25"/>
        <v>0</v>
      </c>
      <c r="L150" s="125">
        <f t="shared" si="26"/>
        <v>81</v>
      </c>
      <c r="M150" s="291">
        <f t="shared" si="27"/>
        <v>12077.21178</v>
      </c>
      <c r="N150" s="312">
        <f t="shared" si="28"/>
        <v>1</v>
      </c>
    </row>
    <row r="151" spans="1:14" ht="51">
      <c r="A151" s="140" t="s">
        <v>324</v>
      </c>
      <c r="B151" s="1" t="s">
        <v>325</v>
      </c>
      <c r="C151" s="117" t="s">
        <v>326</v>
      </c>
      <c r="D151" s="1" t="s">
        <v>19</v>
      </c>
      <c r="E151" s="1" t="s">
        <v>20</v>
      </c>
      <c r="F151" s="56">
        <v>64.95</v>
      </c>
      <c r="G151" s="56">
        <v>13.87</v>
      </c>
      <c r="H151" s="121">
        <f t="shared" si="24"/>
        <v>17.663444999999999</v>
      </c>
      <c r="I151" s="125">
        <f>[5]READEQUAÇÃO!N152</f>
        <v>1147.24075275</v>
      </c>
      <c r="J151" s="291"/>
      <c r="K151" s="125">
        <f t="shared" si="25"/>
        <v>0</v>
      </c>
      <c r="L151" s="125">
        <f t="shared" si="26"/>
        <v>64.95</v>
      </c>
      <c r="M151" s="291">
        <f t="shared" si="27"/>
        <v>1147.24075275</v>
      </c>
      <c r="N151" s="312">
        <f t="shared" si="28"/>
        <v>1</v>
      </c>
    </row>
    <row r="152" spans="1:14" ht="51">
      <c r="A152" s="140" t="s">
        <v>327</v>
      </c>
      <c r="B152" s="1" t="s">
        <v>325</v>
      </c>
      <c r="C152" s="117" t="s">
        <v>326</v>
      </c>
      <c r="D152" s="1" t="s">
        <v>19</v>
      </c>
      <c r="E152" s="1" t="s">
        <v>20</v>
      </c>
      <c r="F152" s="56">
        <v>21.65</v>
      </c>
      <c r="G152" s="56">
        <v>13.87</v>
      </c>
      <c r="H152" s="121">
        <f t="shared" si="24"/>
        <v>17.663444999999999</v>
      </c>
      <c r="I152" s="125">
        <f>[5]READEQUAÇÃO!N153</f>
        <v>382.41358424999999</v>
      </c>
      <c r="J152" s="291"/>
      <c r="K152" s="125">
        <f t="shared" si="25"/>
        <v>0</v>
      </c>
      <c r="L152" s="125">
        <f t="shared" si="26"/>
        <v>21.65</v>
      </c>
      <c r="M152" s="291">
        <f t="shared" si="27"/>
        <v>382.41358424999999</v>
      </c>
      <c r="N152" s="312">
        <f t="shared" si="28"/>
        <v>1</v>
      </c>
    </row>
    <row r="153" spans="1:14" ht="51">
      <c r="A153" s="140" t="s">
        <v>328</v>
      </c>
      <c r="B153" s="1" t="s">
        <v>325</v>
      </c>
      <c r="C153" s="117" t="s">
        <v>326</v>
      </c>
      <c r="D153" s="1" t="s">
        <v>19</v>
      </c>
      <c r="E153" s="1" t="s">
        <v>20</v>
      </c>
      <c r="F153" s="56">
        <v>30.65</v>
      </c>
      <c r="G153" s="56">
        <v>13.87</v>
      </c>
      <c r="H153" s="121">
        <f t="shared" si="24"/>
        <v>17.663444999999999</v>
      </c>
      <c r="I153" s="125">
        <f>[5]READEQUAÇÃO!N154</f>
        <v>541.38458924999998</v>
      </c>
      <c r="J153" s="291"/>
      <c r="K153" s="125">
        <f t="shared" si="25"/>
        <v>0</v>
      </c>
      <c r="L153" s="125">
        <f t="shared" si="26"/>
        <v>30.65</v>
      </c>
      <c r="M153" s="291">
        <f t="shared" si="27"/>
        <v>541.38458924999998</v>
      </c>
      <c r="N153" s="312">
        <f t="shared" si="28"/>
        <v>1</v>
      </c>
    </row>
    <row r="154" spans="1:14" ht="38.25">
      <c r="A154" s="140" t="s">
        <v>329</v>
      </c>
      <c r="B154" s="1" t="s">
        <v>330</v>
      </c>
      <c r="C154" s="117" t="s">
        <v>331</v>
      </c>
      <c r="D154" s="1" t="s">
        <v>10</v>
      </c>
      <c r="E154" s="1" t="s">
        <v>15</v>
      </c>
      <c r="F154" s="56">
        <v>4</v>
      </c>
      <c r="G154" s="56">
        <v>137.51</v>
      </c>
      <c r="H154" s="121">
        <f t="shared" si="24"/>
        <v>175.11898500000001</v>
      </c>
      <c r="I154" s="125">
        <f>[5]READEQUAÇÃO!N155</f>
        <v>700.47594000000004</v>
      </c>
      <c r="J154" s="291"/>
      <c r="K154" s="125">
        <f t="shared" si="25"/>
        <v>0</v>
      </c>
      <c r="L154" s="125">
        <f t="shared" si="26"/>
        <v>4</v>
      </c>
      <c r="M154" s="291">
        <f t="shared" si="27"/>
        <v>700.47594000000004</v>
      </c>
      <c r="N154" s="312">
        <f t="shared" si="28"/>
        <v>1</v>
      </c>
    </row>
    <row r="155" spans="1:14" ht="38.25">
      <c r="A155" s="140" t="s">
        <v>332</v>
      </c>
      <c r="B155" s="1" t="s">
        <v>333</v>
      </c>
      <c r="C155" s="117" t="s">
        <v>334</v>
      </c>
      <c r="D155" s="1" t="s">
        <v>19</v>
      </c>
      <c r="E155" s="1" t="s">
        <v>115</v>
      </c>
      <c r="F155" s="56">
        <v>15</v>
      </c>
      <c r="G155" s="56">
        <v>8.34</v>
      </c>
      <c r="H155" s="121">
        <f t="shared" si="24"/>
        <v>10.620990000000001</v>
      </c>
      <c r="I155" s="125">
        <f>[5]READEQUAÇÃO!N156</f>
        <v>159.31485000000001</v>
      </c>
      <c r="J155" s="291"/>
      <c r="K155" s="125">
        <f t="shared" si="25"/>
        <v>0</v>
      </c>
      <c r="L155" s="125">
        <f t="shared" si="26"/>
        <v>15</v>
      </c>
      <c r="M155" s="291">
        <f t="shared" si="27"/>
        <v>159.31485000000001</v>
      </c>
      <c r="N155" s="312">
        <f t="shared" si="28"/>
        <v>1</v>
      </c>
    </row>
    <row r="156" spans="1:14" ht="38.25">
      <c r="A156" s="140" t="s">
        <v>335</v>
      </c>
      <c r="B156" s="1" t="s">
        <v>336</v>
      </c>
      <c r="C156" s="117" t="s">
        <v>337</v>
      </c>
      <c r="D156" s="1" t="s">
        <v>19</v>
      </c>
      <c r="E156" s="1" t="s">
        <v>115</v>
      </c>
      <c r="F156" s="56">
        <v>3</v>
      </c>
      <c r="G156" s="56">
        <v>7.22</v>
      </c>
      <c r="H156" s="121">
        <f t="shared" si="24"/>
        <v>9.1946700000000003</v>
      </c>
      <c r="I156" s="125">
        <f>[5]READEQUAÇÃO!N157</f>
        <v>27.584009999999999</v>
      </c>
      <c r="J156" s="291"/>
      <c r="K156" s="125">
        <f t="shared" si="25"/>
        <v>0</v>
      </c>
      <c r="L156" s="125">
        <f t="shared" si="26"/>
        <v>3</v>
      </c>
      <c r="M156" s="291">
        <f t="shared" si="27"/>
        <v>27.584009999999999</v>
      </c>
      <c r="N156" s="312">
        <f t="shared" si="28"/>
        <v>1</v>
      </c>
    </row>
    <row r="157" spans="1:14" ht="38.25">
      <c r="A157" s="140" t="s">
        <v>338</v>
      </c>
      <c r="B157" s="1" t="s">
        <v>339</v>
      </c>
      <c r="C157" s="117" t="s">
        <v>340</v>
      </c>
      <c r="D157" s="1" t="s">
        <v>19</v>
      </c>
      <c r="E157" s="1" t="s">
        <v>115</v>
      </c>
      <c r="F157" s="56">
        <v>2</v>
      </c>
      <c r="G157" s="56">
        <v>57.46</v>
      </c>
      <c r="H157" s="121">
        <f t="shared" si="24"/>
        <v>73.17531000000001</v>
      </c>
      <c r="I157" s="125">
        <f>[5]READEQUAÇÃO!N158</f>
        <v>146.35062000000002</v>
      </c>
      <c r="J157" s="291"/>
      <c r="K157" s="125">
        <f t="shared" si="25"/>
        <v>0</v>
      </c>
      <c r="L157" s="125">
        <f t="shared" si="26"/>
        <v>2</v>
      </c>
      <c r="M157" s="291">
        <f t="shared" si="27"/>
        <v>146.35062000000002</v>
      </c>
      <c r="N157" s="312">
        <f t="shared" si="28"/>
        <v>1</v>
      </c>
    </row>
    <row r="158" spans="1:14" ht="38.25">
      <c r="A158" s="140" t="s">
        <v>341</v>
      </c>
      <c r="B158" s="1" t="s">
        <v>339</v>
      </c>
      <c r="C158" s="117" t="s">
        <v>340</v>
      </c>
      <c r="D158" s="1" t="s">
        <v>19</v>
      </c>
      <c r="E158" s="1" t="s">
        <v>115</v>
      </c>
      <c r="F158" s="56">
        <v>2</v>
      </c>
      <c r="G158" s="56">
        <v>57.46</v>
      </c>
      <c r="H158" s="121">
        <f t="shared" si="24"/>
        <v>73.17531000000001</v>
      </c>
      <c r="I158" s="125">
        <f>[5]READEQUAÇÃO!N159</f>
        <v>146.35062000000002</v>
      </c>
      <c r="J158" s="291"/>
      <c r="K158" s="125">
        <f t="shared" si="25"/>
        <v>0</v>
      </c>
      <c r="L158" s="125">
        <f t="shared" si="26"/>
        <v>2</v>
      </c>
      <c r="M158" s="291">
        <f t="shared" si="27"/>
        <v>146.35062000000002</v>
      </c>
      <c r="N158" s="312">
        <f t="shared" si="28"/>
        <v>1</v>
      </c>
    </row>
    <row r="159" spans="1:14" ht="38.25">
      <c r="A159" s="140" t="s">
        <v>342</v>
      </c>
      <c r="B159" s="1" t="s">
        <v>343</v>
      </c>
      <c r="C159" s="117" t="s">
        <v>344</v>
      </c>
      <c r="D159" s="1" t="s">
        <v>19</v>
      </c>
      <c r="E159" s="1" t="s">
        <v>20</v>
      </c>
      <c r="F159" s="56">
        <v>585.29999999999995</v>
      </c>
      <c r="G159" s="56">
        <v>5.22</v>
      </c>
      <c r="H159" s="121">
        <f t="shared" si="24"/>
        <v>6.6476699999999997</v>
      </c>
      <c r="I159" s="125">
        <f>[5]READEQUAÇÃO!N160</f>
        <v>3890.8812509999993</v>
      </c>
      <c r="J159" s="291"/>
      <c r="K159" s="125">
        <f t="shared" si="25"/>
        <v>0</v>
      </c>
      <c r="L159" s="125">
        <f t="shared" si="26"/>
        <v>585.29999999999995</v>
      </c>
      <c r="M159" s="291">
        <f t="shared" si="27"/>
        <v>3890.8812509999993</v>
      </c>
      <c r="N159" s="312">
        <f t="shared" si="28"/>
        <v>1</v>
      </c>
    </row>
    <row r="160" spans="1:14" ht="38.25">
      <c r="A160" s="140" t="s">
        <v>345</v>
      </c>
      <c r="B160" s="1" t="s">
        <v>346</v>
      </c>
      <c r="C160" s="117" t="s">
        <v>347</v>
      </c>
      <c r="D160" s="1" t="s">
        <v>19</v>
      </c>
      <c r="E160" s="1" t="s">
        <v>20</v>
      </c>
      <c r="F160" s="56">
        <v>451.74</v>
      </c>
      <c r="G160" s="56">
        <v>2.14</v>
      </c>
      <c r="H160" s="121">
        <f t="shared" si="24"/>
        <v>2.7252900000000002</v>
      </c>
      <c r="I160" s="125">
        <f>[5]READEQUAÇÃO!N161</f>
        <v>1231.1225046000002</v>
      </c>
      <c r="J160" s="291"/>
      <c r="K160" s="125">
        <f t="shared" si="25"/>
        <v>0</v>
      </c>
      <c r="L160" s="125">
        <f t="shared" si="26"/>
        <v>451.74</v>
      </c>
      <c r="M160" s="291">
        <f t="shared" si="27"/>
        <v>1231.1225046000002</v>
      </c>
      <c r="N160" s="312">
        <f t="shared" si="28"/>
        <v>1</v>
      </c>
    </row>
    <row r="161" spans="1:14" ht="25.5">
      <c r="A161" s="140" t="s">
        <v>348</v>
      </c>
      <c r="B161" s="1" t="s">
        <v>349</v>
      </c>
      <c r="C161" s="117" t="s">
        <v>350</v>
      </c>
      <c r="D161" s="1"/>
      <c r="E161" s="1" t="s">
        <v>351</v>
      </c>
      <c r="F161" s="56">
        <v>1</v>
      </c>
      <c r="G161" s="56">
        <v>180</v>
      </c>
      <c r="H161" s="121">
        <f t="shared" si="24"/>
        <v>229.23000000000002</v>
      </c>
      <c r="I161" s="125">
        <f>[5]READEQUAÇÃO!N162</f>
        <v>229.23000000000002</v>
      </c>
      <c r="J161" s="291"/>
      <c r="K161" s="125">
        <f t="shared" si="25"/>
        <v>0</v>
      </c>
      <c r="L161" s="125">
        <f t="shared" si="26"/>
        <v>1</v>
      </c>
      <c r="M161" s="291">
        <f t="shared" si="27"/>
        <v>229.23000000000002</v>
      </c>
      <c r="N161" s="312">
        <f t="shared" si="28"/>
        <v>1</v>
      </c>
    </row>
    <row r="162" spans="1:14" ht="38.25">
      <c r="A162" s="140" t="s">
        <v>352</v>
      </c>
      <c r="B162" s="1" t="s">
        <v>353</v>
      </c>
      <c r="C162" s="117" t="s">
        <v>354</v>
      </c>
      <c r="D162" s="1" t="s">
        <v>19</v>
      </c>
      <c r="E162" s="1" t="s">
        <v>115</v>
      </c>
      <c r="F162" s="56">
        <v>3</v>
      </c>
      <c r="G162" s="56">
        <v>31.04</v>
      </c>
      <c r="H162" s="121">
        <f t="shared" si="24"/>
        <v>39.529440000000001</v>
      </c>
      <c r="I162" s="125">
        <f>[5]READEQUAÇÃO!N163</f>
        <v>118.58832000000001</v>
      </c>
      <c r="J162" s="291"/>
      <c r="K162" s="125">
        <f t="shared" si="25"/>
        <v>0</v>
      </c>
      <c r="L162" s="125">
        <f t="shared" si="26"/>
        <v>3</v>
      </c>
      <c r="M162" s="291">
        <f t="shared" si="27"/>
        <v>118.58832000000001</v>
      </c>
      <c r="N162" s="312">
        <f t="shared" si="28"/>
        <v>1</v>
      </c>
    </row>
    <row r="163" spans="1:14" ht="25.5">
      <c r="A163" s="140" t="s">
        <v>355</v>
      </c>
      <c r="B163" s="1" t="s">
        <v>349</v>
      </c>
      <c r="C163" s="117" t="s">
        <v>350</v>
      </c>
      <c r="D163" s="1"/>
      <c r="E163" s="1" t="s">
        <v>305</v>
      </c>
      <c r="F163" s="56">
        <v>3</v>
      </c>
      <c r="G163" s="56">
        <v>4.0199999999999996</v>
      </c>
      <c r="H163" s="121">
        <f t="shared" si="24"/>
        <v>5.1194699999999997</v>
      </c>
      <c r="I163" s="125">
        <f>[5]READEQUAÇÃO!N164</f>
        <v>15.358409999999999</v>
      </c>
      <c r="J163" s="291"/>
      <c r="K163" s="125">
        <f t="shared" si="25"/>
        <v>0</v>
      </c>
      <c r="L163" s="125">
        <f t="shared" si="26"/>
        <v>3</v>
      </c>
      <c r="M163" s="291">
        <f t="shared" si="27"/>
        <v>15.358409999999999</v>
      </c>
      <c r="N163" s="312">
        <f t="shared" si="28"/>
        <v>1</v>
      </c>
    </row>
    <row r="164" spans="1:14">
      <c r="A164" s="140" t="s">
        <v>356</v>
      </c>
      <c r="B164" s="1" t="s">
        <v>357</v>
      </c>
      <c r="C164" s="117" t="s">
        <v>358</v>
      </c>
      <c r="D164" s="1" t="s">
        <v>10</v>
      </c>
      <c r="E164" s="1" t="s">
        <v>359</v>
      </c>
      <c r="F164" s="56">
        <v>0.5</v>
      </c>
      <c r="G164" s="56">
        <v>20.49</v>
      </c>
      <c r="H164" s="121">
        <f t="shared" si="24"/>
        <v>26.094014999999999</v>
      </c>
      <c r="I164" s="125">
        <f>[5]READEQUAÇÃO!N165</f>
        <v>13.047007499999999</v>
      </c>
      <c r="J164" s="291"/>
      <c r="K164" s="125">
        <f t="shared" si="25"/>
        <v>0</v>
      </c>
      <c r="L164" s="125">
        <f t="shared" si="26"/>
        <v>0.5</v>
      </c>
      <c r="M164" s="291">
        <f t="shared" si="27"/>
        <v>13.047007499999999</v>
      </c>
      <c r="N164" s="312">
        <f t="shared" si="28"/>
        <v>1</v>
      </c>
    </row>
    <row r="165" spans="1:14" ht="25.5">
      <c r="A165" s="140" t="s">
        <v>360</v>
      </c>
      <c r="B165" s="1" t="s">
        <v>361</v>
      </c>
      <c r="C165" s="117" t="s">
        <v>362</v>
      </c>
      <c r="D165" s="1" t="s">
        <v>19</v>
      </c>
      <c r="E165" s="1" t="s">
        <v>115</v>
      </c>
      <c r="F165" s="56">
        <v>3</v>
      </c>
      <c r="G165" s="56">
        <v>47.34</v>
      </c>
      <c r="H165" s="121">
        <f t="shared" si="24"/>
        <v>60.287490000000005</v>
      </c>
      <c r="I165" s="125">
        <f>[5]READEQUAÇÃO!N166</f>
        <v>180.86247000000003</v>
      </c>
      <c r="J165" s="291"/>
      <c r="K165" s="125">
        <f t="shared" si="25"/>
        <v>0</v>
      </c>
      <c r="L165" s="125">
        <f t="shared" si="26"/>
        <v>3</v>
      </c>
      <c r="M165" s="291">
        <f t="shared" si="27"/>
        <v>180.86247000000003</v>
      </c>
      <c r="N165" s="312">
        <f t="shared" si="28"/>
        <v>1</v>
      </c>
    </row>
    <row r="166" spans="1:14">
      <c r="A166" s="140" t="s">
        <v>363</v>
      </c>
      <c r="B166" s="1" t="s">
        <v>364</v>
      </c>
      <c r="C166" s="117" t="s">
        <v>365</v>
      </c>
      <c r="D166" s="1" t="s">
        <v>10</v>
      </c>
      <c r="E166" s="1" t="s">
        <v>250</v>
      </c>
      <c r="F166" s="56">
        <v>10</v>
      </c>
      <c r="G166" s="56">
        <v>9.59</v>
      </c>
      <c r="H166" s="121">
        <f t="shared" si="24"/>
        <v>12.212865000000001</v>
      </c>
      <c r="I166" s="125">
        <f>[5]READEQUAÇÃO!N167</f>
        <v>122.12865000000001</v>
      </c>
      <c r="J166" s="291"/>
      <c r="K166" s="125">
        <f t="shared" si="25"/>
        <v>0</v>
      </c>
      <c r="L166" s="125">
        <f t="shared" si="26"/>
        <v>10</v>
      </c>
      <c r="M166" s="291">
        <f t="shared" si="27"/>
        <v>122.12865000000001</v>
      </c>
      <c r="N166" s="312">
        <f t="shared" si="28"/>
        <v>1</v>
      </c>
    </row>
    <row r="167" spans="1:14" ht="38.25">
      <c r="A167" s="140" t="s">
        <v>366</v>
      </c>
      <c r="B167" s="1" t="s">
        <v>367</v>
      </c>
      <c r="C167" s="117" t="s">
        <v>368</v>
      </c>
      <c r="D167" s="1" t="s">
        <v>19</v>
      </c>
      <c r="E167" s="1" t="s">
        <v>20</v>
      </c>
      <c r="F167" s="56">
        <v>585.29999999999995</v>
      </c>
      <c r="G167" s="56">
        <v>3.16</v>
      </c>
      <c r="H167" s="121">
        <f t="shared" si="24"/>
        <v>4.0242600000000008</v>
      </c>
      <c r="I167" s="125">
        <f>[5]READEQUAÇÃO!N168</f>
        <v>2355.3993780000005</v>
      </c>
      <c r="J167" s="291"/>
      <c r="K167" s="125">
        <f t="shared" si="25"/>
        <v>0</v>
      </c>
      <c r="L167" s="125">
        <f t="shared" si="26"/>
        <v>585.29999999999995</v>
      </c>
      <c r="M167" s="291">
        <f t="shared" si="27"/>
        <v>2355.3993780000005</v>
      </c>
      <c r="N167" s="312">
        <f t="shared" si="28"/>
        <v>1</v>
      </c>
    </row>
    <row r="168" spans="1:14" ht="38.25">
      <c r="A168" s="140" t="s">
        <v>369</v>
      </c>
      <c r="B168" s="1" t="s">
        <v>346</v>
      </c>
      <c r="C168" s="117" t="s">
        <v>347</v>
      </c>
      <c r="D168" s="1" t="s">
        <v>19</v>
      </c>
      <c r="E168" s="1" t="s">
        <v>20</v>
      </c>
      <c r="F168" s="56">
        <v>451.74</v>
      </c>
      <c r="G168" s="56">
        <v>2.14</v>
      </c>
      <c r="H168" s="121">
        <f t="shared" si="24"/>
        <v>2.7252900000000002</v>
      </c>
      <c r="I168" s="125">
        <f>[5]READEQUAÇÃO!N169</f>
        <v>1231.1225046000002</v>
      </c>
      <c r="J168" s="291"/>
      <c r="K168" s="125">
        <f t="shared" si="25"/>
        <v>0</v>
      </c>
      <c r="L168" s="125">
        <f t="shared" si="26"/>
        <v>451.74</v>
      </c>
      <c r="M168" s="291">
        <f t="shared" si="27"/>
        <v>1231.1225046000002</v>
      </c>
      <c r="N168" s="312">
        <f t="shared" si="28"/>
        <v>1</v>
      </c>
    </row>
    <row r="169" spans="1:14" ht="38.25">
      <c r="A169" s="140" t="s">
        <v>370</v>
      </c>
      <c r="B169" s="1" t="s">
        <v>367</v>
      </c>
      <c r="C169" s="117" t="s">
        <v>368</v>
      </c>
      <c r="D169" s="1" t="s">
        <v>19</v>
      </c>
      <c r="E169" s="1" t="s">
        <v>20</v>
      </c>
      <c r="F169" s="56">
        <v>275.5</v>
      </c>
      <c r="G169" s="56">
        <v>3.16</v>
      </c>
      <c r="H169" s="121">
        <f t="shared" si="24"/>
        <v>4.0242600000000008</v>
      </c>
      <c r="I169" s="125">
        <f>[5]READEQUAÇÃO!N170</f>
        <v>1108.6836300000002</v>
      </c>
      <c r="J169" s="291"/>
      <c r="K169" s="125">
        <f t="shared" si="25"/>
        <v>0</v>
      </c>
      <c r="L169" s="125">
        <f t="shared" si="26"/>
        <v>275.5</v>
      </c>
      <c r="M169" s="291">
        <f t="shared" si="27"/>
        <v>1108.6836300000002</v>
      </c>
      <c r="N169" s="312">
        <f t="shared" si="28"/>
        <v>1</v>
      </c>
    </row>
    <row r="170" spans="1:14" ht="38.25">
      <c r="A170" s="140" t="s">
        <v>371</v>
      </c>
      <c r="B170" s="1" t="s">
        <v>367</v>
      </c>
      <c r="C170" s="117" t="s">
        <v>368</v>
      </c>
      <c r="D170" s="1" t="s">
        <v>19</v>
      </c>
      <c r="E170" s="1" t="s">
        <v>20</v>
      </c>
      <c r="F170" s="56">
        <v>299.24</v>
      </c>
      <c r="G170" s="56">
        <v>3.16</v>
      </c>
      <c r="H170" s="121">
        <f t="shared" si="24"/>
        <v>4.0242600000000008</v>
      </c>
      <c r="I170" s="125">
        <f>[5]READEQUAÇÃO!N171</f>
        <v>1204.2195624000003</v>
      </c>
      <c r="J170" s="291"/>
      <c r="K170" s="125">
        <f t="shared" si="25"/>
        <v>0</v>
      </c>
      <c r="L170" s="125">
        <f t="shared" si="26"/>
        <v>299.24</v>
      </c>
      <c r="M170" s="291">
        <f t="shared" si="27"/>
        <v>1204.2195624000003</v>
      </c>
      <c r="N170" s="312">
        <f t="shared" si="28"/>
        <v>1</v>
      </c>
    </row>
    <row r="171" spans="1:14" ht="76.5">
      <c r="A171" s="140" t="s">
        <v>372</v>
      </c>
      <c r="B171" s="1" t="s">
        <v>373</v>
      </c>
      <c r="C171" s="117" t="s">
        <v>374</v>
      </c>
      <c r="D171" s="1" t="s">
        <v>19</v>
      </c>
      <c r="E171" s="1" t="s">
        <v>20</v>
      </c>
      <c r="F171" s="56">
        <v>63.81</v>
      </c>
      <c r="G171" s="56">
        <v>12.72</v>
      </c>
      <c r="H171" s="121">
        <f t="shared" si="24"/>
        <v>16.198920000000001</v>
      </c>
      <c r="I171" s="125">
        <f>[5]READEQUAÇÃO!N172</f>
        <v>1033.6530852000001</v>
      </c>
      <c r="J171" s="291"/>
      <c r="K171" s="125">
        <f t="shared" si="25"/>
        <v>0</v>
      </c>
      <c r="L171" s="125">
        <f t="shared" si="26"/>
        <v>63.81</v>
      </c>
      <c r="M171" s="291">
        <f t="shared" si="27"/>
        <v>1033.6530852000001</v>
      </c>
      <c r="N171" s="312">
        <f t="shared" si="28"/>
        <v>1</v>
      </c>
    </row>
    <row r="172" spans="1:14" ht="38.25">
      <c r="A172" s="140" t="s">
        <v>375</v>
      </c>
      <c r="B172" s="1" t="s">
        <v>373</v>
      </c>
      <c r="C172" s="117" t="s">
        <v>376</v>
      </c>
      <c r="D172" s="1" t="s">
        <v>19</v>
      </c>
      <c r="E172" s="1" t="s">
        <v>20</v>
      </c>
      <c r="F172" s="56">
        <v>21.27</v>
      </c>
      <c r="G172" s="56">
        <v>12.72</v>
      </c>
      <c r="H172" s="121">
        <f t="shared" si="24"/>
        <v>16.198920000000001</v>
      </c>
      <c r="I172" s="125">
        <f>[5]READEQUAÇÃO!N173</f>
        <v>344.55102840000001</v>
      </c>
      <c r="J172" s="291"/>
      <c r="K172" s="125">
        <f t="shared" si="25"/>
        <v>0</v>
      </c>
      <c r="L172" s="125">
        <f t="shared" si="26"/>
        <v>21.27</v>
      </c>
      <c r="M172" s="291">
        <f t="shared" si="27"/>
        <v>344.55102840000001</v>
      </c>
      <c r="N172" s="312">
        <f t="shared" si="28"/>
        <v>1</v>
      </c>
    </row>
    <row r="173" spans="1:14" ht="38.25">
      <c r="A173" s="140" t="s">
        <v>377</v>
      </c>
      <c r="B173" s="1" t="s">
        <v>373</v>
      </c>
      <c r="C173" s="117" t="s">
        <v>376</v>
      </c>
      <c r="D173" s="1" t="s">
        <v>19</v>
      </c>
      <c r="E173" s="1" t="s">
        <v>20</v>
      </c>
      <c r="F173" s="56">
        <v>21.27</v>
      </c>
      <c r="G173" s="56">
        <v>12.72</v>
      </c>
      <c r="H173" s="121">
        <f t="shared" si="24"/>
        <v>16.198920000000001</v>
      </c>
      <c r="I173" s="125">
        <f>[5]READEQUAÇÃO!N174</f>
        <v>344.55102840000001</v>
      </c>
      <c r="J173" s="291"/>
      <c r="K173" s="125">
        <f t="shared" si="25"/>
        <v>0</v>
      </c>
      <c r="L173" s="125">
        <f t="shared" si="26"/>
        <v>21.27</v>
      </c>
      <c r="M173" s="291">
        <f t="shared" si="27"/>
        <v>344.55102840000001</v>
      </c>
      <c r="N173" s="312">
        <f t="shared" si="28"/>
        <v>1</v>
      </c>
    </row>
    <row r="174" spans="1:14" ht="51">
      <c r="A174" s="140" t="s">
        <v>378</v>
      </c>
      <c r="B174" s="1" t="s">
        <v>313</v>
      </c>
      <c r="C174" s="117" t="s">
        <v>314</v>
      </c>
      <c r="D174" s="1" t="s">
        <v>19</v>
      </c>
      <c r="E174" s="1" t="s">
        <v>115</v>
      </c>
      <c r="F174" s="56">
        <v>15</v>
      </c>
      <c r="G174" s="56">
        <v>30.42</v>
      </c>
      <c r="H174" s="121">
        <f t="shared" si="24"/>
        <v>38.739870000000003</v>
      </c>
      <c r="I174" s="125">
        <f>[5]READEQUAÇÃO!N175</f>
        <v>581.09805000000006</v>
      </c>
      <c r="J174" s="291"/>
      <c r="K174" s="125">
        <f t="shared" si="25"/>
        <v>0</v>
      </c>
      <c r="L174" s="125">
        <f t="shared" si="26"/>
        <v>15</v>
      </c>
      <c r="M174" s="291">
        <f t="shared" si="27"/>
        <v>581.09805000000006</v>
      </c>
      <c r="N174" s="312">
        <f t="shared" si="28"/>
        <v>1</v>
      </c>
    </row>
    <row r="175" spans="1:14" ht="51">
      <c r="A175" s="140" t="s">
        <v>379</v>
      </c>
      <c r="B175" s="1" t="s">
        <v>380</v>
      </c>
      <c r="C175" s="117" t="s">
        <v>381</v>
      </c>
      <c r="D175" s="1" t="s">
        <v>19</v>
      </c>
      <c r="E175" s="1" t="s">
        <v>115</v>
      </c>
      <c r="F175" s="56">
        <v>24</v>
      </c>
      <c r="G175" s="56">
        <v>25.12</v>
      </c>
      <c r="H175" s="121">
        <f t="shared" si="24"/>
        <v>31.990320000000004</v>
      </c>
      <c r="I175" s="125">
        <f>[5]READEQUAÇÃO!N176</f>
        <v>767.76768000000015</v>
      </c>
      <c r="J175" s="291"/>
      <c r="K175" s="125">
        <f t="shared" si="25"/>
        <v>0</v>
      </c>
      <c r="L175" s="125">
        <f t="shared" si="26"/>
        <v>24</v>
      </c>
      <c r="M175" s="291">
        <f t="shared" si="27"/>
        <v>767.76768000000015</v>
      </c>
      <c r="N175" s="312">
        <f t="shared" si="28"/>
        <v>1</v>
      </c>
    </row>
    <row r="176" spans="1:14">
      <c r="A176" s="140"/>
      <c r="B176" s="2"/>
      <c r="C176" s="118"/>
      <c r="D176" s="2"/>
      <c r="E176" s="2"/>
      <c r="F176" s="57"/>
      <c r="G176" s="57"/>
      <c r="H176" s="122"/>
      <c r="I176" s="127">
        <f>SUM(I129:I175)</f>
        <v>41213.271887999996</v>
      </c>
      <c r="J176" s="127">
        <f t="shared" ref="J176:K176" si="29">SUM(J129:J175)</f>
        <v>0</v>
      </c>
      <c r="K176" s="127">
        <f t="shared" si="29"/>
        <v>0</v>
      </c>
      <c r="L176" s="127"/>
      <c r="M176" s="127">
        <f t="shared" ref="M176" si="30">SUM(M129:M175)</f>
        <v>41213.271887999996</v>
      </c>
      <c r="N176" s="312"/>
    </row>
    <row r="177" spans="1:14" s="144" customFormat="1">
      <c r="A177" s="140"/>
      <c r="B177" s="162"/>
      <c r="C177" s="163"/>
      <c r="D177" s="141"/>
      <c r="E177" s="141"/>
      <c r="F177" s="142"/>
      <c r="G177" s="142"/>
      <c r="H177" s="143"/>
      <c r="I177" s="164"/>
      <c r="J177" s="293"/>
      <c r="K177" s="125">
        <f t="shared" si="25"/>
        <v>0</v>
      </c>
      <c r="L177" s="125">
        <f t="shared" si="26"/>
        <v>0</v>
      </c>
      <c r="M177" s="291">
        <f t="shared" si="27"/>
        <v>0</v>
      </c>
      <c r="N177" s="312"/>
    </row>
    <row r="178" spans="1:14" ht="20.100000000000001" customHeight="1">
      <c r="A178" s="230" t="s">
        <v>382</v>
      </c>
      <c r="B178" s="367" t="s">
        <v>383</v>
      </c>
      <c r="C178" s="368"/>
      <c r="D178" s="146"/>
      <c r="E178" s="146"/>
      <c r="F178" s="146"/>
      <c r="G178" s="146"/>
      <c r="H178" s="146"/>
      <c r="I178" s="146"/>
      <c r="J178" s="146"/>
      <c r="K178" s="146"/>
      <c r="L178" s="296"/>
      <c r="M178" s="296"/>
      <c r="N178" s="312"/>
    </row>
    <row r="179" spans="1:14" ht="51">
      <c r="A179" s="140" t="s">
        <v>384</v>
      </c>
      <c r="B179" s="1" t="s">
        <v>385</v>
      </c>
      <c r="C179" s="117" t="s">
        <v>386</v>
      </c>
      <c r="D179" s="1" t="s">
        <v>19</v>
      </c>
      <c r="E179" s="1" t="s">
        <v>115</v>
      </c>
      <c r="F179" s="56">
        <v>6</v>
      </c>
      <c r="G179" s="56">
        <v>23.62</v>
      </c>
      <c r="H179" s="121">
        <f t="shared" ref="H179:H238" si="31">G179*$O$10</f>
        <v>30.080070000000003</v>
      </c>
      <c r="I179" s="125">
        <f>[5]READEQUAÇÃO!N180</f>
        <v>180.48042000000001</v>
      </c>
      <c r="J179" s="291"/>
      <c r="K179" s="125">
        <f t="shared" si="25"/>
        <v>0</v>
      </c>
      <c r="L179" s="125">
        <f t="shared" si="26"/>
        <v>6</v>
      </c>
      <c r="M179" s="291">
        <f t="shared" si="27"/>
        <v>180.48042000000001</v>
      </c>
      <c r="N179" s="312">
        <f t="shared" si="28"/>
        <v>1</v>
      </c>
    </row>
    <row r="180" spans="1:14" s="144" customFormat="1" ht="25.5">
      <c r="A180" s="140" t="s">
        <v>387</v>
      </c>
      <c r="B180" s="141" t="s">
        <v>388</v>
      </c>
      <c r="C180" s="176" t="s">
        <v>389</v>
      </c>
      <c r="D180" s="141" t="s">
        <v>19</v>
      </c>
      <c r="E180" s="141" t="s">
        <v>115</v>
      </c>
      <c r="F180" s="142">
        <v>0</v>
      </c>
      <c r="G180" s="142">
        <v>24.17</v>
      </c>
      <c r="H180" s="143">
        <f t="shared" si="31"/>
        <v>30.780495000000005</v>
      </c>
      <c r="I180" s="125">
        <f>[5]READEQUAÇÃO!N181</f>
        <v>0</v>
      </c>
      <c r="J180" s="295"/>
      <c r="K180" s="125">
        <f t="shared" si="25"/>
        <v>0</v>
      </c>
      <c r="L180" s="125">
        <f t="shared" si="26"/>
        <v>0</v>
      </c>
      <c r="M180" s="291">
        <f t="shared" si="27"/>
        <v>0</v>
      </c>
      <c r="N180" s="312" t="e">
        <f t="shared" si="28"/>
        <v>#DIV/0!</v>
      </c>
    </row>
    <row r="181" spans="1:14" ht="51">
      <c r="A181" s="140" t="s">
        <v>390</v>
      </c>
      <c r="B181" s="1" t="s">
        <v>391</v>
      </c>
      <c r="C181" s="117" t="s">
        <v>392</v>
      </c>
      <c r="D181" s="1" t="s">
        <v>19</v>
      </c>
      <c r="E181" s="1" t="s">
        <v>115</v>
      </c>
      <c r="F181" s="56">
        <v>6</v>
      </c>
      <c r="G181" s="56">
        <v>7.69</v>
      </c>
      <c r="H181" s="121">
        <f t="shared" si="31"/>
        <v>9.7932150000000018</v>
      </c>
      <c r="I181" s="125">
        <f>[5]READEQUAÇÃO!N182</f>
        <v>58.759290000000007</v>
      </c>
      <c r="J181" s="291"/>
      <c r="K181" s="125">
        <f t="shared" si="25"/>
        <v>0</v>
      </c>
      <c r="L181" s="125">
        <f t="shared" si="26"/>
        <v>6</v>
      </c>
      <c r="M181" s="291">
        <f t="shared" si="27"/>
        <v>58.759290000000007</v>
      </c>
      <c r="N181" s="312">
        <f t="shared" si="28"/>
        <v>1</v>
      </c>
    </row>
    <row r="182" spans="1:14" ht="51">
      <c r="A182" s="140" t="s">
        <v>393</v>
      </c>
      <c r="B182" s="1" t="s">
        <v>394</v>
      </c>
      <c r="C182" s="117" t="s">
        <v>395</v>
      </c>
      <c r="D182" s="1" t="s">
        <v>19</v>
      </c>
      <c r="E182" s="1" t="s">
        <v>115</v>
      </c>
      <c r="F182" s="56">
        <v>12</v>
      </c>
      <c r="G182" s="56">
        <v>422.31</v>
      </c>
      <c r="H182" s="121">
        <f t="shared" si="31"/>
        <v>537.81178499999999</v>
      </c>
      <c r="I182" s="125">
        <f>[5]READEQUAÇÃO!N183</f>
        <v>6453.7414200000003</v>
      </c>
      <c r="J182" s="291"/>
      <c r="K182" s="125">
        <f t="shared" si="25"/>
        <v>0</v>
      </c>
      <c r="L182" s="125">
        <f t="shared" si="26"/>
        <v>12</v>
      </c>
      <c r="M182" s="291">
        <f t="shared" si="27"/>
        <v>6453.7414200000003</v>
      </c>
      <c r="N182" s="312">
        <f t="shared" si="28"/>
        <v>1</v>
      </c>
    </row>
    <row r="183" spans="1:14" ht="25.5">
      <c r="A183" s="140" t="s">
        <v>396</v>
      </c>
      <c r="B183" s="1" t="s">
        <v>397</v>
      </c>
      <c r="C183" s="117" t="s">
        <v>398</v>
      </c>
      <c r="D183" s="1" t="s">
        <v>19</v>
      </c>
      <c r="E183" s="1" t="s">
        <v>115</v>
      </c>
      <c r="F183" s="56">
        <v>2</v>
      </c>
      <c r="G183" s="56">
        <v>5.42</v>
      </c>
      <c r="H183" s="121">
        <f t="shared" si="31"/>
        <v>6.9023700000000003</v>
      </c>
      <c r="I183" s="125">
        <f>[5]READEQUAÇÃO!N184</f>
        <v>13.804740000000001</v>
      </c>
      <c r="J183" s="291"/>
      <c r="K183" s="125">
        <f t="shared" si="25"/>
        <v>0</v>
      </c>
      <c r="L183" s="125">
        <f t="shared" si="26"/>
        <v>2</v>
      </c>
      <c r="M183" s="291">
        <f t="shared" si="27"/>
        <v>13.804740000000001</v>
      </c>
      <c r="N183" s="312">
        <f t="shared" si="28"/>
        <v>1</v>
      </c>
    </row>
    <row r="184" spans="1:14" ht="25.5">
      <c r="A184" s="140" t="s">
        <v>399</v>
      </c>
      <c r="B184" s="1" t="s">
        <v>400</v>
      </c>
      <c r="C184" s="117" t="s">
        <v>401</v>
      </c>
      <c r="D184" s="1" t="s">
        <v>19</v>
      </c>
      <c r="E184" s="1" t="s">
        <v>115</v>
      </c>
      <c r="F184" s="56">
        <v>1</v>
      </c>
      <c r="G184" s="56">
        <v>0.43</v>
      </c>
      <c r="H184" s="121">
        <f t="shared" si="31"/>
        <v>0.54760500000000001</v>
      </c>
      <c r="I184" s="125">
        <f>[5]READEQUAÇÃO!N185</f>
        <v>0.54760500000000001</v>
      </c>
      <c r="J184" s="291"/>
      <c r="K184" s="125">
        <f t="shared" si="25"/>
        <v>0</v>
      </c>
      <c r="L184" s="125">
        <f t="shared" si="26"/>
        <v>1</v>
      </c>
      <c r="M184" s="291">
        <f t="shared" si="27"/>
        <v>0.54760500000000001</v>
      </c>
      <c r="N184" s="312">
        <f t="shared" si="28"/>
        <v>1</v>
      </c>
    </row>
    <row r="185" spans="1:14" ht="25.5">
      <c r="A185" s="140" t="s">
        <v>402</v>
      </c>
      <c r="B185" s="1" t="s">
        <v>403</v>
      </c>
      <c r="C185" s="117" t="s">
        <v>404</v>
      </c>
      <c r="D185" s="1" t="s">
        <v>19</v>
      </c>
      <c r="E185" s="1" t="s">
        <v>115</v>
      </c>
      <c r="F185" s="56">
        <v>1</v>
      </c>
      <c r="G185" s="56">
        <v>4.17</v>
      </c>
      <c r="H185" s="121">
        <f t="shared" si="31"/>
        <v>5.3104950000000004</v>
      </c>
      <c r="I185" s="125">
        <f>[5]READEQUAÇÃO!N186</f>
        <v>5.3104950000000004</v>
      </c>
      <c r="J185" s="291"/>
      <c r="K185" s="125">
        <f t="shared" si="25"/>
        <v>0</v>
      </c>
      <c r="L185" s="125">
        <f t="shared" si="26"/>
        <v>1</v>
      </c>
      <c r="M185" s="291">
        <f t="shared" si="27"/>
        <v>5.3104950000000004</v>
      </c>
      <c r="N185" s="312">
        <f t="shared" si="28"/>
        <v>1</v>
      </c>
    </row>
    <row r="186" spans="1:14" ht="25.5">
      <c r="A186" s="140" t="s">
        <v>405</v>
      </c>
      <c r="B186" s="1" t="s">
        <v>406</v>
      </c>
      <c r="C186" s="117" t="s">
        <v>407</v>
      </c>
      <c r="D186" s="1" t="s">
        <v>19</v>
      </c>
      <c r="E186" s="1" t="s">
        <v>115</v>
      </c>
      <c r="F186" s="56">
        <v>11</v>
      </c>
      <c r="G186" s="56">
        <v>5.29</v>
      </c>
      <c r="H186" s="121">
        <f t="shared" si="31"/>
        <v>6.7368150000000009</v>
      </c>
      <c r="I186" s="125">
        <f>[5]READEQUAÇÃO!N187</f>
        <v>74.104965000000007</v>
      </c>
      <c r="J186" s="291"/>
      <c r="K186" s="125">
        <f t="shared" si="25"/>
        <v>0</v>
      </c>
      <c r="L186" s="125">
        <f t="shared" si="26"/>
        <v>11</v>
      </c>
      <c r="M186" s="291">
        <f t="shared" si="27"/>
        <v>74.104965000000007</v>
      </c>
      <c r="N186" s="312">
        <f t="shared" si="28"/>
        <v>1</v>
      </c>
    </row>
    <row r="187" spans="1:14" ht="38.25">
      <c r="A187" s="140" t="s">
        <v>408</v>
      </c>
      <c r="B187" s="1" t="s">
        <v>409</v>
      </c>
      <c r="C187" s="117" t="s">
        <v>410</v>
      </c>
      <c r="D187" s="1" t="s">
        <v>19</v>
      </c>
      <c r="E187" s="1" t="s">
        <v>115</v>
      </c>
      <c r="F187" s="56">
        <v>64</v>
      </c>
      <c r="G187" s="56">
        <v>5.89</v>
      </c>
      <c r="H187" s="121">
        <f t="shared" si="31"/>
        <v>7.500915</v>
      </c>
      <c r="I187" s="125">
        <f>[5]READEQUAÇÃO!N188</f>
        <v>480.05856</v>
      </c>
      <c r="J187" s="291"/>
      <c r="K187" s="125">
        <f t="shared" si="25"/>
        <v>0</v>
      </c>
      <c r="L187" s="125">
        <f t="shared" si="26"/>
        <v>64</v>
      </c>
      <c r="M187" s="291">
        <f t="shared" si="27"/>
        <v>480.05856</v>
      </c>
      <c r="N187" s="312">
        <f t="shared" si="28"/>
        <v>1</v>
      </c>
    </row>
    <row r="188" spans="1:14" ht="38.25">
      <c r="A188" s="140" t="s">
        <v>411</v>
      </c>
      <c r="B188" s="1" t="s">
        <v>412</v>
      </c>
      <c r="C188" s="117" t="s">
        <v>413</v>
      </c>
      <c r="D188" s="1" t="s">
        <v>19</v>
      </c>
      <c r="E188" s="1" t="s">
        <v>115</v>
      </c>
      <c r="F188" s="56">
        <v>5</v>
      </c>
      <c r="G188" s="56">
        <v>10.46</v>
      </c>
      <c r="H188" s="121">
        <f t="shared" si="31"/>
        <v>13.320810000000002</v>
      </c>
      <c r="I188" s="125">
        <f>[5]READEQUAÇÃO!N189</f>
        <v>66.604050000000001</v>
      </c>
      <c r="J188" s="291"/>
      <c r="K188" s="125">
        <f t="shared" si="25"/>
        <v>0</v>
      </c>
      <c r="L188" s="125">
        <f t="shared" si="26"/>
        <v>5</v>
      </c>
      <c r="M188" s="291">
        <f t="shared" si="27"/>
        <v>66.604050000000001</v>
      </c>
      <c r="N188" s="312">
        <f t="shared" si="28"/>
        <v>1</v>
      </c>
    </row>
    <row r="189" spans="1:14" ht="38.25">
      <c r="A189" s="140" t="s">
        <v>414</v>
      </c>
      <c r="B189" s="1" t="s">
        <v>415</v>
      </c>
      <c r="C189" s="117" t="s">
        <v>416</v>
      </c>
      <c r="D189" s="1" t="s">
        <v>19</v>
      </c>
      <c r="E189" s="1" t="s">
        <v>115</v>
      </c>
      <c r="F189" s="56">
        <v>20</v>
      </c>
      <c r="G189" s="56">
        <v>12.41</v>
      </c>
      <c r="H189" s="121">
        <f t="shared" si="31"/>
        <v>15.804135</v>
      </c>
      <c r="I189" s="125">
        <f>[5]READEQUAÇÃO!N190</f>
        <v>316.08269999999999</v>
      </c>
      <c r="J189" s="291"/>
      <c r="K189" s="125">
        <f t="shared" si="25"/>
        <v>0</v>
      </c>
      <c r="L189" s="125">
        <f t="shared" si="26"/>
        <v>20</v>
      </c>
      <c r="M189" s="291">
        <f t="shared" si="27"/>
        <v>316.08269999999999</v>
      </c>
      <c r="N189" s="312">
        <f t="shared" si="28"/>
        <v>1</v>
      </c>
    </row>
    <row r="190" spans="1:14" ht="38.25">
      <c r="A190" s="140" t="s">
        <v>417</v>
      </c>
      <c r="B190" s="1" t="s">
        <v>418</v>
      </c>
      <c r="C190" s="117" t="s">
        <v>419</v>
      </c>
      <c r="D190" s="1" t="s">
        <v>19</v>
      </c>
      <c r="E190" s="1" t="s">
        <v>115</v>
      </c>
      <c r="F190" s="56">
        <v>1</v>
      </c>
      <c r="G190" s="56">
        <v>8.6199999999999992</v>
      </c>
      <c r="H190" s="121">
        <f t="shared" si="31"/>
        <v>10.97757</v>
      </c>
      <c r="I190" s="125">
        <f>[5]READEQUAÇÃO!N191</f>
        <v>10.97757</v>
      </c>
      <c r="J190" s="291"/>
      <c r="K190" s="125">
        <f t="shared" si="25"/>
        <v>0</v>
      </c>
      <c r="L190" s="125">
        <f t="shared" si="26"/>
        <v>1</v>
      </c>
      <c r="M190" s="291">
        <f t="shared" si="27"/>
        <v>10.97757</v>
      </c>
      <c r="N190" s="312">
        <f t="shared" si="28"/>
        <v>1</v>
      </c>
    </row>
    <row r="191" spans="1:14" ht="38.25">
      <c r="A191" s="140" t="s">
        <v>420</v>
      </c>
      <c r="B191" s="1" t="s">
        <v>421</v>
      </c>
      <c r="C191" s="117" t="s">
        <v>422</v>
      </c>
      <c r="D191" s="1" t="s">
        <v>19</v>
      </c>
      <c r="E191" s="1" t="s">
        <v>115</v>
      </c>
      <c r="F191" s="56">
        <v>2</v>
      </c>
      <c r="G191" s="56">
        <v>15.64</v>
      </c>
      <c r="H191" s="121">
        <f t="shared" si="31"/>
        <v>19.917540000000002</v>
      </c>
      <c r="I191" s="125">
        <f>[5]READEQUAÇÃO!N192</f>
        <v>39.835080000000005</v>
      </c>
      <c r="J191" s="291"/>
      <c r="K191" s="125">
        <f t="shared" si="25"/>
        <v>0</v>
      </c>
      <c r="L191" s="125">
        <f t="shared" si="26"/>
        <v>2</v>
      </c>
      <c r="M191" s="291">
        <f t="shared" si="27"/>
        <v>39.835080000000005</v>
      </c>
      <c r="N191" s="312">
        <f t="shared" si="28"/>
        <v>1</v>
      </c>
    </row>
    <row r="192" spans="1:14" ht="38.25">
      <c r="A192" s="140" t="s">
        <v>423</v>
      </c>
      <c r="B192" s="1" t="s">
        <v>424</v>
      </c>
      <c r="C192" s="117" t="s">
        <v>425</v>
      </c>
      <c r="D192" s="1" t="s">
        <v>19</v>
      </c>
      <c r="E192" s="1" t="s">
        <v>115</v>
      </c>
      <c r="F192" s="56">
        <v>2</v>
      </c>
      <c r="G192" s="56">
        <v>6.91</v>
      </c>
      <c r="H192" s="121">
        <f t="shared" si="31"/>
        <v>8.7998850000000015</v>
      </c>
      <c r="I192" s="125">
        <f>[5]READEQUAÇÃO!N193</f>
        <v>17.599770000000003</v>
      </c>
      <c r="J192" s="291"/>
      <c r="K192" s="125">
        <f t="shared" si="25"/>
        <v>0</v>
      </c>
      <c r="L192" s="125">
        <f t="shared" si="26"/>
        <v>2</v>
      </c>
      <c r="M192" s="291">
        <f t="shared" si="27"/>
        <v>17.599770000000003</v>
      </c>
      <c r="N192" s="312">
        <f t="shared" si="28"/>
        <v>1</v>
      </c>
    </row>
    <row r="193" spans="1:14" ht="38.25">
      <c r="A193" s="140" t="s">
        <v>426</v>
      </c>
      <c r="B193" s="1" t="s">
        <v>427</v>
      </c>
      <c r="C193" s="117" t="s">
        <v>428</v>
      </c>
      <c r="D193" s="1" t="s">
        <v>19</v>
      </c>
      <c r="E193" s="1" t="s">
        <v>115</v>
      </c>
      <c r="F193" s="56">
        <v>22</v>
      </c>
      <c r="G193" s="56">
        <v>8.26</v>
      </c>
      <c r="H193" s="121">
        <f t="shared" si="31"/>
        <v>10.51911</v>
      </c>
      <c r="I193" s="125">
        <f>[5]READEQUAÇÃO!N194</f>
        <v>231.42041999999998</v>
      </c>
      <c r="J193" s="291"/>
      <c r="K193" s="125">
        <f t="shared" si="25"/>
        <v>0</v>
      </c>
      <c r="L193" s="125">
        <f t="shared" si="26"/>
        <v>22</v>
      </c>
      <c r="M193" s="291">
        <f t="shared" si="27"/>
        <v>231.42041999999998</v>
      </c>
      <c r="N193" s="312">
        <f t="shared" si="28"/>
        <v>1</v>
      </c>
    </row>
    <row r="194" spans="1:14" ht="38.25">
      <c r="A194" s="140" t="s">
        <v>429</v>
      </c>
      <c r="B194" s="1" t="s">
        <v>430</v>
      </c>
      <c r="C194" s="117" t="s">
        <v>431</v>
      </c>
      <c r="D194" s="1" t="s">
        <v>19</v>
      </c>
      <c r="E194" s="1" t="s">
        <v>115</v>
      </c>
      <c r="F194" s="56">
        <v>1</v>
      </c>
      <c r="G194" s="56">
        <v>16.8</v>
      </c>
      <c r="H194" s="121">
        <f t="shared" si="31"/>
        <v>21.394800000000004</v>
      </c>
      <c r="I194" s="125">
        <f>[5]READEQUAÇÃO!N195</f>
        <v>21.394800000000004</v>
      </c>
      <c r="J194" s="291"/>
      <c r="K194" s="125">
        <f t="shared" si="25"/>
        <v>0</v>
      </c>
      <c r="L194" s="125">
        <f t="shared" si="26"/>
        <v>1</v>
      </c>
      <c r="M194" s="291">
        <f t="shared" si="27"/>
        <v>21.394800000000004</v>
      </c>
      <c r="N194" s="312">
        <f t="shared" si="28"/>
        <v>1</v>
      </c>
    </row>
    <row r="195" spans="1:14" ht="51">
      <c r="A195" s="140" t="s">
        <v>432</v>
      </c>
      <c r="B195" s="1" t="s">
        <v>433</v>
      </c>
      <c r="C195" s="117" t="s">
        <v>434</v>
      </c>
      <c r="D195" s="1" t="s">
        <v>19</v>
      </c>
      <c r="E195" s="1" t="s">
        <v>115</v>
      </c>
      <c r="F195" s="56">
        <v>17</v>
      </c>
      <c r="G195" s="56">
        <v>18.010000000000002</v>
      </c>
      <c r="H195" s="121">
        <f t="shared" si="31"/>
        <v>22.935735000000005</v>
      </c>
      <c r="I195" s="125">
        <f>[5]READEQUAÇÃO!N196</f>
        <v>389.9074950000001</v>
      </c>
      <c r="J195" s="291"/>
      <c r="K195" s="125">
        <f t="shared" si="25"/>
        <v>0</v>
      </c>
      <c r="L195" s="125">
        <f t="shared" si="26"/>
        <v>17</v>
      </c>
      <c r="M195" s="291">
        <f t="shared" si="27"/>
        <v>389.9074950000001</v>
      </c>
      <c r="N195" s="312">
        <f t="shared" si="28"/>
        <v>1</v>
      </c>
    </row>
    <row r="196" spans="1:14" ht="38.25">
      <c r="A196" s="140" t="s">
        <v>435</v>
      </c>
      <c r="B196" s="1" t="s">
        <v>436</v>
      </c>
      <c r="C196" s="117" t="s">
        <v>437</v>
      </c>
      <c r="D196" s="1" t="s">
        <v>19</v>
      </c>
      <c r="E196" s="1" t="s">
        <v>20</v>
      </c>
      <c r="F196" s="56">
        <v>63.76</v>
      </c>
      <c r="G196" s="56">
        <v>6.01</v>
      </c>
      <c r="H196" s="121">
        <f t="shared" si="31"/>
        <v>7.6537350000000002</v>
      </c>
      <c r="I196" s="125">
        <f>[5]READEQUAÇÃO!N197</f>
        <v>488.00214360000001</v>
      </c>
      <c r="J196" s="291"/>
      <c r="K196" s="125">
        <f t="shared" si="25"/>
        <v>0</v>
      </c>
      <c r="L196" s="125">
        <f t="shared" si="26"/>
        <v>63.76</v>
      </c>
      <c r="M196" s="291">
        <f t="shared" si="27"/>
        <v>488.00214360000001</v>
      </c>
      <c r="N196" s="312">
        <f t="shared" si="28"/>
        <v>1</v>
      </c>
    </row>
    <row r="197" spans="1:14" ht="38.25">
      <c r="A197" s="140" t="s">
        <v>438</v>
      </c>
      <c r="B197" s="1" t="s">
        <v>439</v>
      </c>
      <c r="C197" s="117" t="s">
        <v>440</v>
      </c>
      <c r="D197" s="1" t="s">
        <v>19</v>
      </c>
      <c r="E197" s="1" t="s">
        <v>20</v>
      </c>
      <c r="F197" s="56">
        <v>148.68</v>
      </c>
      <c r="G197" s="56">
        <v>4.4000000000000004</v>
      </c>
      <c r="H197" s="121">
        <f t="shared" si="31"/>
        <v>5.6034000000000006</v>
      </c>
      <c r="I197" s="125">
        <f>[5]READEQUAÇÃO!N198</f>
        <v>833.11351200000013</v>
      </c>
      <c r="J197" s="291"/>
      <c r="K197" s="125">
        <f t="shared" si="25"/>
        <v>0</v>
      </c>
      <c r="L197" s="125">
        <f t="shared" si="26"/>
        <v>148.68</v>
      </c>
      <c r="M197" s="291">
        <f t="shared" si="27"/>
        <v>833.11351200000013</v>
      </c>
      <c r="N197" s="312">
        <f t="shared" si="28"/>
        <v>1</v>
      </c>
    </row>
    <row r="198" spans="1:14" ht="38.25">
      <c r="A198" s="140" t="s">
        <v>441</v>
      </c>
      <c r="B198" s="1" t="s">
        <v>442</v>
      </c>
      <c r="C198" s="117" t="s">
        <v>443</v>
      </c>
      <c r="D198" s="1" t="s">
        <v>19</v>
      </c>
      <c r="E198" s="1" t="s">
        <v>20</v>
      </c>
      <c r="F198" s="56">
        <v>28.03</v>
      </c>
      <c r="G198" s="56">
        <v>15.6</v>
      </c>
      <c r="H198" s="121">
        <f t="shared" si="31"/>
        <v>19.866600000000002</v>
      </c>
      <c r="I198" s="125">
        <f>[5]READEQUAÇÃO!N199</f>
        <v>556.86079800000005</v>
      </c>
      <c r="J198" s="291"/>
      <c r="K198" s="125">
        <f t="shared" si="25"/>
        <v>0</v>
      </c>
      <c r="L198" s="125">
        <f t="shared" si="26"/>
        <v>28.03</v>
      </c>
      <c r="M198" s="291">
        <f t="shared" si="27"/>
        <v>556.86079800000005</v>
      </c>
      <c r="N198" s="312">
        <f t="shared" si="28"/>
        <v>1</v>
      </c>
    </row>
    <row r="199" spans="1:14" ht="51">
      <c r="A199" s="140" t="s">
        <v>444</v>
      </c>
      <c r="B199" s="1" t="s">
        <v>445</v>
      </c>
      <c r="C199" s="117" t="s">
        <v>446</v>
      </c>
      <c r="D199" s="1" t="s">
        <v>19</v>
      </c>
      <c r="E199" s="1" t="s">
        <v>20</v>
      </c>
      <c r="F199" s="56">
        <v>65.42</v>
      </c>
      <c r="G199" s="56">
        <v>14.3</v>
      </c>
      <c r="H199" s="121">
        <f t="shared" si="31"/>
        <v>18.211050000000004</v>
      </c>
      <c r="I199" s="125">
        <f>[5]READEQUAÇÃO!N200</f>
        <v>1191.3668910000004</v>
      </c>
      <c r="J199" s="291"/>
      <c r="K199" s="125">
        <f t="shared" si="25"/>
        <v>0</v>
      </c>
      <c r="L199" s="125">
        <f t="shared" si="26"/>
        <v>65.42</v>
      </c>
      <c r="M199" s="291">
        <f t="shared" si="27"/>
        <v>1191.3668910000004</v>
      </c>
      <c r="N199" s="312">
        <f t="shared" si="28"/>
        <v>1</v>
      </c>
    </row>
    <row r="200" spans="1:14" ht="38.25">
      <c r="A200" s="140" t="s">
        <v>447</v>
      </c>
      <c r="B200" s="1" t="s">
        <v>448</v>
      </c>
      <c r="C200" s="117" t="s">
        <v>449</v>
      </c>
      <c r="D200" s="1" t="s">
        <v>19</v>
      </c>
      <c r="E200" s="1" t="s">
        <v>20</v>
      </c>
      <c r="F200" s="56">
        <v>38.299999999999997</v>
      </c>
      <c r="G200" s="56">
        <v>10.55</v>
      </c>
      <c r="H200" s="121">
        <f t="shared" si="31"/>
        <v>13.435425000000002</v>
      </c>
      <c r="I200" s="125">
        <f>[5]READEQUAÇÃO!N201</f>
        <v>514.57677750000005</v>
      </c>
      <c r="J200" s="291"/>
      <c r="K200" s="125">
        <f t="shared" si="25"/>
        <v>0</v>
      </c>
      <c r="L200" s="125">
        <f t="shared" si="26"/>
        <v>38.299999999999997</v>
      </c>
      <c r="M200" s="291">
        <f t="shared" si="27"/>
        <v>514.57677750000005</v>
      </c>
      <c r="N200" s="312">
        <f t="shared" si="28"/>
        <v>1</v>
      </c>
    </row>
    <row r="201" spans="1:14" ht="51">
      <c r="A201" s="140" t="s">
        <v>450</v>
      </c>
      <c r="B201" s="1" t="s">
        <v>451</v>
      </c>
      <c r="C201" s="117" t="s">
        <v>452</v>
      </c>
      <c r="D201" s="1" t="s">
        <v>19</v>
      </c>
      <c r="E201" s="1" t="s">
        <v>20</v>
      </c>
      <c r="F201" s="56">
        <v>30</v>
      </c>
      <c r="G201" s="56">
        <v>20.3</v>
      </c>
      <c r="H201" s="121">
        <f t="shared" si="31"/>
        <v>25.852050000000002</v>
      </c>
      <c r="I201" s="125">
        <f>[5]READEQUAÇÃO!N202</f>
        <v>775.56150000000002</v>
      </c>
      <c r="J201" s="291"/>
      <c r="K201" s="125">
        <f t="shared" si="25"/>
        <v>0</v>
      </c>
      <c r="L201" s="125">
        <f t="shared" si="26"/>
        <v>30</v>
      </c>
      <c r="M201" s="291">
        <f t="shared" si="27"/>
        <v>775.56150000000002</v>
      </c>
      <c r="N201" s="312">
        <f t="shared" si="28"/>
        <v>1</v>
      </c>
    </row>
    <row r="202" spans="1:14" ht="51">
      <c r="A202" s="140" t="s">
        <v>453</v>
      </c>
      <c r="B202" s="1" t="s">
        <v>454</v>
      </c>
      <c r="C202" s="117" t="s">
        <v>455</v>
      </c>
      <c r="D202" s="1" t="s">
        <v>19</v>
      </c>
      <c r="E202" s="1" t="s">
        <v>115</v>
      </c>
      <c r="F202" s="56">
        <v>10</v>
      </c>
      <c r="G202" s="56">
        <v>329.84</v>
      </c>
      <c r="H202" s="121">
        <f t="shared" si="31"/>
        <v>420.05124000000001</v>
      </c>
      <c r="I202" s="125">
        <f>[5]READEQUAÇÃO!N203</f>
        <v>4200.5123999999996</v>
      </c>
      <c r="J202" s="291"/>
      <c r="K202" s="125">
        <f t="shared" si="25"/>
        <v>0</v>
      </c>
      <c r="L202" s="125">
        <f t="shared" si="26"/>
        <v>10</v>
      </c>
      <c r="M202" s="291">
        <f t="shared" si="27"/>
        <v>4200.5123999999996</v>
      </c>
      <c r="N202" s="312">
        <f t="shared" si="28"/>
        <v>1</v>
      </c>
    </row>
    <row r="203" spans="1:14" ht="25.5">
      <c r="A203" s="140" t="s">
        <v>456</v>
      </c>
      <c r="B203" s="1" t="s">
        <v>457</v>
      </c>
      <c r="C203" s="117" t="s">
        <v>458</v>
      </c>
      <c r="D203" s="1" t="s">
        <v>19</v>
      </c>
      <c r="E203" s="1" t="s">
        <v>115</v>
      </c>
      <c r="F203" s="56">
        <v>10</v>
      </c>
      <c r="G203" s="56">
        <v>28.68</v>
      </c>
      <c r="H203" s="121">
        <f t="shared" si="31"/>
        <v>36.523980000000002</v>
      </c>
      <c r="I203" s="125">
        <f>[5]READEQUAÇÃO!N204</f>
        <v>365.2398</v>
      </c>
      <c r="J203" s="291"/>
      <c r="K203" s="125">
        <f t="shared" ref="K203:K264" si="32">J203*H203</f>
        <v>0</v>
      </c>
      <c r="L203" s="125">
        <f t="shared" ref="L203:L264" si="33">F203-J203</f>
        <v>10</v>
      </c>
      <c r="M203" s="291">
        <f t="shared" ref="M203:M264" si="34">L203*H203</f>
        <v>365.2398</v>
      </c>
      <c r="N203" s="312">
        <f t="shared" ref="N203:N264" si="35">(J203+L203)/F203</f>
        <v>1</v>
      </c>
    </row>
    <row r="204" spans="1:14" ht="25.5">
      <c r="A204" s="140" t="s">
        <v>459</v>
      </c>
      <c r="B204" s="1" t="s">
        <v>460</v>
      </c>
      <c r="C204" s="117" t="s">
        <v>461</v>
      </c>
      <c r="D204" s="1" t="s">
        <v>19</v>
      </c>
      <c r="E204" s="1" t="s">
        <v>115</v>
      </c>
      <c r="F204" s="56">
        <v>10</v>
      </c>
      <c r="G204" s="56">
        <v>86.47</v>
      </c>
      <c r="H204" s="121">
        <f t="shared" si="31"/>
        <v>110.119545</v>
      </c>
      <c r="I204" s="125">
        <f>[5]READEQUAÇÃO!N205</f>
        <v>1101.1954499999999</v>
      </c>
      <c r="J204" s="291"/>
      <c r="K204" s="125">
        <f t="shared" si="32"/>
        <v>0</v>
      </c>
      <c r="L204" s="125">
        <f t="shared" si="33"/>
        <v>10</v>
      </c>
      <c r="M204" s="291">
        <f t="shared" si="34"/>
        <v>1101.1954499999999</v>
      </c>
      <c r="N204" s="312">
        <f t="shared" si="35"/>
        <v>1</v>
      </c>
    </row>
    <row r="205" spans="1:14" ht="38.25">
      <c r="A205" s="140" t="s">
        <v>462</v>
      </c>
      <c r="B205" s="1" t="s">
        <v>463</v>
      </c>
      <c r="C205" s="117" t="s">
        <v>464</v>
      </c>
      <c r="D205" s="1" t="s">
        <v>19</v>
      </c>
      <c r="E205" s="1" t="s">
        <v>115</v>
      </c>
      <c r="F205" s="56">
        <v>2</v>
      </c>
      <c r="G205" s="56">
        <v>6.61</v>
      </c>
      <c r="H205" s="121">
        <f t="shared" si="31"/>
        <v>8.4178350000000002</v>
      </c>
      <c r="I205" s="125">
        <f>[5]READEQUAÇÃO!N206</f>
        <v>16.83567</v>
      </c>
      <c r="J205" s="291"/>
      <c r="K205" s="125">
        <f t="shared" si="32"/>
        <v>0</v>
      </c>
      <c r="L205" s="125">
        <f t="shared" si="33"/>
        <v>2</v>
      </c>
      <c r="M205" s="291">
        <f t="shared" si="34"/>
        <v>16.83567</v>
      </c>
      <c r="N205" s="312">
        <f t="shared" si="35"/>
        <v>1</v>
      </c>
    </row>
    <row r="206" spans="1:14" ht="38.25">
      <c r="A206" s="140" t="s">
        <v>465</v>
      </c>
      <c r="B206" s="1" t="s">
        <v>466</v>
      </c>
      <c r="C206" s="117" t="s">
        <v>467</v>
      </c>
      <c r="D206" s="1" t="s">
        <v>19</v>
      </c>
      <c r="E206" s="1" t="s">
        <v>115</v>
      </c>
      <c r="F206" s="56">
        <v>3</v>
      </c>
      <c r="G206" s="56">
        <v>451.43</v>
      </c>
      <c r="H206" s="121">
        <f t="shared" si="31"/>
        <v>574.89610500000003</v>
      </c>
      <c r="I206" s="125">
        <f>[5]READEQUAÇÃO!N207</f>
        <v>1724.6883150000001</v>
      </c>
      <c r="J206" s="291"/>
      <c r="K206" s="125">
        <f t="shared" si="32"/>
        <v>0</v>
      </c>
      <c r="L206" s="125">
        <f t="shared" si="33"/>
        <v>3</v>
      </c>
      <c r="M206" s="291">
        <f t="shared" si="34"/>
        <v>1724.6883150000001</v>
      </c>
      <c r="N206" s="312">
        <f t="shared" si="35"/>
        <v>1</v>
      </c>
    </row>
    <row r="207" spans="1:14" ht="25.5">
      <c r="A207" s="140" t="s">
        <v>468</v>
      </c>
      <c r="B207" s="1" t="s">
        <v>469</v>
      </c>
      <c r="C207" s="117" t="s">
        <v>470</v>
      </c>
      <c r="D207" s="1" t="s">
        <v>19</v>
      </c>
      <c r="E207" s="1" t="s">
        <v>115</v>
      </c>
      <c r="F207" s="56">
        <v>4</v>
      </c>
      <c r="G207" s="56">
        <v>20.2</v>
      </c>
      <c r="H207" s="121">
        <f t="shared" si="31"/>
        <v>25.724700000000002</v>
      </c>
      <c r="I207" s="125">
        <f>[5]READEQUAÇÃO!N208</f>
        <v>102.89880000000001</v>
      </c>
      <c r="J207" s="291"/>
      <c r="K207" s="125">
        <f t="shared" si="32"/>
        <v>0</v>
      </c>
      <c r="L207" s="125">
        <f t="shared" si="33"/>
        <v>4</v>
      </c>
      <c r="M207" s="291">
        <f t="shared" si="34"/>
        <v>102.89880000000001</v>
      </c>
      <c r="N207" s="312">
        <f t="shared" si="35"/>
        <v>1</v>
      </c>
    </row>
    <row r="208" spans="1:14" ht="51">
      <c r="A208" s="140" t="s">
        <v>471</v>
      </c>
      <c r="B208" s="1" t="s">
        <v>472</v>
      </c>
      <c r="C208" s="117" t="s">
        <v>473</v>
      </c>
      <c r="D208" s="1" t="s">
        <v>19</v>
      </c>
      <c r="E208" s="1" t="s">
        <v>115</v>
      </c>
      <c r="F208" s="56">
        <v>1</v>
      </c>
      <c r="G208" s="56">
        <v>136.12</v>
      </c>
      <c r="H208" s="121">
        <f t="shared" si="31"/>
        <v>173.34882000000002</v>
      </c>
      <c r="I208" s="125">
        <f>[5]READEQUAÇÃO!N209</f>
        <v>173.34882000000002</v>
      </c>
      <c r="J208" s="291"/>
      <c r="K208" s="125">
        <f t="shared" si="32"/>
        <v>0</v>
      </c>
      <c r="L208" s="125">
        <f t="shared" si="33"/>
        <v>1</v>
      </c>
      <c r="M208" s="291">
        <f t="shared" si="34"/>
        <v>173.34882000000002</v>
      </c>
      <c r="N208" s="312">
        <f t="shared" si="35"/>
        <v>1</v>
      </c>
    </row>
    <row r="209" spans="1:14" ht="51">
      <c r="A209" s="140" t="s">
        <v>474</v>
      </c>
      <c r="B209" s="1" t="s">
        <v>475</v>
      </c>
      <c r="C209" s="117" t="s">
        <v>476</v>
      </c>
      <c r="D209" s="1" t="s">
        <v>19</v>
      </c>
      <c r="E209" s="1" t="s">
        <v>115</v>
      </c>
      <c r="F209" s="56">
        <v>4</v>
      </c>
      <c r="G209" s="56">
        <v>187.71</v>
      </c>
      <c r="H209" s="121">
        <f t="shared" si="31"/>
        <v>239.04868500000003</v>
      </c>
      <c r="I209" s="125">
        <f>[5]READEQUAÇÃO!N210</f>
        <v>956.19474000000014</v>
      </c>
      <c r="J209" s="291"/>
      <c r="K209" s="125">
        <f t="shared" si="32"/>
        <v>0</v>
      </c>
      <c r="L209" s="125">
        <f t="shared" si="33"/>
        <v>4</v>
      </c>
      <c r="M209" s="291">
        <f t="shared" si="34"/>
        <v>956.19474000000014</v>
      </c>
      <c r="N209" s="312">
        <f t="shared" si="35"/>
        <v>1</v>
      </c>
    </row>
    <row r="210" spans="1:14" ht="38.25">
      <c r="A210" s="140" t="s">
        <v>477</v>
      </c>
      <c r="B210" s="1" t="s">
        <v>478</v>
      </c>
      <c r="C210" s="117" t="s">
        <v>479</v>
      </c>
      <c r="D210" s="1" t="s">
        <v>19</v>
      </c>
      <c r="E210" s="1" t="s">
        <v>115</v>
      </c>
      <c r="F210" s="56">
        <v>4</v>
      </c>
      <c r="G210" s="56">
        <v>64.790000000000006</v>
      </c>
      <c r="H210" s="121">
        <f t="shared" si="31"/>
        <v>82.510065000000012</v>
      </c>
      <c r="I210" s="125">
        <f>[5]READEQUAÇÃO!N211</f>
        <v>330.04026000000005</v>
      </c>
      <c r="J210" s="291"/>
      <c r="K210" s="125">
        <f t="shared" si="32"/>
        <v>0</v>
      </c>
      <c r="L210" s="125">
        <f t="shared" si="33"/>
        <v>4</v>
      </c>
      <c r="M210" s="291">
        <f t="shared" si="34"/>
        <v>330.04026000000005</v>
      </c>
      <c r="N210" s="312">
        <f t="shared" si="35"/>
        <v>1</v>
      </c>
    </row>
    <row r="211" spans="1:14" ht="51">
      <c r="A211" s="140" t="s">
        <v>480</v>
      </c>
      <c r="B211" s="1" t="s">
        <v>481</v>
      </c>
      <c r="C211" s="117" t="s">
        <v>482</v>
      </c>
      <c r="D211" s="1" t="s">
        <v>19</v>
      </c>
      <c r="E211" s="1" t="s">
        <v>115</v>
      </c>
      <c r="F211" s="56">
        <v>8</v>
      </c>
      <c r="G211" s="56">
        <v>148.03</v>
      </c>
      <c r="H211" s="121">
        <f t="shared" si="31"/>
        <v>188.51620500000001</v>
      </c>
      <c r="I211" s="125">
        <f>[5]READEQUAÇÃO!N212</f>
        <v>1508.1296400000001</v>
      </c>
      <c r="J211" s="291"/>
      <c r="K211" s="125">
        <f t="shared" si="32"/>
        <v>0</v>
      </c>
      <c r="L211" s="125">
        <f t="shared" si="33"/>
        <v>8</v>
      </c>
      <c r="M211" s="291">
        <f t="shared" si="34"/>
        <v>1508.1296400000001</v>
      </c>
      <c r="N211" s="312">
        <f t="shared" si="35"/>
        <v>1</v>
      </c>
    </row>
    <row r="212" spans="1:14" ht="38.25">
      <c r="A212" s="140" t="s">
        <v>483</v>
      </c>
      <c r="B212" s="1" t="s">
        <v>484</v>
      </c>
      <c r="C212" s="117" t="s">
        <v>485</v>
      </c>
      <c r="D212" s="1" t="s">
        <v>19</v>
      </c>
      <c r="E212" s="1" t="s">
        <v>115</v>
      </c>
      <c r="F212" s="56">
        <v>8</v>
      </c>
      <c r="G212" s="56">
        <v>55.37</v>
      </c>
      <c r="H212" s="121">
        <f t="shared" si="31"/>
        <v>70.513694999999998</v>
      </c>
      <c r="I212" s="125">
        <f>[5]READEQUAÇÃO!N213</f>
        <v>564.10955999999999</v>
      </c>
      <c r="J212" s="291"/>
      <c r="K212" s="125">
        <f t="shared" si="32"/>
        <v>0</v>
      </c>
      <c r="L212" s="125">
        <f t="shared" si="33"/>
        <v>8</v>
      </c>
      <c r="M212" s="291">
        <f t="shared" si="34"/>
        <v>564.10955999999999</v>
      </c>
      <c r="N212" s="312">
        <f t="shared" si="35"/>
        <v>1</v>
      </c>
    </row>
    <row r="213" spans="1:14" ht="38.25">
      <c r="A213" s="140" t="s">
        <v>486</v>
      </c>
      <c r="B213" s="1" t="s">
        <v>487</v>
      </c>
      <c r="C213" s="117" t="s">
        <v>488</v>
      </c>
      <c r="D213" s="1" t="s">
        <v>19</v>
      </c>
      <c r="E213" s="1" t="s">
        <v>115</v>
      </c>
      <c r="F213" s="56">
        <v>1</v>
      </c>
      <c r="G213" s="56">
        <v>26.81</v>
      </c>
      <c r="H213" s="121">
        <f t="shared" si="31"/>
        <v>34.142535000000002</v>
      </c>
      <c r="I213" s="125">
        <f>[5]READEQUAÇÃO!N214</f>
        <v>34.142535000000002</v>
      </c>
      <c r="J213" s="291"/>
      <c r="K213" s="125">
        <f t="shared" si="32"/>
        <v>0</v>
      </c>
      <c r="L213" s="125">
        <f t="shared" si="33"/>
        <v>1</v>
      </c>
      <c r="M213" s="291">
        <f t="shared" si="34"/>
        <v>34.142535000000002</v>
      </c>
      <c r="N213" s="312">
        <f t="shared" si="35"/>
        <v>1</v>
      </c>
    </row>
    <row r="214" spans="1:14" ht="38.25">
      <c r="A214" s="140" t="s">
        <v>489</v>
      </c>
      <c r="B214" s="1" t="s">
        <v>490</v>
      </c>
      <c r="C214" s="117" t="s">
        <v>491</v>
      </c>
      <c r="D214" s="1" t="s">
        <v>19</v>
      </c>
      <c r="E214" s="1" t="s">
        <v>115</v>
      </c>
      <c r="F214" s="56">
        <v>2</v>
      </c>
      <c r="G214" s="56">
        <v>190.7</v>
      </c>
      <c r="H214" s="121">
        <f t="shared" si="31"/>
        <v>242.85645</v>
      </c>
      <c r="I214" s="125">
        <f>[5]READEQUAÇÃO!N215</f>
        <v>485.71289999999999</v>
      </c>
      <c r="J214" s="291"/>
      <c r="K214" s="125">
        <f t="shared" si="32"/>
        <v>0</v>
      </c>
      <c r="L214" s="125">
        <f t="shared" si="33"/>
        <v>2</v>
      </c>
      <c r="M214" s="291">
        <f t="shared" si="34"/>
        <v>485.71289999999999</v>
      </c>
      <c r="N214" s="312">
        <f t="shared" si="35"/>
        <v>1</v>
      </c>
    </row>
    <row r="215" spans="1:14" ht="38.25">
      <c r="A215" s="140" t="s">
        <v>492</v>
      </c>
      <c r="B215" s="1" t="s">
        <v>493</v>
      </c>
      <c r="C215" s="117" t="s">
        <v>494</v>
      </c>
      <c r="D215" s="1" t="s">
        <v>19</v>
      </c>
      <c r="E215" s="1" t="s">
        <v>115</v>
      </c>
      <c r="F215" s="56">
        <v>8</v>
      </c>
      <c r="G215" s="56">
        <v>177.5</v>
      </c>
      <c r="H215" s="121">
        <f t="shared" si="31"/>
        <v>226.04625000000001</v>
      </c>
      <c r="I215" s="125">
        <f>[5]READEQUAÇÃO!N216</f>
        <v>1808.3700000000001</v>
      </c>
      <c r="J215" s="291"/>
      <c r="K215" s="125">
        <f t="shared" si="32"/>
        <v>0</v>
      </c>
      <c r="L215" s="125">
        <f t="shared" si="33"/>
        <v>8</v>
      </c>
      <c r="M215" s="291">
        <f t="shared" si="34"/>
        <v>1808.3700000000001</v>
      </c>
      <c r="N215" s="312">
        <f t="shared" si="35"/>
        <v>1</v>
      </c>
    </row>
    <row r="216" spans="1:14" ht="76.5">
      <c r="A216" s="140" t="s">
        <v>495</v>
      </c>
      <c r="B216" s="1" t="s">
        <v>496</v>
      </c>
      <c r="C216" s="117" t="s">
        <v>497</v>
      </c>
      <c r="D216" s="1" t="s">
        <v>19</v>
      </c>
      <c r="E216" s="1" t="s">
        <v>115</v>
      </c>
      <c r="F216" s="56">
        <v>2</v>
      </c>
      <c r="G216" s="56">
        <v>165.39</v>
      </c>
      <c r="H216" s="121">
        <f t="shared" si="31"/>
        <v>210.624165</v>
      </c>
      <c r="I216" s="125">
        <f>[5]READEQUAÇÃO!N217</f>
        <v>421.24833000000001</v>
      </c>
      <c r="J216" s="291"/>
      <c r="K216" s="125">
        <f t="shared" si="32"/>
        <v>0</v>
      </c>
      <c r="L216" s="125">
        <f t="shared" si="33"/>
        <v>2</v>
      </c>
      <c r="M216" s="291">
        <f t="shared" si="34"/>
        <v>421.24833000000001</v>
      </c>
      <c r="N216" s="312">
        <f t="shared" si="35"/>
        <v>1</v>
      </c>
    </row>
    <row r="217" spans="1:14" ht="25.5">
      <c r="A217" s="140" t="s">
        <v>498</v>
      </c>
      <c r="B217" s="1" t="s">
        <v>499</v>
      </c>
      <c r="C217" s="117" t="s">
        <v>500</v>
      </c>
      <c r="D217" s="1" t="s">
        <v>19</v>
      </c>
      <c r="E217" s="1" t="s">
        <v>115</v>
      </c>
      <c r="F217" s="56">
        <v>10</v>
      </c>
      <c r="G217" s="56">
        <v>22.08</v>
      </c>
      <c r="H217" s="121">
        <f t="shared" si="31"/>
        <v>28.118880000000001</v>
      </c>
      <c r="I217" s="125">
        <f>[5]READEQUAÇÃO!N218</f>
        <v>281.18880000000001</v>
      </c>
      <c r="J217" s="291"/>
      <c r="K217" s="125">
        <f t="shared" si="32"/>
        <v>0</v>
      </c>
      <c r="L217" s="125">
        <f t="shared" si="33"/>
        <v>10</v>
      </c>
      <c r="M217" s="291">
        <f t="shared" si="34"/>
        <v>281.18880000000001</v>
      </c>
      <c r="N217" s="312">
        <f t="shared" si="35"/>
        <v>1</v>
      </c>
    </row>
    <row r="218" spans="1:14" ht="25.5">
      <c r="A218" s="140" t="s">
        <v>501</v>
      </c>
      <c r="B218" s="1" t="s">
        <v>502</v>
      </c>
      <c r="C218" s="117" t="s">
        <v>503</v>
      </c>
      <c r="D218" s="1" t="s">
        <v>19</v>
      </c>
      <c r="E218" s="1" t="s">
        <v>115</v>
      </c>
      <c r="F218" s="56">
        <v>2</v>
      </c>
      <c r="G218" s="56">
        <v>117.18</v>
      </c>
      <c r="H218" s="121">
        <f t="shared" si="31"/>
        <v>149.22873000000001</v>
      </c>
      <c r="I218" s="125">
        <f>[5]READEQUAÇÃO!N219</f>
        <v>298.45746000000003</v>
      </c>
      <c r="J218" s="291"/>
      <c r="K218" s="125">
        <f t="shared" si="32"/>
        <v>0</v>
      </c>
      <c r="L218" s="125">
        <f t="shared" si="33"/>
        <v>2</v>
      </c>
      <c r="M218" s="291">
        <f t="shared" si="34"/>
        <v>298.45746000000003</v>
      </c>
      <c r="N218" s="312">
        <f t="shared" si="35"/>
        <v>1</v>
      </c>
    </row>
    <row r="219" spans="1:14" ht="25.5">
      <c r="A219" s="140" t="s">
        <v>504</v>
      </c>
      <c r="B219" s="1" t="s">
        <v>505</v>
      </c>
      <c r="C219" s="117" t="s">
        <v>506</v>
      </c>
      <c r="D219" s="1" t="s">
        <v>19</v>
      </c>
      <c r="E219" s="1" t="s">
        <v>115</v>
      </c>
      <c r="F219" s="56">
        <v>1</v>
      </c>
      <c r="G219" s="56">
        <v>84.73</v>
      </c>
      <c r="H219" s="121">
        <f t="shared" si="31"/>
        <v>107.90365500000001</v>
      </c>
      <c r="I219" s="125">
        <f>[5]READEQUAÇÃO!N220</f>
        <v>107.90365500000001</v>
      </c>
      <c r="J219" s="291"/>
      <c r="K219" s="125">
        <f t="shared" si="32"/>
        <v>0</v>
      </c>
      <c r="L219" s="125">
        <f t="shared" si="33"/>
        <v>1</v>
      </c>
      <c r="M219" s="291">
        <f t="shared" si="34"/>
        <v>107.90365500000001</v>
      </c>
      <c r="N219" s="312">
        <f t="shared" si="35"/>
        <v>1</v>
      </c>
    </row>
    <row r="220" spans="1:14" ht="25.5">
      <c r="A220" s="140" t="s">
        <v>507</v>
      </c>
      <c r="B220" s="1" t="s">
        <v>508</v>
      </c>
      <c r="C220" s="117" t="s">
        <v>509</v>
      </c>
      <c r="D220" s="1" t="s">
        <v>19</v>
      </c>
      <c r="E220" s="1" t="s">
        <v>115</v>
      </c>
      <c r="F220" s="56">
        <v>1</v>
      </c>
      <c r="G220" s="56">
        <v>28.98</v>
      </c>
      <c r="H220" s="121">
        <f t="shared" si="31"/>
        <v>36.906030000000001</v>
      </c>
      <c r="I220" s="125">
        <f>[5]READEQUAÇÃO!N221</f>
        <v>36.906030000000001</v>
      </c>
      <c r="J220" s="291"/>
      <c r="K220" s="125">
        <f t="shared" si="32"/>
        <v>0</v>
      </c>
      <c r="L220" s="125">
        <f t="shared" si="33"/>
        <v>1</v>
      </c>
      <c r="M220" s="291">
        <f t="shared" si="34"/>
        <v>36.906030000000001</v>
      </c>
      <c r="N220" s="312">
        <f t="shared" si="35"/>
        <v>1</v>
      </c>
    </row>
    <row r="221" spans="1:14" ht="25.5">
      <c r="A221" s="140" t="s">
        <v>510</v>
      </c>
      <c r="B221" s="1" t="s">
        <v>511</v>
      </c>
      <c r="C221" s="117" t="s">
        <v>512</v>
      </c>
      <c r="D221" s="1" t="s">
        <v>19</v>
      </c>
      <c r="E221" s="1" t="s">
        <v>115</v>
      </c>
      <c r="F221" s="56">
        <v>13</v>
      </c>
      <c r="G221" s="56">
        <v>31.62</v>
      </c>
      <c r="H221" s="121">
        <f t="shared" si="31"/>
        <v>40.268070000000002</v>
      </c>
      <c r="I221" s="125">
        <f>[5]READEQUAÇÃO!N222</f>
        <v>523.48491000000001</v>
      </c>
      <c r="J221" s="291"/>
      <c r="K221" s="125">
        <f t="shared" si="32"/>
        <v>0</v>
      </c>
      <c r="L221" s="125">
        <f t="shared" si="33"/>
        <v>13</v>
      </c>
      <c r="M221" s="291">
        <f t="shared" si="34"/>
        <v>523.48491000000001</v>
      </c>
      <c r="N221" s="312">
        <f t="shared" si="35"/>
        <v>1</v>
      </c>
    </row>
    <row r="222" spans="1:14" ht="51">
      <c r="A222" s="140" t="s">
        <v>513</v>
      </c>
      <c r="B222" s="1" t="s">
        <v>514</v>
      </c>
      <c r="C222" s="117" t="s">
        <v>515</v>
      </c>
      <c r="D222" s="1" t="s">
        <v>19</v>
      </c>
      <c r="E222" s="1" t="s">
        <v>115</v>
      </c>
      <c r="F222" s="56">
        <v>2</v>
      </c>
      <c r="G222" s="56">
        <v>71.67</v>
      </c>
      <c r="H222" s="121">
        <f t="shared" si="31"/>
        <v>91.27174500000001</v>
      </c>
      <c r="I222" s="125">
        <f>[5]READEQUAÇÃO!N223</f>
        <v>182.54349000000002</v>
      </c>
      <c r="J222" s="291"/>
      <c r="K222" s="125">
        <f t="shared" si="32"/>
        <v>0</v>
      </c>
      <c r="L222" s="125">
        <f t="shared" si="33"/>
        <v>2</v>
      </c>
      <c r="M222" s="291">
        <f t="shared" si="34"/>
        <v>182.54349000000002</v>
      </c>
      <c r="N222" s="312">
        <f t="shared" si="35"/>
        <v>1</v>
      </c>
    </row>
    <row r="223" spans="1:14" ht="38.25">
      <c r="A223" s="140" t="s">
        <v>516</v>
      </c>
      <c r="B223" s="1" t="s">
        <v>517</v>
      </c>
      <c r="C223" s="117" t="s">
        <v>518</v>
      </c>
      <c r="D223" s="1" t="s">
        <v>19</v>
      </c>
      <c r="E223" s="1" t="s">
        <v>115</v>
      </c>
      <c r="F223" s="56">
        <v>20</v>
      </c>
      <c r="G223" s="56">
        <v>27.64</v>
      </c>
      <c r="H223" s="121">
        <f t="shared" si="31"/>
        <v>35.199540000000006</v>
      </c>
      <c r="I223" s="125">
        <f>[5]READEQUAÇÃO!N224</f>
        <v>703.99080000000015</v>
      </c>
      <c r="J223" s="291"/>
      <c r="K223" s="125">
        <f t="shared" si="32"/>
        <v>0</v>
      </c>
      <c r="L223" s="125">
        <f t="shared" si="33"/>
        <v>20</v>
      </c>
      <c r="M223" s="291">
        <f t="shared" si="34"/>
        <v>703.99080000000015</v>
      </c>
      <c r="N223" s="312">
        <f t="shared" si="35"/>
        <v>1</v>
      </c>
    </row>
    <row r="224" spans="1:14" ht="51">
      <c r="A224" s="140" t="s">
        <v>519</v>
      </c>
      <c r="B224" s="1" t="s">
        <v>520</v>
      </c>
      <c r="C224" s="117" t="s">
        <v>521</v>
      </c>
      <c r="D224" s="1" t="s">
        <v>19</v>
      </c>
      <c r="E224" s="1" t="s">
        <v>115</v>
      </c>
      <c r="F224" s="56">
        <v>12</v>
      </c>
      <c r="G224" s="56">
        <v>5.69</v>
      </c>
      <c r="H224" s="121">
        <f t="shared" si="31"/>
        <v>7.2462150000000012</v>
      </c>
      <c r="I224" s="125">
        <f>[5]READEQUAÇÃO!N225</f>
        <v>86.954580000000021</v>
      </c>
      <c r="J224" s="291"/>
      <c r="K224" s="125">
        <f t="shared" si="32"/>
        <v>0</v>
      </c>
      <c r="L224" s="125">
        <f t="shared" si="33"/>
        <v>12</v>
      </c>
      <c r="M224" s="291">
        <f t="shared" si="34"/>
        <v>86.954580000000021</v>
      </c>
      <c r="N224" s="312">
        <f t="shared" si="35"/>
        <v>1</v>
      </c>
    </row>
    <row r="225" spans="1:14" ht="51">
      <c r="A225" s="140" t="s">
        <v>522</v>
      </c>
      <c r="B225" s="1" t="s">
        <v>523</v>
      </c>
      <c r="C225" s="117" t="s">
        <v>524</v>
      </c>
      <c r="D225" s="1" t="s">
        <v>19</v>
      </c>
      <c r="E225" s="1" t="s">
        <v>115</v>
      </c>
      <c r="F225" s="56">
        <v>5</v>
      </c>
      <c r="G225" s="56">
        <v>14.24</v>
      </c>
      <c r="H225" s="121">
        <f t="shared" si="31"/>
        <v>18.134640000000001</v>
      </c>
      <c r="I225" s="125">
        <f>[5]READEQUAÇÃO!N226</f>
        <v>90.673200000000008</v>
      </c>
      <c r="J225" s="291"/>
      <c r="K225" s="125">
        <f t="shared" si="32"/>
        <v>0</v>
      </c>
      <c r="L225" s="125">
        <f t="shared" si="33"/>
        <v>5</v>
      </c>
      <c r="M225" s="291">
        <f t="shared" si="34"/>
        <v>90.673200000000008</v>
      </c>
      <c r="N225" s="312">
        <f t="shared" si="35"/>
        <v>1</v>
      </c>
    </row>
    <row r="226" spans="1:14" ht="51">
      <c r="A226" s="140" t="s">
        <v>525</v>
      </c>
      <c r="B226" s="1" t="s">
        <v>526</v>
      </c>
      <c r="C226" s="117" t="s">
        <v>527</v>
      </c>
      <c r="D226" s="1" t="s">
        <v>19</v>
      </c>
      <c r="E226" s="1" t="s">
        <v>115</v>
      </c>
      <c r="F226" s="56">
        <v>36</v>
      </c>
      <c r="G226" s="56">
        <v>7.4</v>
      </c>
      <c r="H226" s="121">
        <f t="shared" si="31"/>
        <v>9.4239000000000015</v>
      </c>
      <c r="I226" s="125">
        <f>[5]READEQUAÇÃO!N227</f>
        <v>339.26040000000006</v>
      </c>
      <c r="J226" s="291"/>
      <c r="K226" s="125">
        <f t="shared" si="32"/>
        <v>0</v>
      </c>
      <c r="L226" s="125">
        <f t="shared" si="33"/>
        <v>36</v>
      </c>
      <c r="M226" s="291">
        <f t="shared" si="34"/>
        <v>339.26040000000006</v>
      </c>
      <c r="N226" s="312">
        <f t="shared" si="35"/>
        <v>1</v>
      </c>
    </row>
    <row r="227" spans="1:14" ht="51">
      <c r="A227" s="140" t="s">
        <v>528</v>
      </c>
      <c r="B227" s="1" t="s">
        <v>529</v>
      </c>
      <c r="C227" s="117" t="s">
        <v>530</v>
      </c>
      <c r="D227" s="1" t="s">
        <v>19</v>
      </c>
      <c r="E227" s="1" t="s">
        <v>115</v>
      </c>
      <c r="F227" s="56">
        <v>14</v>
      </c>
      <c r="G227" s="56">
        <v>5.12</v>
      </c>
      <c r="H227" s="121">
        <f t="shared" si="31"/>
        <v>6.5203200000000008</v>
      </c>
      <c r="I227" s="125">
        <f>[5]READEQUAÇÃO!N228</f>
        <v>91.284480000000016</v>
      </c>
      <c r="J227" s="291"/>
      <c r="K227" s="125">
        <f t="shared" si="32"/>
        <v>0</v>
      </c>
      <c r="L227" s="125">
        <f t="shared" si="33"/>
        <v>14</v>
      </c>
      <c r="M227" s="291">
        <f t="shared" si="34"/>
        <v>91.284480000000016</v>
      </c>
      <c r="N227" s="312">
        <f t="shared" si="35"/>
        <v>1</v>
      </c>
    </row>
    <row r="228" spans="1:14" ht="51">
      <c r="A228" s="140" t="s">
        <v>531</v>
      </c>
      <c r="B228" s="1" t="s">
        <v>532</v>
      </c>
      <c r="C228" s="117" t="s">
        <v>533</v>
      </c>
      <c r="D228" s="1" t="s">
        <v>19</v>
      </c>
      <c r="E228" s="1" t="s">
        <v>115</v>
      </c>
      <c r="F228" s="56">
        <v>10</v>
      </c>
      <c r="G228" s="56">
        <v>18.22</v>
      </c>
      <c r="H228" s="121">
        <f t="shared" si="31"/>
        <v>23.20317</v>
      </c>
      <c r="I228" s="125">
        <f>[5]READEQUAÇÃO!N229</f>
        <v>232.0317</v>
      </c>
      <c r="J228" s="291"/>
      <c r="K228" s="125">
        <f t="shared" si="32"/>
        <v>0</v>
      </c>
      <c r="L228" s="125">
        <f t="shared" si="33"/>
        <v>10</v>
      </c>
      <c r="M228" s="291">
        <f t="shared" si="34"/>
        <v>232.0317</v>
      </c>
      <c r="N228" s="312">
        <f t="shared" si="35"/>
        <v>1</v>
      </c>
    </row>
    <row r="229" spans="1:14" ht="51">
      <c r="A229" s="140" t="s">
        <v>534</v>
      </c>
      <c r="B229" s="1" t="s">
        <v>535</v>
      </c>
      <c r="C229" s="117" t="s">
        <v>536</v>
      </c>
      <c r="D229" s="1" t="s">
        <v>19</v>
      </c>
      <c r="E229" s="1" t="s">
        <v>115</v>
      </c>
      <c r="F229" s="56">
        <v>1</v>
      </c>
      <c r="G229" s="56">
        <v>13.18</v>
      </c>
      <c r="H229" s="121">
        <f t="shared" si="31"/>
        <v>16.78473</v>
      </c>
      <c r="I229" s="125">
        <f>[5]READEQUAÇÃO!N230</f>
        <v>16.78473</v>
      </c>
      <c r="J229" s="291"/>
      <c r="K229" s="125">
        <f t="shared" si="32"/>
        <v>0</v>
      </c>
      <c r="L229" s="125">
        <f t="shared" si="33"/>
        <v>1</v>
      </c>
      <c r="M229" s="291">
        <f t="shared" si="34"/>
        <v>16.78473</v>
      </c>
      <c r="N229" s="312">
        <f t="shared" si="35"/>
        <v>1</v>
      </c>
    </row>
    <row r="230" spans="1:14" ht="25.5">
      <c r="A230" s="140" t="s">
        <v>537</v>
      </c>
      <c r="B230" s="1" t="s">
        <v>538</v>
      </c>
      <c r="C230" s="117" t="s">
        <v>539</v>
      </c>
      <c r="D230" s="1" t="s">
        <v>19</v>
      </c>
      <c r="E230" s="1" t="s">
        <v>115</v>
      </c>
      <c r="F230" s="56">
        <v>8</v>
      </c>
      <c r="G230" s="56">
        <v>15.03</v>
      </c>
      <c r="H230" s="121">
        <f t="shared" si="31"/>
        <v>19.140705000000001</v>
      </c>
      <c r="I230" s="125">
        <f>[5]READEQUAÇÃO!N231</f>
        <v>153.12564</v>
      </c>
      <c r="J230" s="291"/>
      <c r="K230" s="125">
        <f t="shared" si="32"/>
        <v>0</v>
      </c>
      <c r="L230" s="125">
        <f t="shared" si="33"/>
        <v>8</v>
      </c>
      <c r="M230" s="291">
        <f t="shared" si="34"/>
        <v>153.12564</v>
      </c>
      <c r="N230" s="312">
        <f t="shared" si="35"/>
        <v>1</v>
      </c>
    </row>
    <row r="231" spans="1:14" ht="25.5">
      <c r="A231" s="140" t="s">
        <v>540</v>
      </c>
      <c r="B231" s="1" t="s">
        <v>541</v>
      </c>
      <c r="C231" s="117" t="s">
        <v>542</v>
      </c>
      <c r="D231" s="1" t="s">
        <v>19</v>
      </c>
      <c r="E231" s="1" t="s">
        <v>115</v>
      </c>
      <c r="F231" s="56">
        <v>1</v>
      </c>
      <c r="G231" s="56">
        <v>21.66</v>
      </c>
      <c r="H231" s="121">
        <f t="shared" si="31"/>
        <v>27.584010000000003</v>
      </c>
      <c r="I231" s="125">
        <f>[5]READEQUAÇÃO!N232</f>
        <v>27.584010000000003</v>
      </c>
      <c r="J231" s="291"/>
      <c r="K231" s="125">
        <f t="shared" si="32"/>
        <v>0</v>
      </c>
      <c r="L231" s="125">
        <f t="shared" si="33"/>
        <v>1</v>
      </c>
      <c r="M231" s="291">
        <f t="shared" si="34"/>
        <v>27.584010000000003</v>
      </c>
      <c r="N231" s="312">
        <f t="shared" si="35"/>
        <v>1</v>
      </c>
    </row>
    <row r="232" spans="1:14" ht="63.75">
      <c r="A232" s="140" t="s">
        <v>543</v>
      </c>
      <c r="B232" s="1" t="s">
        <v>544</v>
      </c>
      <c r="C232" s="117" t="s">
        <v>545</v>
      </c>
      <c r="D232" s="1" t="s">
        <v>19</v>
      </c>
      <c r="E232" s="1" t="s">
        <v>115</v>
      </c>
      <c r="F232" s="56">
        <v>5</v>
      </c>
      <c r="G232" s="56">
        <v>35.950000000000003</v>
      </c>
      <c r="H232" s="121">
        <f t="shared" si="31"/>
        <v>45.782325000000007</v>
      </c>
      <c r="I232" s="125">
        <f>[5]READEQUAÇÃO!N233</f>
        <v>228.91162500000004</v>
      </c>
      <c r="J232" s="291"/>
      <c r="K232" s="125">
        <f t="shared" si="32"/>
        <v>0</v>
      </c>
      <c r="L232" s="125">
        <f t="shared" si="33"/>
        <v>5</v>
      </c>
      <c r="M232" s="291">
        <f t="shared" si="34"/>
        <v>228.91162500000004</v>
      </c>
      <c r="N232" s="312">
        <f t="shared" si="35"/>
        <v>1</v>
      </c>
    </row>
    <row r="233" spans="1:14" ht="51">
      <c r="A233" s="140" t="s">
        <v>546</v>
      </c>
      <c r="B233" s="1" t="s">
        <v>547</v>
      </c>
      <c r="C233" s="117" t="s">
        <v>548</v>
      </c>
      <c r="D233" s="1" t="s">
        <v>19</v>
      </c>
      <c r="E233" s="1" t="s">
        <v>115</v>
      </c>
      <c r="F233" s="56">
        <v>20</v>
      </c>
      <c r="G233" s="56">
        <v>5.17</v>
      </c>
      <c r="H233" s="121">
        <f t="shared" si="31"/>
        <v>6.5839950000000007</v>
      </c>
      <c r="I233" s="125">
        <f>[5]READEQUAÇÃO!N234</f>
        <v>131.6799</v>
      </c>
      <c r="J233" s="291"/>
      <c r="K233" s="125">
        <f t="shared" si="32"/>
        <v>0</v>
      </c>
      <c r="L233" s="125">
        <f t="shared" si="33"/>
        <v>20</v>
      </c>
      <c r="M233" s="291">
        <f t="shared" si="34"/>
        <v>131.6799</v>
      </c>
      <c r="N233" s="312">
        <f t="shared" si="35"/>
        <v>1</v>
      </c>
    </row>
    <row r="234" spans="1:14" ht="51">
      <c r="A234" s="140" t="s">
        <v>549</v>
      </c>
      <c r="B234" s="1" t="s">
        <v>550</v>
      </c>
      <c r="C234" s="117" t="s">
        <v>551</v>
      </c>
      <c r="D234" s="1" t="s">
        <v>19</v>
      </c>
      <c r="E234" s="1" t="s">
        <v>115</v>
      </c>
      <c r="F234" s="56">
        <v>4</v>
      </c>
      <c r="G234" s="56">
        <v>9.14</v>
      </c>
      <c r="H234" s="121">
        <f t="shared" si="31"/>
        <v>11.639790000000001</v>
      </c>
      <c r="I234" s="125">
        <f>[5]READEQUAÇÃO!N235</f>
        <v>46.559160000000006</v>
      </c>
      <c r="J234" s="291"/>
      <c r="K234" s="125">
        <f t="shared" si="32"/>
        <v>0</v>
      </c>
      <c r="L234" s="125">
        <f t="shared" si="33"/>
        <v>4</v>
      </c>
      <c r="M234" s="291">
        <f t="shared" si="34"/>
        <v>46.559160000000006</v>
      </c>
      <c r="N234" s="312">
        <f t="shared" si="35"/>
        <v>1</v>
      </c>
    </row>
    <row r="235" spans="1:14" ht="51">
      <c r="A235" s="140" t="s">
        <v>552</v>
      </c>
      <c r="B235" s="1" t="s">
        <v>553</v>
      </c>
      <c r="C235" s="117" t="s">
        <v>554</v>
      </c>
      <c r="D235" s="1" t="s">
        <v>19</v>
      </c>
      <c r="E235" s="1" t="s">
        <v>115</v>
      </c>
      <c r="F235" s="56">
        <v>17</v>
      </c>
      <c r="G235" s="56">
        <v>13.97</v>
      </c>
      <c r="H235" s="121">
        <f t="shared" si="31"/>
        <v>17.790795000000003</v>
      </c>
      <c r="I235" s="125">
        <f>[5]READEQUAÇÃO!N236</f>
        <v>302.44351500000005</v>
      </c>
      <c r="J235" s="291"/>
      <c r="K235" s="125">
        <f t="shared" si="32"/>
        <v>0</v>
      </c>
      <c r="L235" s="125">
        <f t="shared" si="33"/>
        <v>17</v>
      </c>
      <c r="M235" s="291">
        <f t="shared" si="34"/>
        <v>302.44351500000005</v>
      </c>
      <c r="N235" s="312">
        <f t="shared" si="35"/>
        <v>1</v>
      </c>
    </row>
    <row r="236" spans="1:14" ht="51">
      <c r="A236" s="140" t="s">
        <v>555</v>
      </c>
      <c r="B236" s="1" t="s">
        <v>556</v>
      </c>
      <c r="C236" s="117" t="s">
        <v>557</v>
      </c>
      <c r="D236" s="1" t="s">
        <v>19</v>
      </c>
      <c r="E236" s="1" t="s">
        <v>115</v>
      </c>
      <c r="F236" s="56">
        <v>11</v>
      </c>
      <c r="G236" s="56">
        <v>11.55</v>
      </c>
      <c r="H236" s="121">
        <f t="shared" si="31"/>
        <v>14.708925000000002</v>
      </c>
      <c r="I236" s="125">
        <f>[5]READEQUAÇÃO!N237</f>
        <v>161.79817500000001</v>
      </c>
      <c r="J236" s="291"/>
      <c r="K236" s="125">
        <f t="shared" si="32"/>
        <v>0</v>
      </c>
      <c r="L236" s="125">
        <f t="shared" si="33"/>
        <v>11</v>
      </c>
      <c r="M236" s="291">
        <f t="shared" si="34"/>
        <v>161.79817500000001</v>
      </c>
      <c r="N236" s="312">
        <f t="shared" si="35"/>
        <v>1</v>
      </c>
    </row>
    <row r="237" spans="1:14" ht="25.5">
      <c r="A237" s="140" t="s">
        <v>558</v>
      </c>
      <c r="B237" s="1" t="s">
        <v>559</v>
      </c>
      <c r="C237" s="117" t="s">
        <v>560</v>
      </c>
      <c r="D237" s="1" t="s">
        <v>19</v>
      </c>
      <c r="E237" s="1" t="s">
        <v>115</v>
      </c>
      <c r="F237" s="56">
        <v>1</v>
      </c>
      <c r="G237" s="56">
        <v>12.86</v>
      </c>
      <c r="H237" s="121">
        <f t="shared" si="31"/>
        <v>16.377210000000002</v>
      </c>
      <c r="I237" s="125">
        <f>[5]READEQUAÇÃO!N238</f>
        <v>16.377210000000002</v>
      </c>
      <c r="J237" s="291"/>
      <c r="K237" s="125">
        <f t="shared" si="32"/>
        <v>0</v>
      </c>
      <c r="L237" s="125">
        <f t="shared" si="33"/>
        <v>1</v>
      </c>
      <c r="M237" s="291">
        <f t="shared" si="34"/>
        <v>16.377210000000002</v>
      </c>
      <c r="N237" s="312">
        <f t="shared" si="35"/>
        <v>1</v>
      </c>
    </row>
    <row r="238" spans="1:14" ht="25.5">
      <c r="A238" s="140" t="s">
        <v>561</v>
      </c>
      <c r="B238" s="1" t="s">
        <v>562</v>
      </c>
      <c r="C238" s="117" t="s">
        <v>563</v>
      </c>
      <c r="D238" s="1" t="s">
        <v>19</v>
      </c>
      <c r="E238" s="1" t="s">
        <v>115</v>
      </c>
      <c r="F238" s="56">
        <v>4</v>
      </c>
      <c r="G238" s="56">
        <v>14.75</v>
      </c>
      <c r="H238" s="121">
        <f t="shared" si="31"/>
        <v>18.784125</v>
      </c>
      <c r="I238" s="125">
        <f>[5]READEQUAÇÃO!N239</f>
        <v>75.136499999999998</v>
      </c>
      <c r="J238" s="291"/>
      <c r="K238" s="125">
        <f t="shared" si="32"/>
        <v>0</v>
      </c>
      <c r="L238" s="125">
        <f t="shared" si="33"/>
        <v>4</v>
      </c>
      <c r="M238" s="291">
        <f t="shared" si="34"/>
        <v>75.136499999999998</v>
      </c>
      <c r="N238" s="312">
        <f t="shared" si="35"/>
        <v>1</v>
      </c>
    </row>
    <row r="239" spans="1:14">
      <c r="A239" s="140"/>
      <c r="B239" s="2"/>
      <c r="C239" s="118"/>
      <c r="D239" s="2"/>
      <c r="E239" s="2"/>
      <c r="F239" s="57"/>
      <c r="G239" s="57"/>
      <c r="H239" s="122"/>
      <c r="I239" s="127">
        <f>SUM(I179:I238)</f>
        <v>30647.858192099982</v>
      </c>
      <c r="J239" s="127">
        <f t="shared" ref="J239:M239" si="36">SUM(J179:J238)</f>
        <v>0</v>
      </c>
      <c r="K239" s="127">
        <f t="shared" si="36"/>
        <v>0</v>
      </c>
      <c r="L239" s="127"/>
      <c r="M239" s="127">
        <f t="shared" si="36"/>
        <v>30647.858192099982</v>
      </c>
      <c r="N239" s="312"/>
    </row>
    <row r="240" spans="1:14" s="144" customFormat="1">
      <c r="A240" s="140"/>
      <c r="B240" s="162"/>
      <c r="C240" s="163"/>
      <c r="D240" s="141"/>
      <c r="E240" s="141"/>
      <c r="F240" s="142"/>
      <c r="G240" s="142"/>
      <c r="H240" s="143"/>
      <c r="I240" s="164"/>
      <c r="J240" s="293"/>
      <c r="K240" s="125">
        <f t="shared" si="32"/>
        <v>0</v>
      </c>
      <c r="L240" s="125">
        <f t="shared" si="33"/>
        <v>0</v>
      </c>
      <c r="M240" s="291">
        <f t="shared" si="34"/>
        <v>0</v>
      </c>
      <c r="N240" s="312"/>
    </row>
    <row r="241" spans="1:16" ht="20.100000000000001" customHeight="1">
      <c r="A241" s="230" t="s">
        <v>564</v>
      </c>
      <c r="B241" s="367" t="s">
        <v>565</v>
      </c>
      <c r="C241" s="368"/>
      <c r="D241" s="146"/>
      <c r="E241" s="146"/>
      <c r="F241" s="146"/>
      <c r="G241" s="146"/>
      <c r="H241" s="146"/>
      <c r="I241" s="146"/>
      <c r="J241" s="146"/>
      <c r="K241" s="146"/>
      <c r="L241" s="296"/>
      <c r="M241" s="296"/>
      <c r="N241" s="312"/>
    </row>
    <row r="242" spans="1:16" ht="25.5">
      <c r="A242" s="140" t="s">
        <v>566</v>
      </c>
      <c r="B242" s="1" t="s">
        <v>567</v>
      </c>
      <c r="C242" s="117" t="s">
        <v>568</v>
      </c>
      <c r="D242" s="1" t="s">
        <v>19</v>
      </c>
      <c r="E242" s="1" t="s">
        <v>67</v>
      </c>
      <c r="F242" s="56">
        <v>2197.91</v>
      </c>
      <c r="G242" s="56">
        <v>2.1800000000000002</v>
      </c>
      <c r="H242" s="121">
        <f t="shared" ref="H242:H250" si="37">G242*$O$10</f>
        <v>2.7762300000000004</v>
      </c>
      <c r="I242" s="125">
        <f>[5]READEQUAÇÃO!N243</f>
        <v>6101.9036793000005</v>
      </c>
      <c r="J242" s="291"/>
      <c r="K242" s="125">
        <f t="shared" si="32"/>
        <v>0</v>
      </c>
      <c r="L242" s="125">
        <f t="shared" si="33"/>
        <v>2197.91</v>
      </c>
      <c r="M242" s="291">
        <f t="shared" si="34"/>
        <v>6101.9036793000005</v>
      </c>
      <c r="N242" s="312">
        <f t="shared" si="35"/>
        <v>1</v>
      </c>
    </row>
    <row r="243" spans="1:16" ht="25.5">
      <c r="A243" s="140" t="s">
        <v>569</v>
      </c>
      <c r="B243" s="1" t="s">
        <v>570</v>
      </c>
      <c r="C243" s="117" t="s">
        <v>571</v>
      </c>
      <c r="D243" s="1" t="s">
        <v>19</v>
      </c>
      <c r="E243" s="1" t="s">
        <v>67</v>
      </c>
      <c r="F243" s="56">
        <v>653.14</v>
      </c>
      <c r="G243" s="56">
        <v>1.89</v>
      </c>
      <c r="H243" s="121">
        <f t="shared" si="37"/>
        <v>2.4069150000000001</v>
      </c>
      <c r="I243" s="125">
        <f>[5]READEQUAÇÃO!N244</f>
        <v>1572.0524631000001</v>
      </c>
      <c r="J243" s="291"/>
      <c r="K243" s="125">
        <f t="shared" si="32"/>
        <v>0</v>
      </c>
      <c r="L243" s="125">
        <f t="shared" si="33"/>
        <v>653.14</v>
      </c>
      <c r="M243" s="291">
        <f t="shared" si="34"/>
        <v>1572.0524631000001</v>
      </c>
      <c r="N243" s="312">
        <f t="shared" si="35"/>
        <v>1</v>
      </c>
    </row>
    <row r="244" spans="1:16" ht="25.5">
      <c r="A244" s="140" t="s">
        <v>572</v>
      </c>
      <c r="B244" s="1" t="s">
        <v>573</v>
      </c>
      <c r="C244" s="117" t="s">
        <v>574</v>
      </c>
      <c r="D244" s="1" t="s">
        <v>19</v>
      </c>
      <c r="E244" s="1" t="s">
        <v>67</v>
      </c>
      <c r="F244" s="56">
        <v>653.14</v>
      </c>
      <c r="G244" s="56">
        <v>13.66</v>
      </c>
      <c r="H244" s="121">
        <f t="shared" si="37"/>
        <v>17.39601</v>
      </c>
      <c r="I244" s="125">
        <f>[5]READEQUAÇÃO!N245</f>
        <v>11362.029971399999</v>
      </c>
      <c r="J244" s="291"/>
      <c r="K244" s="125">
        <f t="shared" si="32"/>
        <v>0</v>
      </c>
      <c r="L244" s="125">
        <f t="shared" si="33"/>
        <v>653.14</v>
      </c>
      <c r="M244" s="291">
        <f t="shared" si="34"/>
        <v>11362.029971399999</v>
      </c>
      <c r="N244" s="312">
        <f t="shared" si="35"/>
        <v>1</v>
      </c>
    </row>
    <row r="245" spans="1:16" ht="39.75" customHeight="1">
      <c r="A245" s="140" t="s">
        <v>575</v>
      </c>
      <c r="B245" s="1" t="s">
        <v>576</v>
      </c>
      <c r="C245" s="117" t="s">
        <v>577</v>
      </c>
      <c r="D245" s="1" t="s">
        <v>10</v>
      </c>
      <c r="E245" s="1" t="s">
        <v>11</v>
      </c>
      <c r="F245" s="56">
        <v>1933.7</v>
      </c>
      <c r="G245" s="56">
        <v>13.49</v>
      </c>
      <c r="H245" s="121">
        <f t="shared" si="37"/>
        <v>17.179515000000002</v>
      </c>
      <c r="I245" s="125">
        <f>[5]READEQUAÇÃO!N246</f>
        <v>33220.028155500004</v>
      </c>
      <c r="J245" s="291"/>
      <c r="K245" s="125">
        <f t="shared" si="32"/>
        <v>0</v>
      </c>
      <c r="L245" s="125">
        <f t="shared" si="33"/>
        <v>1933.7</v>
      </c>
      <c r="M245" s="291">
        <f t="shared" si="34"/>
        <v>33220.028155500004</v>
      </c>
      <c r="N245" s="312">
        <f t="shared" si="35"/>
        <v>1</v>
      </c>
    </row>
    <row r="246" spans="1:16" ht="38.25">
      <c r="A246" s="140" t="s">
        <v>578</v>
      </c>
      <c r="B246" s="1" t="s">
        <v>579</v>
      </c>
      <c r="C246" s="117" t="s">
        <v>580</v>
      </c>
      <c r="D246" s="1" t="s">
        <v>19</v>
      </c>
      <c r="E246" s="1" t="s">
        <v>67</v>
      </c>
      <c r="F246" s="56">
        <v>2197.91</v>
      </c>
      <c r="G246" s="56">
        <v>9.89</v>
      </c>
      <c r="H246" s="121">
        <f t="shared" si="37"/>
        <v>12.594915000000002</v>
      </c>
      <c r="I246" s="125">
        <f>[5]READEQUAÇÃO!N247</f>
        <v>27682.489627650004</v>
      </c>
      <c r="J246" s="291"/>
      <c r="K246" s="125">
        <f t="shared" si="32"/>
        <v>0</v>
      </c>
      <c r="L246" s="125">
        <f t="shared" si="33"/>
        <v>2197.91</v>
      </c>
      <c r="M246" s="291">
        <f t="shared" si="34"/>
        <v>27682.489627650004</v>
      </c>
      <c r="N246" s="312">
        <f t="shared" si="35"/>
        <v>1</v>
      </c>
    </row>
    <row r="247" spans="1:16" ht="25.5">
      <c r="A247" s="140" t="s">
        <v>581</v>
      </c>
      <c r="B247" s="1" t="s">
        <v>582</v>
      </c>
      <c r="C247" s="117" t="s">
        <v>583</v>
      </c>
      <c r="D247" s="1" t="s">
        <v>19</v>
      </c>
      <c r="E247" s="1" t="s">
        <v>67</v>
      </c>
      <c r="F247" s="56">
        <v>653.14</v>
      </c>
      <c r="G247" s="56">
        <v>11.23</v>
      </c>
      <c r="H247" s="121">
        <f t="shared" si="37"/>
        <v>14.301405000000001</v>
      </c>
      <c r="I247" s="125">
        <f>[5]READEQUAÇÃO!N248</f>
        <v>9340.8196617000012</v>
      </c>
      <c r="J247" s="291"/>
      <c r="K247" s="125">
        <f t="shared" si="32"/>
        <v>0</v>
      </c>
      <c r="L247" s="125">
        <f t="shared" si="33"/>
        <v>653.14</v>
      </c>
      <c r="M247" s="291">
        <f t="shared" si="34"/>
        <v>9340.8196617000012</v>
      </c>
      <c r="N247" s="312">
        <f t="shared" si="35"/>
        <v>1</v>
      </c>
    </row>
    <row r="248" spans="1:16" ht="38.25">
      <c r="A248" s="140" t="s">
        <v>584</v>
      </c>
      <c r="B248" s="1" t="s">
        <v>585</v>
      </c>
      <c r="C248" s="117" t="s">
        <v>586</v>
      </c>
      <c r="D248" s="1" t="s">
        <v>19</v>
      </c>
      <c r="E248" s="1" t="s">
        <v>67</v>
      </c>
      <c r="F248" s="56">
        <v>69.72</v>
      </c>
      <c r="G248" s="56">
        <v>9.9700000000000006</v>
      </c>
      <c r="H248" s="121">
        <f t="shared" si="37"/>
        <v>12.696795000000002</v>
      </c>
      <c r="I248" s="125">
        <f>[5]READEQUAÇÃO!N249</f>
        <v>885.2205474000001</v>
      </c>
      <c r="J248" s="291"/>
      <c r="K248" s="125">
        <f t="shared" si="32"/>
        <v>0</v>
      </c>
      <c r="L248" s="125">
        <f t="shared" si="33"/>
        <v>69.72</v>
      </c>
      <c r="M248" s="291">
        <f t="shared" si="34"/>
        <v>885.2205474000001</v>
      </c>
      <c r="N248" s="312">
        <f t="shared" si="35"/>
        <v>1</v>
      </c>
    </row>
    <row r="249" spans="1:16" ht="63.75">
      <c r="A249" s="140" t="s">
        <v>587</v>
      </c>
      <c r="B249" s="1" t="s">
        <v>588</v>
      </c>
      <c r="C249" s="117" t="s">
        <v>589</v>
      </c>
      <c r="D249" s="1" t="s">
        <v>19</v>
      </c>
      <c r="E249" s="1" t="s">
        <v>67</v>
      </c>
      <c r="F249" s="56">
        <v>64.91</v>
      </c>
      <c r="G249" s="56">
        <v>8.27</v>
      </c>
      <c r="H249" s="121">
        <f t="shared" si="37"/>
        <v>10.531845000000001</v>
      </c>
      <c r="I249" s="125">
        <f>[5]READEQUAÇÃO!N250</f>
        <v>683.62205895</v>
      </c>
      <c r="J249" s="291"/>
      <c r="K249" s="125">
        <f t="shared" si="32"/>
        <v>0</v>
      </c>
      <c r="L249" s="125">
        <f t="shared" si="33"/>
        <v>64.91</v>
      </c>
      <c r="M249" s="291">
        <f t="shared" si="34"/>
        <v>683.62205895</v>
      </c>
      <c r="N249" s="312">
        <f t="shared" si="35"/>
        <v>1</v>
      </c>
    </row>
    <row r="250" spans="1:16" ht="51">
      <c r="A250" s="140" t="s">
        <v>590</v>
      </c>
      <c r="B250" s="1" t="s">
        <v>591</v>
      </c>
      <c r="C250" s="117" t="s">
        <v>592</v>
      </c>
      <c r="D250" s="1" t="s">
        <v>19</v>
      </c>
      <c r="E250" s="1" t="s">
        <v>67</v>
      </c>
      <c r="F250" s="56">
        <v>64.91</v>
      </c>
      <c r="G250" s="56">
        <v>6.5</v>
      </c>
      <c r="H250" s="121">
        <f t="shared" si="37"/>
        <v>8.2777500000000011</v>
      </c>
      <c r="I250" s="125">
        <f>[5]READEQUAÇÃO!N251</f>
        <v>537.30875250000008</v>
      </c>
      <c r="J250" s="291"/>
      <c r="K250" s="125">
        <f t="shared" si="32"/>
        <v>0</v>
      </c>
      <c r="L250" s="125">
        <f t="shared" si="33"/>
        <v>64.91</v>
      </c>
      <c r="M250" s="291">
        <f t="shared" si="34"/>
        <v>537.30875250000008</v>
      </c>
      <c r="N250" s="312">
        <f t="shared" si="35"/>
        <v>1</v>
      </c>
    </row>
    <row r="251" spans="1:16">
      <c r="A251" s="140"/>
      <c r="B251" s="2"/>
      <c r="C251" s="118"/>
      <c r="D251" s="2"/>
      <c r="E251" s="2"/>
      <c r="F251" s="57"/>
      <c r="G251" s="57"/>
      <c r="H251" s="122"/>
      <c r="I251" s="127">
        <f>SUM(I242:I250)</f>
        <v>91385.474917500003</v>
      </c>
      <c r="J251" s="127">
        <f t="shared" ref="J251:M251" si="38">SUM(J242:J250)</f>
        <v>0</v>
      </c>
      <c r="K251" s="127">
        <f t="shared" si="38"/>
        <v>0</v>
      </c>
      <c r="L251" s="127"/>
      <c r="M251" s="127">
        <f t="shared" si="38"/>
        <v>91385.474917500003</v>
      </c>
      <c r="N251" s="312"/>
    </row>
    <row r="252" spans="1:16" s="144" customFormat="1">
      <c r="A252" s="140"/>
      <c r="B252" s="162"/>
      <c r="C252" s="163"/>
      <c r="D252" s="141"/>
      <c r="E252" s="141"/>
      <c r="F252" s="142"/>
      <c r="G252" s="142"/>
      <c r="H252" s="143"/>
      <c r="I252" s="164"/>
      <c r="J252" s="293"/>
      <c r="K252" s="125">
        <f t="shared" si="32"/>
        <v>0</v>
      </c>
      <c r="L252" s="125">
        <f t="shared" si="33"/>
        <v>0</v>
      </c>
      <c r="M252" s="291">
        <f t="shared" si="34"/>
        <v>0</v>
      </c>
      <c r="N252" s="312"/>
    </row>
    <row r="253" spans="1:16" ht="20.100000000000001" customHeight="1">
      <c r="A253" s="230" t="s">
        <v>593</v>
      </c>
      <c r="B253" s="367" t="s">
        <v>594</v>
      </c>
      <c r="C253" s="368"/>
      <c r="D253" s="146"/>
      <c r="E253" s="146"/>
      <c r="F253" s="146"/>
      <c r="G253" s="146"/>
      <c r="H253" s="146"/>
      <c r="I253" s="146"/>
      <c r="J253" s="146"/>
      <c r="K253" s="146"/>
      <c r="L253" s="296"/>
      <c r="M253" s="296"/>
      <c r="N253" s="312"/>
    </row>
    <row r="254" spans="1:16">
      <c r="A254" s="140" t="s">
        <v>595</v>
      </c>
      <c r="B254" s="1" t="s">
        <v>596</v>
      </c>
      <c r="C254" s="117" t="s">
        <v>597</v>
      </c>
      <c r="D254" s="1" t="s">
        <v>10</v>
      </c>
      <c r="E254" s="1" t="s">
        <v>11</v>
      </c>
      <c r="F254" s="56">
        <v>1046.48</v>
      </c>
      <c r="G254" s="56">
        <v>1.86</v>
      </c>
      <c r="H254" s="121">
        <f>G254*$O$10</f>
        <v>2.3687100000000001</v>
      </c>
      <c r="I254" s="125">
        <f>[5]READEQUAÇÃO!N255</f>
        <v>2478.8076408000002</v>
      </c>
      <c r="J254" s="291"/>
      <c r="K254" s="125">
        <f t="shared" si="32"/>
        <v>0</v>
      </c>
      <c r="L254" s="125">
        <f t="shared" si="33"/>
        <v>1046.48</v>
      </c>
      <c r="M254" s="291">
        <f t="shared" si="34"/>
        <v>2478.8076408000002</v>
      </c>
      <c r="N254" s="312">
        <f t="shared" si="35"/>
        <v>1</v>
      </c>
    </row>
    <row r="255" spans="1:16">
      <c r="A255" s="140" t="s">
        <v>598</v>
      </c>
      <c r="B255" s="1" t="s">
        <v>599</v>
      </c>
      <c r="C255" s="117" t="s">
        <v>600</v>
      </c>
      <c r="D255" s="1" t="s">
        <v>10</v>
      </c>
      <c r="E255" s="1" t="s">
        <v>131</v>
      </c>
      <c r="F255" s="56">
        <v>7</v>
      </c>
      <c r="G255" s="56">
        <v>466.47</v>
      </c>
      <c r="H255" s="121">
        <f>G255*$O$10</f>
        <v>594.04954500000008</v>
      </c>
      <c r="I255" s="125">
        <f t="shared" ref="I255:I264" si="39">H255*F255</f>
        <v>4158.3468150000008</v>
      </c>
      <c r="J255" s="291"/>
      <c r="K255" s="125">
        <f t="shared" si="32"/>
        <v>0</v>
      </c>
      <c r="L255" s="125">
        <f t="shared" si="33"/>
        <v>7</v>
      </c>
      <c r="M255" s="291">
        <f t="shared" si="34"/>
        <v>4158.3468150000008</v>
      </c>
      <c r="N255" s="312">
        <f t="shared" si="35"/>
        <v>1</v>
      </c>
    </row>
    <row r="256" spans="1:16" s="137" customFormat="1" ht="76.5">
      <c r="A256" s="140" t="s">
        <v>807</v>
      </c>
      <c r="B256" s="133">
        <v>87503</v>
      </c>
      <c r="C256" s="139" t="s">
        <v>66</v>
      </c>
      <c r="D256" s="133" t="s">
        <v>19</v>
      </c>
      <c r="E256" s="133" t="s">
        <v>67</v>
      </c>
      <c r="F256" s="135">
        <v>26.54</v>
      </c>
      <c r="G256" s="135">
        <v>52.58</v>
      </c>
      <c r="H256" s="136">
        <f t="shared" ref="H256:H264" si="40">G256*$O$10*$P$7</f>
        <v>58.255748099999998</v>
      </c>
      <c r="I256" s="125">
        <f t="shared" si="39"/>
        <v>1546.107554574</v>
      </c>
      <c r="J256" s="291"/>
      <c r="K256" s="125">
        <f t="shared" si="32"/>
        <v>0</v>
      </c>
      <c r="L256" s="125">
        <f t="shared" si="33"/>
        <v>26.54</v>
      </c>
      <c r="M256" s="291">
        <f t="shared" si="34"/>
        <v>1546.107554574</v>
      </c>
      <c r="N256" s="312">
        <f t="shared" si="35"/>
        <v>1</v>
      </c>
      <c r="O256" s="144"/>
      <c r="P256" s="144"/>
    </row>
    <row r="257" spans="1:16" s="137" customFormat="1" ht="38.25">
      <c r="A257" s="140" t="s">
        <v>808</v>
      </c>
      <c r="B257" s="133">
        <v>94319</v>
      </c>
      <c r="C257" s="139" t="s">
        <v>28</v>
      </c>
      <c r="D257" s="133" t="s">
        <v>19</v>
      </c>
      <c r="E257" s="133" t="s">
        <v>29</v>
      </c>
      <c r="F257" s="135">
        <v>30.48</v>
      </c>
      <c r="G257" s="135">
        <v>30.08</v>
      </c>
      <c r="H257" s="136">
        <f t="shared" si="40"/>
        <v>33.3269856</v>
      </c>
      <c r="I257" s="125">
        <f t="shared" si="39"/>
        <v>1015.8065210880001</v>
      </c>
      <c r="J257" s="291"/>
      <c r="K257" s="125">
        <f t="shared" si="32"/>
        <v>0</v>
      </c>
      <c r="L257" s="125">
        <f t="shared" si="33"/>
        <v>30.48</v>
      </c>
      <c r="M257" s="291">
        <f t="shared" si="34"/>
        <v>1015.8065210880001</v>
      </c>
      <c r="N257" s="312">
        <f t="shared" si="35"/>
        <v>1</v>
      </c>
      <c r="O257" s="144"/>
      <c r="P257" s="144"/>
    </row>
    <row r="258" spans="1:16" s="137" customFormat="1" ht="60">
      <c r="A258" s="140" t="s">
        <v>809</v>
      </c>
      <c r="B258" s="133">
        <v>94992</v>
      </c>
      <c r="C258" s="138" t="s">
        <v>875</v>
      </c>
      <c r="D258" s="133" t="s">
        <v>19</v>
      </c>
      <c r="E258" s="133" t="s">
        <v>67</v>
      </c>
      <c r="F258" s="135">
        <v>40.64</v>
      </c>
      <c r="G258" s="135">
        <v>65.216600999999997</v>
      </c>
      <c r="H258" s="136">
        <f t="shared" si="40"/>
        <v>72.25640699494501</v>
      </c>
      <c r="I258" s="125">
        <f t="shared" si="39"/>
        <v>2936.500380274565</v>
      </c>
      <c r="J258" s="291"/>
      <c r="K258" s="125">
        <f t="shared" si="32"/>
        <v>0</v>
      </c>
      <c r="L258" s="125">
        <f t="shared" si="33"/>
        <v>40.64</v>
      </c>
      <c r="M258" s="291">
        <f t="shared" si="34"/>
        <v>2936.500380274565</v>
      </c>
      <c r="N258" s="312">
        <f t="shared" si="35"/>
        <v>1</v>
      </c>
      <c r="O258" s="144"/>
      <c r="P258" s="144"/>
    </row>
    <row r="259" spans="1:16" s="137" customFormat="1" ht="63.75">
      <c r="A259" s="140" t="s">
        <v>810</v>
      </c>
      <c r="B259" s="133">
        <v>87632</v>
      </c>
      <c r="C259" s="139" t="s">
        <v>151</v>
      </c>
      <c r="D259" s="133" t="s">
        <v>19</v>
      </c>
      <c r="E259" s="133" t="s">
        <v>67</v>
      </c>
      <c r="F259" s="135">
        <v>40.64</v>
      </c>
      <c r="G259" s="135">
        <v>27.26</v>
      </c>
      <c r="H259" s="136">
        <f t="shared" si="40"/>
        <v>30.202580700000006</v>
      </c>
      <c r="I259" s="125">
        <f t="shared" si="39"/>
        <v>1227.4328796480002</v>
      </c>
      <c r="J259" s="291"/>
      <c r="K259" s="125">
        <f t="shared" si="32"/>
        <v>0</v>
      </c>
      <c r="L259" s="125">
        <f t="shared" si="33"/>
        <v>40.64</v>
      </c>
      <c r="M259" s="291">
        <f t="shared" si="34"/>
        <v>1227.4328796480002</v>
      </c>
      <c r="N259" s="312">
        <f t="shared" si="35"/>
        <v>1</v>
      </c>
      <c r="O259" s="144"/>
      <c r="P259" s="144"/>
    </row>
    <row r="260" spans="1:16" s="137" customFormat="1" ht="51">
      <c r="A260" s="140" t="s">
        <v>811</v>
      </c>
      <c r="B260" s="133">
        <v>87879</v>
      </c>
      <c r="C260" s="139" t="s">
        <v>171</v>
      </c>
      <c r="D260" s="133" t="s">
        <v>19</v>
      </c>
      <c r="E260" s="133" t="s">
        <v>67</v>
      </c>
      <c r="F260" s="135">
        <v>18.989999999999998</v>
      </c>
      <c r="G260" s="135">
        <v>2.64</v>
      </c>
      <c r="H260" s="136">
        <f t="shared" si="40"/>
        <v>2.9249748000000002</v>
      </c>
      <c r="I260" s="125">
        <f t="shared" si="39"/>
        <v>55.545271452000001</v>
      </c>
      <c r="J260" s="291"/>
      <c r="K260" s="125">
        <f t="shared" si="32"/>
        <v>0</v>
      </c>
      <c r="L260" s="125">
        <f t="shared" si="33"/>
        <v>18.989999999999998</v>
      </c>
      <c r="M260" s="291">
        <f t="shared" si="34"/>
        <v>55.545271452000001</v>
      </c>
      <c r="N260" s="312">
        <f t="shared" si="35"/>
        <v>1</v>
      </c>
      <c r="O260" s="144"/>
      <c r="P260" s="144"/>
    </row>
    <row r="261" spans="1:16" s="137" customFormat="1" ht="76.5">
      <c r="A261" s="140" t="s">
        <v>812</v>
      </c>
      <c r="B261" s="133">
        <v>87547</v>
      </c>
      <c r="C261" s="139" t="s">
        <v>174</v>
      </c>
      <c r="D261" s="133" t="s">
        <v>19</v>
      </c>
      <c r="E261" s="133" t="s">
        <v>67</v>
      </c>
      <c r="F261" s="135">
        <v>18.989999999999998</v>
      </c>
      <c r="G261" s="135">
        <v>14.42</v>
      </c>
      <c r="H261" s="136">
        <f t="shared" si="40"/>
        <v>15.976566900000002</v>
      </c>
      <c r="I261" s="125">
        <f t="shared" si="39"/>
        <v>303.39500543100002</v>
      </c>
      <c r="J261" s="291"/>
      <c r="K261" s="125">
        <f t="shared" si="32"/>
        <v>0</v>
      </c>
      <c r="L261" s="125">
        <f t="shared" si="33"/>
        <v>18.989999999999998</v>
      </c>
      <c r="M261" s="291">
        <f t="shared" si="34"/>
        <v>303.39500543100002</v>
      </c>
      <c r="N261" s="312">
        <f t="shared" si="35"/>
        <v>1</v>
      </c>
      <c r="O261" s="144"/>
      <c r="P261" s="144"/>
    </row>
    <row r="262" spans="1:16" s="137" customFormat="1" ht="45.75" customHeight="1">
      <c r="A262" s="140" t="s">
        <v>813</v>
      </c>
      <c r="B262" s="133" t="s">
        <v>576</v>
      </c>
      <c r="C262" s="139" t="s">
        <v>577</v>
      </c>
      <c r="D262" s="133" t="s">
        <v>10</v>
      </c>
      <c r="E262" s="133" t="s">
        <v>11</v>
      </c>
      <c r="F262" s="135">
        <v>18.989999999999998</v>
      </c>
      <c r="G262" s="135">
        <v>13.49</v>
      </c>
      <c r="H262" s="136">
        <f t="shared" si="40"/>
        <v>14.946178050000002</v>
      </c>
      <c r="I262" s="125">
        <f t="shared" si="39"/>
        <v>283.82792116950003</v>
      </c>
      <c r="J262" s="291"/>
      <c r="K262" s="125">
        <f t="shared" si="32"/>
        <v>0</v>
      </c>
      <c r="L262" s="125">
        <f t="shared" si="33"/>
        <v>18.989999999999998</v>
      </c>
      <c r="M262" s="291">
        <f t="shared" si="34"/>
        <v>283.82792116950003</v>
      </c>
      <c r="N262" s="312">
        <f t="shared" si="35"/>
        <v>1</v>
      </c>
      <c r="O262" s="144"/>
      <c r="P262" s="144"/>
    </row>
    <row r="263" spans="1:16" s="137" customFormat="1" ht="25.5">
      <c r="A263" s="140" t="s">
        <v>814</v>
      </c>
      <c r="B263" s="133">
        <v>88485</v>
      </c>
      <c r="C263" s="139" t="s">
        <v>571</v>
      </c>
      <c r="D263" s="133" t="s">
        <v>19</v>
      </c>
      <c r="E263" s="133" t="s">
        <v>67</v>
      </c>
      <c r="F263" s="135">
        <v>18.989999999999998</v>
      </c>
      <c r="G263" s="135">
        <v>1.89</v>
      </c>
      <c r="H263" s="136">
        <f t="shared" si="40"/>
        <v>2.09401605</v>
      </c>
      <c r="I263" s="125">
        <f t="shared" si="39"/>
        <v>39.765364789499998</v>
      </c>
      <c r="J263" s="291"/>
      <c r="K263" s="125">
        <f t="shared" si="32"/>
        <v>0</v>
      </c>
      <c r="L263" s="125">
        <f t="shared" si="33"/>
        <v>18.989999999999998</v>
      </c>
      <c r="M263" s="291">
        <f t="shared" si="34"/>
        <v>39.765364789499998</v>
      </c>
      <c r="N263" s="312">
        <f t="shared" si="35"/>
        <v>1</v>
      </c>
      <c r="O263" s="144"/>
      <c r="P263" s="144"/>
    </row>
    <row r="264" spans="1:16" s="137" customFormat="1" ht="38.25">
      <c r="A264" s="140" t="s">
        <v>815</v>
      </c>
      <c r="B264" s="133">
        <v>88489</v>
      </c>
      <c r="C264" s="139" t="s">
        <v>580</v>
      </c>
      <c r="D264" s="133" t="s">
        <v>19</v>
      </c>
      <c r="E264" s="133" t="s">
        <v>67</v>
      </c>
      <c r="F264" s="135">
        <v>18.989999999999998</v>
      </c>
      <c r="G264" s="135">
        <v>9.89</v>
      </c>
      <c r="H264" s="136">
        <f t="shared" si="40"/>
        <v>10.957576050000002</v>
      </c>
      <c r="I264" s="125">
        <f t="shared" si="39"/>
        <v>208.08436918950002</v>
      </c>
      <c r="J264" s="291"/>
      <c r="K264" s="125">
        <f t="shared" si="32"/>
        <v>0</v>
      </c>
      <c r="L264" s="125">
        <f t="shared" si="33"/>
        <v>18.989999999999998</v>
      </c>
      <c r="M264" s="291">
        <f t="shared" si="34"/>
        <v>208.08436918950002</v>
      </c>
      <c r="N264" s="312">
        <f t="shared" si="35"/>
        <v>1</v>
      </c>
      <c r="O264" s="144"/>
      <c r="P264" s="144"/>
    </row>
    <row r="265" spans="1:16" s="144" customFormat="1">
      <c r="A265" s="140"/>
      <c r="B265" s="141"/>
      <c r="C265" s="176"/>
      <c r="D265" s="141"/>
      <c r="E265" s="141"/>
      <c r="F265" s="142"/>
      <c r="G265" s="142"/>
      <c r="H265" s="143"/>
      <c r="I265" s="177"/>
      <c r="J265" s="295"/>
      <c r="K265" s="125"/>
      <c r="L265" s="125"/>
      <c r="M265" s="125"/>
      <c r="N265" s="312"/>
    </row>
    <row r="266" spans="1:16">
      <c r="A266" s="140"/>
      <c r="B266" s="2"/>
      <c r="C266" s="118"/>
      <c r="D266" s="2"/>
      <c r="E266" s="2"/>
      <c r="F266" s="57"/>
      <c r="G266" s="57"/>
      <c r="H266" s="122"/>
      <c r="I266" s="127">
        <f>SUM(I254:I264)</f>
        <v>14253.619723416068</v>
      </c>
      <c r="J266" s="127">
        <f t="shared" ref="J266:K266" si="41">SUM(J254:J264)</f>
        <v>0</v>
      </c>
      <c r="K266" s="127">
        <f t="shared" si="41"/>
        <v>0</v>
      </c>
      <c r="L266" s="127"/>
      <c r="M266" s="127">
        <f>SUM(M254:M265)</f>
        <v>14253.619723416068</v>
      </c>
      <c r="N266" s="312"/>
      <c r="P266" s="158"/>
    </row>
    <row r="267" spans="1:16" ht="19.5" thickBot="1">
      <c r="A267" s="231"/>
      <c r="B267" s="189"/>
      <c r="C267" s="189"/>
      <c r="D267" s="189"/>
      <c r="E267" s="189"/>
      <c r="F267" s="189"/>
      <c r="G267" s="189"/>
      <c r="H267" s="179"/>
      <c r="I267" s="180"/>
      <c r="J267" s="297"/>
      <c r="K267" s="129"/>
      <c r="L267" s="245"/>
      <c r="M267" s="245"/>
      <c r="N267" s="312"/>
    </row>
    <row r="268" spans="1:16" ht="19.5" thickBot="1">
      <c r="A268" s="232"/>
      <c r="B268" s="188"/>
      <c r="C268" s="188"/>
      <c r="D268" s="188"/>
      <c r="E268" s="188"/>
      <c r="F268" s="188"/>
      <c r="G268" s="188"/>
      <c r="H268" s="191"/>
      <c r="I268" s="302">
        <f>SUM(I9:I266)/2</f>
        <v>1388200.5750079281</v>
      </c>
      <c r="J268" s="298"/>
      <c r="K268" s="194">
        <f>SUM(K9:K266)/2</f>
        <v>735918.97433341504</v>
      </c>
      <c r="L268" s="194"/>
      <c r="M268" s="194">
        <f t="shared" ref="M268" si="42">SUM(M9:M266)/2</f>
        <v>652281.15080792364</v>
      </c>
      <c r="N268" s="312"/>
    </row>
    <row r="269" spans="1:16" ht="41.25" customHeight="1" thickBot="1">
      <c r="A269" s="232"/>
      <c r="B269" s="188"/>
      <c r="C269" s="188"/>
      <c r="D269" s="188"/>
      <c r="E269" s="188"/>
      <c r="F269" s="188"/>
      <c r="G269" s="188"/>
      <c r="H269" s="192"/>
      <c r="I269" s="303" t="s">
        <v>1064</v>
      </c>
      <c r="J269" s="299"/>
      <c r="K269" s="301" t="s">
        <v>1063</v>
      </c>
      <c r="L269" s="198"/>
      <c r="M269" s="243"/>
      <c r="N269" s="243"/>
    </row>
    <row r="270" spans="1:16" ht="15" customHeight="1" thickBot="1">
      <c r="A270" s="232"/>
      <c r="B270" s="188"/>
      <c r="C270" s="188"/>
      <c r="D270" s="188"/>
      <c r="E270" s="188"/>
      <c r="F270" s="188"/>
      <c r="G270" s="188"/>
      <c r="L270" s="145"/>
      <c r="M270" s="307">
        <f>K268+M268</f>
        <v>1388200.1251413387</v>
      </c>
      <c r="O270" s="160"/>
    </row>
    <row r="271" spans="1:16">
      <c r="L271" s="145"/>
      <c r="O271" s="160"/>
    </row>
    <row r="272" spans="1:16">
      <c r="L272" s="145"/>
      <c r="O272" s="160"/>
    </row>
    <row r="273" spans="9:15">
      <c r="K273" s="123">
        <f>I268-M270</f>
        <v>0.44986658939160407</v>
      </c>
      <c r="L273" s="145"/>
      <c r="O273" s="160"/>
    </row>
    <row r="274" spans="9:15">
      <c r="L274" s="145"/>
      <c r="O274" s="160"/>
    </row>
    <row r="275" spans="9:15">
      <c r="I275" s="123">
        <f>I266+I251+I239+I176+I126+I118+I114+I97+I89+I77+I64+I43+I36+I24+I14</f>
        <v>1388200.5750079274</v>
      </c>
      <c r="L275" s="145"/>
      <c r="O275" s="160"/>
    </row>
    <row r="276" spans="9:15">
      <c r="L276" s="145"/>
      <c r="O276" s="160"/>
    </row>
    <row r="277" spans="9:15">
      <c r="L277" s="145"/>
      <c r="O277" s="160"/>
    </row>
    <row r="278" spans="9:15">
      <c r="L278" s="145"/>
      <c r="O278" s="160"/>
    </row>
    <row r="279" spans="9:15">
      <c r="L279" s="145"/>
      <c r="O279" s="160"/>
    </row>
    <row r="280" spans="9:15">
      <c r="L280" s="145"/>
      <c r="O280" s="160"/>
    </row>
    <row r="281" spans="9:15">
      <c r="L281" s="145"/>
      <c r="O281" s="160"/>
    </row>
    <row r="282" spans="9:15">
      <c r="L282" s="145"/>
      <c r="O282" s="160"/>
    </row>
    <row r="283" spans="9:15">
      <c r="L283" s="145"/>
      <c r="O283" s="160"/>
    </row>
    <row r="284" spans="9:15">
      <c r="L284" s="145"/>
      <c r="O284" s="160"/>
    </row>
    <row r="285" spans="9:15">
      <c r="L285" s="145"/>
      <c r="O285" s="160"/>
    </row>
    <row r="286" spans="9:15">
      <c r="L286" s="145"/>
      <c r="O286" s="160"/>
    </row>
    <row r="287" spans="9:15">
      <c r="L287" s="145"/>
      <c r="O287" s="160"/>
    </row>
    <row r="288" spans="9:15">
      <c r="L288" s="145"/>
      <c r="O288" s="160"/>
    </row>
    <row r="289" spans="12:15">
      <c r="L289" s="145"/>
      <c r="O289" s="160"/>
    </row>
    <row r="290" spans="12:15">
      <c r="L290" s="145"/>
      <c r="O290" s="160"/>
    </row>
    <row r="291" spans="12:15">
      <c r="L291" s="145"/>
      <c r="O291" s="160"/>
    </row>
    <row r="292" spans="12:15">
      <c r="L292" s="145"/>
      <c r="O292" s="160"/>
    </row>
    <row r="293" spans="12:15">
      <c r="L293" s="145"/>
      <c r="O293" s="160"/>
    </row>
    <row r="294" spans="12:15">
      <c r="L294" s="145"/>
      <c r="O294" s="160"/>
    </row>
    <row r="295" spans="12:15">
      <c r="L295" s="145"/>
      <c r="O295" s="160"/>
    </row>
    <row r="296" spans="12:15">
      <c r="L296" s="145"/>
      <c r="O296" s="160"/>
    </row>
    <row r="297" spans="12:15">
      <c r="L297" s="145"/>
      <c r="O297" s="160"/>
    </row>
    <row r="298" spans="12:15">
      <c r="L298" s="145"/>
      <c r="O298" s="160"/>
    </row>
    <row r="299" spans="12:15">
      <c r="L299" s="145"/>
      <c r="O299" s="160"/>
    </row>
    <row r="300" spans="12:15">
      <c r="L300" s="145"/>
      <c r="O300" s="160"/>
    </row>
    <row r="301" spans="12:15">
      <c r="L301" s="145"/>
      <c r="O301" s="160"/>
    </row>
    <row r="302" spans="12:15">
      <c r="L302" s="145"/>
      <c r="O302" s="160"/>
    </row>
    <row r="303" spans="12:15">
      <c r="L303" s="145"/>
      <c r="O303" s="160"/>
    </row>
    <row r="304" spans="12:15">
      <c r="L304" s="145"/>
      <c r="O304" s="160"/>
    </row>
    <row r="305" spans="12:15">
      <c r="L305" s="145"/>
      <c r="O305" s="160"/>
    </row>
    <row r="306" spans="12:15">
      <c r="L306" s="145"/>
      <c r="O306" s="160"/>
    </row>
    <row r="307" spans="12:15">
      <c r="L307" s="145"/>
      <c r="O307" s="160"/>
    </row>
    <row r="308" spans="12:15">
      <c r="L308" s="145"/>
      <c r="O308" s="160"/>
    </row>
    <row r="309" spans="12:15">
      <c r="L309" s="145"/>
      <c r="O309" s="160"/>
    </row>
    <row r="310" spans="12:15">
      <c r="L310" s="145"/>
      <c r="O310" s="160"/>
    </row>
    <row r="311" spans="12:15">
      <c r="L311" s="145"/>
      <c r="O311" s="160"/>
    </row>
    <row r="312" spans="12:15">
      <c r="L312" s="145"/>
      <c r="O312" s="160"/>
    </row>
    <row r="313" spans="12:15">
      <c r="L313" s="145"/>
      <c r="O313" s="160"/>
    </row>
    <row r="314" spans="12:15">
      <c r="L314" s="145"/>
      <c r="O314" s="160"/>
    </row>
    <row r="315" spans="12:15">
      <c r="L315" s="145"/>
      <c r="O315" s="160"/>
    </row>
    <row r="316" spans="12:15">
      <c r="L316" s="145"/>
      <c r="O316" s="160"/>
    </row>
    <row r="317" spans="12:15">
      <c r="L317" s="145"/>
      <c r="O317" s="160"/>
    </row>
    <row r="318" spans="12:15">
      <c r="L318" s="145"/>
      <c r="O318" s="160"/>
    </row>
    <row r="319" spans="12:15">
      <c r="L319" s="145"/>
      <c r="O319" s="160"/>
    </row>
    <row r="320" spans="12:15">
      <c r="L320" s="145"/>
      <c r="O320" s="160"/>
    </row>
    <row r="321" spans="12:15">
      <c r="L321" s="145"/>
      <c r="O321" s="160"/>
    </row>
    <row r="322" spans="12:15">
      <c r="L322" s="145"/>
      <c r="O322" s="160"/>
    </row>
    <row r="323" spans="12:15">
      <c r="L323" s="145"/>
      <c r="O323" s="160"/>
    </row>
    <row r="324" spans="12:15">
      <c r="L324" s="145"/>
      <c r="O324" s="160"/>
    </row>
    <row r="325" spans="12:15">
      <c r="L325" s="145"/>
      <c r="O325" s="160"/>
    </row>
    <row r="326" spans="12:15">
      <c r="L326" s="145"/>
      <c r="O326" s="160"/>
    </row>
    <row r="327" spans="12:15">
      <c r="L327" s="145"/>
      <c r="O327" s="160"/>
    </row>
    <row r="328" spans="12:15">
      <c r="L328" s="145"/>
      <c r="O328" s="160"/>
    </row>
    <row r="329" spans="12:15">
      <c r="L329" s="145"/>
      <c r="O329" s="160"/>
    </row>
    <row r="330" spans="12:15">
      <c r="L330" s="145"/>
      <c r="O330" s="160"/>
    </row>
    <row r="331" spans="12:15">
      <c r="L331" s="145"/>
      <c r="O331" s="160"/>
    </row>
    <row r="332" spans="12:15">
      <c r="L332" s="145"/>
      <c r="O332" s="160"/>
    </row>
    <row r="333" spans="12:15">
      <c r="L333" s="145"/>
      <c r="O333" s="160"/>
    </row>
    <row r="334" spans="12:15">
      <c r="L334" s="145"/>
      <c r="O334" s="160"/>
    </row>
    <row r="335" spans="12:15">
      <c r="L335" s="145"/>
      <c r="O335" s="160"/>
    </row>
    <row r="336" spans="12:15">
      <c r="L336" s="145"/>
      <c r="O336" s="160"/>
    </row>
    <row r="337" spans="12:15">
      <c r="L337" s="145"/>
      <c r="O337" s="160"/>
    </row>
    <row r="338" spans="12:15">
      <c r="L338" s="145"/>
      <c r="O338" s="160"/>
    </row>
    <row r="339" spans="12:15">
      <c r="L339" s="145"/>
      <c r="O339" s="160"/>
    </row>
    <row r="340" spans="12:15">
      <c r="L340" s="145"/>
      <c r="O340" s="160"/>
    </row>
    <row r="341" spans="12:15">
      <c r="L341" s="145"/>
      <c r="O341" s="160"/>
    </row>
    <row r="342" spans="12:15">
      <c r="L342" s="145"/>
      <c r="O342" s="160"/>
    </row>
    <row r="343" spans="12:15">
      <c r="L343" s="145"/>
      <c r="O343" s="160"/>
    </row>
    <row r="344" spans="12:15">
      <c r="L344" s="145"/>
      <c r="O344" s="160"/>
    </row>
    <row r="345" spans="12:15">
      <c r="L345" s="145"/>
      <c r="O345" s="160"/>
    </row>
    <row r="346" spans="12:15">
      <c r="L346" s="145"/>
      <c r="O346" s="160"/>
    </row>
    <row r="347" spans="12:15">
      <c r="L347" s="145"/>
      <c r="O347" s="160"/>
    </row>
    <row r="348" spans="12:15">
      <c r="L348" s="145"/>
      <c r="O348" s="160"/>
    </row>
    <row r="349" spans="12:15">
      <c r="L349" s="145"/>
      <c r="O349" s="160"/>
    </row>
    <row r="350" spans="12:15">
      <c r="L350" s="145"/>
      <c r="O350" s="160"/>
    </row>
    <row r="351" spans="12:15">
      <c r="L351" s="145"/>
      <c r="O351" s="160"/>
    </row>
    <row r="352" spans="12:15">
      <c r="L352" s="145"/>
      <c r="O352" s="160"/>
    </row>
    <row r="353" spans="12:15">
      <c r="L353" s="145"/>
      <c r="O353" s="160"/>
    </row>
    <row r="354" spans="12:15">
      <c r="L354" s="145"/>
      <c r="O354" s="160"/>
    </row>
    <row r="355" spans="12:15">
      <c r="L355" s="145"/>
      <c r="O355" s="160"/>
    </row>
    <row r="356" spans="12:15">
      <c r="L356" s="145"/>
      <c r="O356" s="160"/>
    </row>
    <row r="357" spans="12:15">
      <c r="L357" s="145"/>
      <c r="O357" s="160"/>
    </row>
    <row r="358" spans="12:15">
      <c r="L358" s="145"/>
      <c r="O358" s="160"/>
    </row>
    <row r="359" spans="12:15">
      <c r="L359" s="145"/>
      <c r="O359" s="160"/>
    </row>
    <row r="360" spans="12:15">
      <c r="L360" s="145"/>
      <c r="O360" s="160"/>
    </row>
    <row r="361" spans="12:15">
      <c r="L361" s="145"/>
      <c r="O361" s="160"/>
    </row>
    <row r="362" spans="12:15">
      <c r="L362" s="145"/>
      <c r="O362" s="160"/>
    </row>
    <row r="363" spans="12:15">
      <c r="L363" s="145"/>
      <c r="O363" s="160"/>
    </row>
    <row r="364" spans="12:15">
      <c r="L364" s="145"/>
      <c r="O364" s="160"/>
    </row>
    <row r="365" spans="12:15">
      <c r="L365" s="145"/>
      <c r="O365" s="160"/>
    </row>
    <row r="366" spans="12:15">
      <c r="L366" s="145"/>
      <c r="O366" s="160"/>
    </row>
    <row r="367" spans="12:15">
      <c r="L367" s="145"/>
      <c r="O367" s="160"/>
    </row>
    <row r="368" spans="12:15">
      <c r="L368" s="145"/>
      <c r="O368" s="160"/>
    </row>
    <row r="369" spans="12:15">
      <c r="L369" s="145"/>
      <c r="O369" s="160"/>
    </row>
    <row r="370" spans="12:15">
      <c r="L370" s="145"/>
      <c r="O370" s="160"/>
    </row>
    <row r="371" spans="12:15">
      <c r="L371" s="145"/>
      <c r="O371" s="160"/>
    </row>
    <row r="372" spans="12:15">
      <c r="L372" s="145"/>
      <c r="O372" s="160"/>
    </row>
    <row r="373" spans="12:15">
      <c r="L373" s="145"/>
      <c r="O373" s="160"/>
    </row>
    <row r="374" spans="12:15">
      <c r="L374" s="145"/>
      <c r="O374" s="160"/>
    </row>
    <row r="375" spans="12:15">
      <c r="L375" s="145"/>
      <c r="O375" s="160"/>
    </row>
    <row r="376" spans="12:15">
      <c r="L376" s="145"/>
      <c r="O376" s="160"/>
    </row>
    <row r="377" spans="12:15">
      <c r="L377" s="145"/>
      <c r="O377" s="160"/>
    </row>
    <row r="378" spans="12:15">
      <c r="L378" s="145"/>
      <c r="O378" s="160"/>
    </row>
    <row r="379" spans="12:15">
      <c r="L379" s="145"/>
      <c r="O379" s="160"/>
    </row>
    <row r="380" spans="12:15">
      <c r="L380" s="145"/>
      <c r="O380" s="160"/>
    </row>
    <row r="381" spans="12:15">
      <c r="L381" s="145"/>
      <c r="O381" s="160"/>
    </row>
    <row r="382" spans="12:15">
      <c r="L382" s="145"/>
      <c r="O382" s="160"/>
    </row>
    <row r="383" spans="12:15">
      <c r="L383" s="145"/>
      <c r="O383" s="160"/>
    </row>
    <row r="384" spans="12:15">
      <c r="L384" s="145"/>
      <c r="O384" s="160"/>
    </row>
    <row r="385" spans="12:15">
      <c r="L385" s="145"/>
      <c r="O385" s="160"/>
    </row>
    <row r="386" spans="12:15">
      <c r="L386" s="145"/>
      <c r="O386" s="160"/>
    </row>
    <row r="387" spans="12:15">
      <c r="L387" s="145"/>
      <c r="O387" s="160"/>
    </row>
    <row r="388" spans="12:15">
      <c r="L388" s="145"/>
      <c r="O388" s="160"/>
    </row>
    <row r="389" spans="12:15">
      <c r="L389" s="145"/>
      <c r="O389" s="160"/>
    </row>
    <row r="390" spans="12:15">
      <c r="L390" s="145"/>
      <c r="O390" s="160"/>
    </row>
    <row r="391" spans="12:15">
      <c r="L391" s="145"/>
      <c r="O391" s="160"/>
    </row>
    <row r="392" spans="12:15">
      <c r="L392" s="145"/>
      <c r="O392" s="160"/>
    </row>
    <row r="393" spans="12:15">
      <c r="L393" s="145"/>
      <c r="O393" s="160"/>
    </row>
    <row r="394" spans="12:15">
      <c r="L394" s="145"/>
      <c r="O394" s="160"/>
    </row>
    <row r="395" spans="12:15">
      <c r="L395" s="145"/>
      <c r="O395" s="160"/>
    </row>
    <row r="396" spans="12:15">
      <c r="L396" s="145"/>
      <c r="O396" s="160"/>
    </row>
    <row r="397" spans="12:15">
      <c r="L397" s="145"/>
      <c r="O397" s="160"/>
    </row>
    <row r="398" spans="12:15">
      <c r="L398" s="145"/>
      <c r="O398" s="160"/>
    </row>
    <row r="399" spans="12:15">
      <c r="L399" s="145"/>
      <c r="O399" s="160"/>
    </row>
    <row r="400" spans="12:15">
      <c r="L400" s="145"/>
      <c r="O400" s="160"/>
    </row>
    <row r="401" spans="12:15">
      <c r="L401" s="145"/>
      <c r="O401" s="160"/>
    </row>
    <row r="402" spans="12:15">
      <c r="L402" s="145"/>
      <c r="O402" s="160"/>
    </row>
    <row r="403" spans="12:15">
      <c r="L403" s="145"/>
      <c r="O403" s="160"/>
    </row>
    <row r="404" spans="12:15">
      <c r="L404" s="145"/>
      <c r="O404" s="160"/>
    </row>
    <row r="405" spans="12:15">
      <c r="L405" s="145"/>
      <c r="O405" s="160"/>
    </row>
    <row r="406" spans="12:15">
      <c r="L406" s="145"/>
      <c r="O406" s="160"/>
    </row>
    <row r="407" spans="12:15">
      <c r="L407" s="145"/>
      <c r="O407" s="160"/>
    </row>
    <row r="408" spans="12:15">
      <c r="L408" s="145"/>
      <c r="O408" s="160"/>
    </row>
    <row r="409" spans="12:15">
      <c r="L409" s="145"/>
      <c r="O409" s="160"/>
    </row>
    <row r="410" spans="12:15">
      <c r="L410" s="145"/>
      <c r="O410" s="160"/>
    </row>
    <row r="411" spans="12:15">
      <c r="L411" s="145"/>
      <c r="O411" s="160"/>
    </row>
    <row r="412" spans="12:15">
      <c r="L412" s="145"/>
      <c r="O412" s="160"/>
    </row>
    <row r="413" spans="12:15">
      <c r="L413" s="145"/>
      <c r="O413" s="160"/>
    </row>
    <row r="414" spans="12:15">
      <c r="L414" s="145"/>
      <c r="O414" s="160"/>
    </row>
    <row r="415" spans="12:15">
      <c r="L415" s="145"/>
      <c r="O415" s="160"/>
    </row>
    <row r="416" spans="12:15">
      <c r="L416" s="145"/>
      <c r="O416" s="160"/>
    </row>
    <row r="417" spans="12:15">
      <c r="L417" s="145"/>
      <c r="O417" s="160"/>
    </row>
    <row r="418" spans="12:15">
      <c r="L418" s="145"/>
      <c r="O418" s="160"/>
    </row>
    <row r="419" spans="12:15">
      <c r="L419" s="145"/>
      <c r="O419" s="160"/>
    </row>
    <row r="420" spans="12:15">
      <c r="L420" s="145"/>
      <c r="O420" s="160"/>
    </row>
    <row r="421" spans="12:15">
      <c r="L421" s="145"/>
      <c r="O421" s="160"/>
    </row>
    <row r="422" spans="12:15">
      <c r="L422" s="145"/>
      <c r="O422" s="160"/>
    </row>
    <row r="423" spans="12:15">
      <c r="L423" s="145"/>
      <c r="O423" s="160"/>
    </row>
    <row r="424" spans="12:15">
      <c r="L424" s="145"/>
      <c r="O424" s="160"/>
    </row>
    <row r="425" spans="12:15">
      <c r="L425" s="145"/>
      <c r="O425" s="160"/>
    </row>
    <row r="426" spans="12:15">
      <c r="L426" s="145"/>
      <c r="O426" s="160"/>
    </row>
    <row r="427" spans="12:15">
      <c r="L427" s="145"/>
      <c r="O427" s="160"/>
    </row>
    <row r="428" spans="12:15">
      <c r="L428" s="145"/>
      <c r="O428" s="160"/>
    </row>
    <row r="429" spans="12:15">
      <c r="L429" s="145"/>
      <c r="O429" s="160"/>
    </row>
    <row r="430" spans="12:15">
      <c r="L430" s="145"/>
      <c r="O430" s="160"/>
    </row>
    <row r="431" spans="12:15">
      <c r="L431" s="145"/>
      <c r="O431" s="160"/>
    </row>
    <row r="432" spans="12:15">
      <c r="L432" s="145"/>
      <c r="O432" s="160"/>
    </row>
    <row r="433" spans="12:15">
      <c r="L433" s="145"/>
      <c r="O433" s="160"/>
    </row>
    <row r="434" spans="12:15">
      <c r="L434" s="145"/>
      <c r="O434" s="160"/>
    </row>
    <row r="435" spans="12:15">
      <c r="L435" s="145"/>
      <c r="O435" s="160"/>
    </row>
    <row r="436" spans="12:15">
      <c r="L436" s="145"/>
      <c r="O436" s="160"/>
    </row>
    <row r="437" spans="12:15">
      <c r="L437" s="145"/>
      <c r="O437" s="160"/>
    </row>
    <row r="438" spans="12:15">
      <c r="L438" s="145"/>
      <c r="O438" s="160"/>
    </row>
    <row r="439" spans="12:15">
      <c r="L439" s="145"/>
      <c r="O439" s="160"/>
    </row>
    <row r="440" spans="12:15">
      <c r="L440" s="145"/>
      <c r="O440" s="160"/>
    </row>
    <row r="441" spans="12:15">
      <c r="L441" s="145"/>
      <c r="O441" s="160"/>
    </row>
    <row r="442" spans="12:15">
      <c r="L442" s="145"/>
      <c r="O442" s="160"/>
    </row>
  </sheetData>
  <mergeCells count="27">
    <mergeCell ref="A1:C3"/>
    <mergeCell ref="D1:L2"/>
    <mergeCell ref="D3:L3"/>
    <mergeCell ref="A4:L5"/>
    <mergeCell ref="A6:A7"/>
    <mergeCell ref="B6:B7"/>
    <mergeCell ref="C6:C7"/>
    <mergeCell ref="D6:D7"/>
    <mergeCell ref="E6:E7"/>
    <mergeCell ref="F6:L6"/>
    <mergeCell ref="B116:C116"/>
    <mergeCell ref="A8:L8"/>
    <mergeCell ref="B9:C9"/>
    <mergeCell ref="B16:C16"/>
    <mergeCell ref="B26:C26"/>
    <mergeCell ref="B38:C38"/>
    <mergeCell ref="B45:C45"/>
    <mergeCell ref="B57:C57"/>
    <mergeCell ref="B66:C66"/>
    <mergeCell ref="B79:C79"/>
    <mergeCell ref="B91:C91"/>
    <mergeCell ref="B99:C99"/>
    <mergeCell ref="B120:C120"/>
    <mergeCell ref="B128:C128"/>
    <mergeCell ref="B178:C178"/>
    <mergeCell ref="B241:C241"/>
    <mergeCell ref="B253:C253"/>
  </mergeCells>
  <conditionalFormatting sqref="K271:K1048576 K1:K6 K15 K25 K37 K44 K65 K78 K90 K98 K115 K119 K127 K177 K240 K252 K254:K265 K242:K250 K179:K238 K129:K175 K121:K125 K117 K100:K113 K92:K96 K80:K88 K67:K76 K58:K63 K46:K56 K39:K42 K27:K35 K17:K23 K8:K13">
    <cfRule type="cellIs" dxfId="12" priority="5" operator="greaterThan">
      <formula>0</formula>
    </cfRule>
  </conditionalFormatting>
  <conditionalFormatting sqref="L1:N7 L270:N1048576 L11:M13 L15:M15 L17:M23 L25:M25 L27:M35 L37:M37 L39:M42 L44:M44 L46:M56 L58:M63 L65:M65 L67:M76 L78:M78 L80:M88 L90:M90 L92:M96 L98:M98 L100:M113 L115:M115 L117:M117 L119:M119 L127:M127 L121:M125 L129:M175 L177:M177 L179:M238 L240:M240 L242:M250 L252:M252 L254:M267 L9:N10 N11:N268">
    <cfRule type="cellIs" dxfId="11" priority="3" operator="lessThan">
      <formula>0</formula>
    </cfRule>
    <cfRule type="cellIs" dxfId="10" priority="4" operator="lessThan">
      <formula>0</formula>
    </cfRule>
  </conditionalFormatting>
  <conditionalFormatting sqref="K270 K267">
    <cfRule type="cellIs" dxfId="9" priority="2" operator="greaterThan">
      <formula>0</formula>
    </cfRule>
  </conditionalFormatting>
  <conditionalFormatting sqref="N10:N268">
    <cfRule type="cellIs" dxfId="8" priority="1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31" orientation="portrait" r:id="rId1"/>
  <colBreaks count="1" manualBreakCount="1">
    <brk id="1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10E4-CB2D-442A-AB21-C04DB7597F38}">
  <sheetPr>
    <tabColor rgb="FFFFFF00"/>
    <pageSetUpPr fitToPage="1"/>
  </sheetPr>
  <dimension ref="A1:V442"/>
  <sheetViews>
    <sheetView tabSelected="1" view="pageBreakPreview" topLeftCell="A52" zoomScale="64" zoomScaleNormal="68" zoomScaleSheetLayoutView="64" workbookViewId="0">
      <selection activeCell="Q12" sqref="Q12"/>
    </sheetView>
  </sheetViews>
  <sheetFormatPr defaultRowHeight="15"/>
  <cols>
    <col min="1" max="1" width="7.42578125" style="144" customWidth="1"/>
    <col min="2" max="2" width="9.85546875" bestFit="1" customWidth="1"/>
    <col min="3" max="3" width="50.28515625" style="341" customWidth="1"/>
    <col min="4" max="4" width="9.7109375" bestFit="1" customWidth="1"/>
    <col min="5" max="5" width="5.85546875" bestFit="1" customWidth="1"/>
    <col min="6" max="6" width="15" style="58" bestFit="1" customWidth="1"/>
    <col min="7" max="7" width="14.42578125" style="58" bestFit="1" customWidth="1"/>
    <col min="8" max="8" width="19.140625" style="123" bestFit="1" customWidth="1"/>
    <col min="9" max="9" width="25.42578125" style="123" customWidth="1"/>
    <col min="10" max="10" width="30.85546875" style="300" customWidth="1"/>
    <col min="11" max="11" width="29" style="325" bestFit="1" customWidth="1"/>
    <col min="12" max="12" width="25.140625" style="123" bestFit="1" customWidth="1"/>
    <col min="13" max="13" width="32.28515625" style="321" customWidth="1"/>
    <col min="14" max="14" width="30.85546875" style="320" customWidth="1"/>
    <col min="15" max="15" width="12.42578125" style="145" bestFit="1" customWidth="1"/>
    <col min="16" max="16" width="19" style="145" customWidth="1"/>
    <col min="17" max="17" width="21.28515625" style="305" customWidth="1"/>
    <col min="18" max="18" width="11.5703125" style="144" bestFit="1" customWidth="1"/>
    <col min="19" max="19" width="43.28515625" bestFit="1" customWidth="1"/>
    <col min="21" max="21" width="17.7109375" bestFit="1" customWidth="1"/>
  </cols>
  <sheetData>
    <row r="1" spans="1:22" ht="15" customHeight="1">
      <c r="A1" s="371"/>
      <c r="B1" s="372"/>
      <c r="C1" s="372"/>
      <c r="D1" s="413" t="s">
        <v>1065</v>
      </c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9"/>
    </row>
    <row r="2" spans="1:22" ht="27.75" customHeight="1" thickBot="1">
      <c r="A2" s="374"/>
      <c r="B2" s="375"/>
      <c r="C2" s="375"/>
      <c r="D2" s="414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6"/>
    </row>
    <row r="3" spans="1:22" ht="27" customHeight="1" thickBot="1">
      <c r="A3" s="374"/>
      <c r="B3" s="375"/>
      <c r="C3" s="375"/>
      <c r="D3" s="417" t="s">
        <v>602</v>
      </c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9"/>
    </row>
    <row r="4" spans="1:22" ht="16.5" customHeight="1">
      <c r="A4" s="420" t="s">
        <v>1025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2"/>
    </row>
    <row r="5" spans="1:22" ht="22.5" customHeight="1" thickBot="1">
      <c r="A5" s="396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8"/>
      <c r="T5" s="174" t="s">
        <v>1020</v>
      </c>
      <c r="U5" s="152">
        <v>1478786.25</v>
      </c>
    </row>
    <row r="6" spans="1:22" ht="18" customHeight="1" thickBot="1">
      <c r="A6" s="402" t="s">
        <v>0</v>
      </c>
      <c r="B6" s="404" t="s">
        <v>1</v>
      </c>
      <c r="C6" s="426" t="s">
        <v>2</v>
      </c>
      <c r="D6" s="404" t="s">
        <v>3</v>
      </c>
      <c r="E6" s="404" t="s">
        <v>4</v>
      </c>
      <c r="F6" s="423" t="s">
        <v>1045</v>
      </c>
      <c r="G6" s="424"/>
      <c r="H6" s="424"/>
      <c r="I6" s="424"/>
      <c r="J6" s="424"/>
      <c r="K6" s="424"/>
      <c r="L6" s="424"/>
      <c r="M6" s="424"/>
      <c r="N6" s="424"/>
      <c r="O6" s="424"/>
      <c r="P6" s="425"/>
      <c r="Q6" s="246" t="s">
        <v>1011</v>
      </c>
      <c r="R6" s="155">
        <v>0.27350000000000002</v>
      </c>
      <c r="T6" s="174" t="s">
        <v>1021</v>
      </c>
      <c r="U6" s="152">
        <v>1292562.49</v>
      </c>
      <c r="V6">
        <f>U6/U5</f>
        <v>0.8740698596568639</v>
      </c>
    </row>
    <row r="7" spans="1:22" ht="56.25" customHeight="1" thickBot="1">
      <c r="A7" s="403"/>
      <c r="B7" s="405"/>
      <c r="C7" s="427"/>
      <c r="D7" s="405"/>
      <c r="E7" s="406"/>
      <c r="F7" s="283" t="s">
        <v>1044</v>
      </c>
      <c r="G7" s="284" t="s">
        <v>5</v>
      </c>
      <c r="H7" s="151" t="s">
        <v>1014</v>
      </c>
      <c r="I7" s="285" t="s">
        <v>1015</v>
      </c>
      <c r="J7" s="290" t="str">
        <f>'BM-06'!J7</f>
        <v>ACUMULADO ANTERIOR</v>
      </c>
      <c r="K7" s="322" t="s">
        <v>1046</v>
      </c>
      <c r="L7" s="172" t="s">
        <v>1070</v>
      </c>
      <c r="M7" s="315" t="s">
        <v>1074</v>
      </c>
      <c r="N7" s="327" t="s">
        <v>1071</v>
      </c>
      <c r="O7" s="361" t="s">
        <v>1049</v>
      </c>
      <c r="P7" s="360" t="s">
        <v>1093</v>
      </c>
      <c r="Q7" s="166" t="s">
        <v>1012</v>
      </c>
      <c r="R7" s="167">
        <v>0.87</v>
      </c>
      <c r="S7" s="175"/>
    </row>
    <row r="8" spans="1:22" s="144" customFormat="1" ht="20.25" customHeight="1">
      <c r="A8" s="410"/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316"/>
      <c r="O8" s="359"/>
      <c r="P8" s="353"/>
      <c r="Q8" s="168"/>
      <c r="R8" s="169"/>
    </row>
    <row r="9" spans="1:22" ht="20.100000000000001" customHeight="1">
      <c r="A9" s="328">
        <v>1</v>
      </c>
      <c r="B9" s="412" t="s">
        <v>6</v>
      </c>
      <c r="C9" s="412"/>
      <c r="D9" s="146"/>
      <c r="E9" s="146"/>
      <c r="F9" s="146"/>
      <c r="G9" s="146"/>
      <c r="H9" s="146"/>
      <c r="I9" s="366"/>
      <c r="J9" s="146"/>
      <c r="K9" s="329"/>
      <c r="L9" s="146"/>
      <c r="M9" s="330"/>
      <c r="N9" s="330"/>
      <c r="O9" s="124"/>
      <c r="P9" s="358"/>
      <c r="Q9" s="170"/>
      <c r="R9" s="170"/>
    </row>
    <row r="10" spans="1:22" ht="26.25" customHeight="1">
      <c r="A10" s="140" t="s">
        <v>7</v>
      </c>
      <c r="B10" s="1" t="s">
        <v>8</v>
      </c>
      <c r="C10" s="332" t="s">
        <v>9</v>
      </c>
      <c r="D10" s="1" t="s">
        <v>10</v>
      </c>
      <c r="E10" s="1" t="s">
        <v>11</v>
      </c>
      <c r="F10" s="56">
        <v>6</v>
      </c>
      <c r="G10" s="56">
        <f>288.89</f>
        <v>288.89</v>
      </c>
      <c r="H10" s="121">
        <f>G10*$Q$10</f>
        <v>367.90141499999999</v>
      </c>
      <c r="I10" s="125">
        <f>[5]READEQUAÇÃO!$N$10</f>
        <v>2207.4084899999998</v>
      </c>
      <c r="J10" s="291">
        <f>'BM-06'!L9</f>
        <v>6</v>
      </c>
      <c r="K10" s="317">
        <f>J10*H10</f>
        <v>2207.4084899999998</v>
      </c>
      <c r="L10" s="125"/>
      <c r="M10" s="317">
        <f>L10*H10</f>
        <v>0</v>
      </c>
      <c r="N10" s="317">
        <f>M10+K10</f>
        <v>2207.4084899999998</v>
      </c>
      <c r="O10" s="311">
        <f>N10/I10</f>
        <v>1</v>
      </c>
      <c r="P10" s="354"/>
      <c r="Q10" s="156">
        <v>1.2735000000000001</v>
      </c>
      <c r="R10" s="156"/>
    </row>
    <row r="11" spans="1:22" ht="28.5" customHeight="1">
      <c r="A11" s="140" t="s">
        <v>12</v>
      </c>
      <c r="B11" s="1" t="s">
        <v>13</v>
      </c>
      <c r="C11" s="332" t="s">
        <v>14</v>
      </c>
      <c r="D11" s="1" t="s">
        <v>10</v>
      </c>
      <c r="E11" s="1" t="s">
        <v>15</v>
      </c>
      <c r="F11" s="56">
        <v>1</v>
      </c>
      <c r="G11" s="56">
        <f>12298.86</f>
        <v>12298.86</v>
      </c>
      <c r="H11" s="121">
        <f>G11*$Q$10</f>
        <v>15662.598210000002</v>
      </c>
      <c r="I11" s="125">
        <f>H11*F11</f>
        <v>15662.598210000002</v>
      </c>
      <c r="J11" s="291">
        <f>'BM-06'!L10</f>
        <v>1</v>
      </c>
      <c r="K11" s="317">
        <f t="shared" ref="K11:K74" si="0">J11*H11</f>
        <v>15662.598210000002</v>
      </c>
      <c r="L11" s="125"/>
      <c r="M11" s="317">
        <f t="shared" ref="M11:M74" si="1">L11*H11</f>
        <v>0</v>
      </c>
      <c r="N11" s="317">
        <f t="shared" ref="N11:N74" si="2">M11+K11</f>
        <v>15662.598210000002</v>
      </c>
      <c r="O11" s="311">
        <f t="shared" ref="O11:O74" si="3">N11/I11</f>
        <v>1</v>
      </c>
      <c r="P11" s="354"/>
    </row>
    <row r="12" spans="1:22" ht="38.25">
      <c r="A12" s="140" t="s">
        <v>16</v>
      </c>
      <c r="B12" s="1" t="s">
        <v>17</v>
      </c>
      <c r="C12" s="332" t="s">
        <v>18</v>
      </c>
      <c r="D12" s="1" t="s">
        <v>19</v>
      </c>
      <c r="E12" s="1" t="s">
        <v>20</v>
      </c>
      <c r="F12" s="56">
        <v>160.1</v>
      </c>
      <c r="G12" s="56">
        <f>41.08</f>
        <v>41.08</v>
      </c>
      <c r="H12" s="121">
        <f>G12*$Q$10</f>
        <v>52.315379999999998</v>
      </c>
      <c r="I12" s="125">
        <f>H12*F12</f>
        <v>8375.6923379999989</v>
      </c>
      <c r="J12" s="291">
        <f>'BM-06'!L11</f>
        <v>152</v>
      </c>
      <c r="K12" s="317">
        <f t="shared" si="0"/>
        <v>7951.9377599999998</v>
      </c>
      <c r="L12" s="125"/>
      <c r="M12" s="317">
        <f t="shared" si="1"/>
        <v>0</v>
      </c>
      <c r="N12" s="317">
        <f t="shared" si="2"/>
        <v>7951.9377599999998</v>
      </c>
      <c r="O12" s="311">
        <f t="shared" si="3"/>
        <v>0.94940662086196137</v>
      </c>
      <c r="P12" s="354"/>
      <c r="Q12" s="343"/>
    </row>
    <row r="13" spans="1:22" ht="36" customHeight="1">
      <c r="A13" s="140" t="s">
        <v>21</v>
      </c>
      <c r="B13" s="1" t="s">
        <v>22</v>
      </c>
      <c r="C13" s="332" t="s">
        <v>23</v>
      </c>
      <c r="D13" s="1" t="s">
        <v>10</v>
      </c>
      <c r="E13" s="1" t="s">
        <v>15</v>
      </c>
      <c r="F13" s="56">
        <v>1</v>
      </c>
      <c r="G13" s="56">
        <f>2055.31</f>
        <v>2055.31</v>
      </c>
      <c r="H13" s="121">
        <f>G13*$Q$10</f>
        <v>2617.437285</v>
      </c>
      <c r="I13" s="125">
        <f>H13*F13</f>
        <v>2617.437285</v>
      </c>
      <c r="J13" s="291">
        <f>'BM-06'!L12</f>
        <v>1</v>
      </c>
      <c r="K13" s="317">
        <f t="shared" si="0"/>
        <v>2617.437285</v>
      </c>
      <c r="L13" s="125"/>
      <c r="M13" s="317">
        <f t="shared" si="1"/>
        <v>0</v>
      </c>
      <c r="N13" s="317">
        <f t="shared" si="2"/>
        <v>2617.437285</v>
      </c>
      <c r="O13" s="311">
        <f t="shared" si="3"/>
        <v>1</v>
      </c>
      <c r="P13" s="343"/>
      <c r="Q13" s="343"/>
    </row>
    <row r="14" spans="1:22" s="3" customFormat="1">
      <c r="A14" s="140"/>
      <c r="B14" s="2"/>
      <c r="C14" s="333"/>
      <c r="D14" s="2"/>
      <c r="E14" s="2"/>
      <c r="F14" s="57"/>
      <c r="G14" s="57"/>
      <c r="H14" s="122"/>
      <c r="I14" s="127">
        <f>SUM(I10:I13)</f>
        <v>28863.136322999999</v>
      </c>
      <c r="J14" s="127">
        <f t="shared" ref="J14:K14" si="4">SUM(J10:J13)</f>
        <v>160</v>
      </c>
      <c r="K14" s="318">
        <f t="shared" si="4"/>
        <v>28439.381745000002</v>
      </c>
      <c r="L14" s="127">
        <f t="shared" ref="L14" si="5">SUM(L10:L13)</f>
        <v>0</v>
      </c>
      <c r="M14" s="318">
        <f t="shared" ref="M14" si="6">SUM(M10:M13)</f>
        <v>0</v>
      </c>
      <c r="N14" s="317">
        <f t="shared" si="2"/>
        <v>28439.381745000002</v>
      </c>
      <c r="O14" s="311">
        <f t="shared" si="3"/>
        <v>0.98531848468378946</v>
      </c>
      <c r="P14" s="343"/>
      <c r="Q14" s="343"/>
      <c r="R14" s="144"/>
    </row>
    <row r="15" spans="1:22" s="144" customFormat="1">
      <c r="A15" s="140"/>
      <c r="B15" s="162"/>
      <c r="C15" s="334"/>
      <c r="D15" s="141"/>
      <c r="E15" s="141"/>
      <c r="F15" s="142"/>
      <c r="G15" s="142"/>
      <c r="H15" s="143"/>
      <c r="I15" s="164"/>
      <c r="J15" s="293"/>
      <c r="K15" s="317">
        <f t="shared" si="0"/>
        <v>0</v>
      </c>
      <c r="L15" s="164"/>
      <c r="M15" s="317"/>
      <c r="N15" s="317"/>
      <c r="O15" s="311"/>
      <c r="P15" s="343"/>
      <c r="Q15" s="343"/>
    </row>
    <row r="16" spans="1:22" ht="20.100000000000001" customHeight="1">
      <c r="A16" s="230" t="s">
        <v>24</v>
      </c>
      <c r="B16" s="367" t="s">
        <v>25</v>
      </c>
      <c r="C16" s="368"/>
      <c r="D16" s="146"/>
      <c r="E16" s="146"/>
      <c r="F16" s="146"/>
      <c r="G16" s="146"/>
      <c r="H16" s="146"/>
      <c r="I16" s="366"/>
      <c r="J16" s="146"/>
      <c r="K16" s="146"/>
      <c r="L16" s="146"/>
      <c r="M16" s="146"/>
      <c r="N16" s="146"/>
      <c r="O16" s="146"/>
      <c r="P16" s="343"/>
      <c r="Q16" s="343"/>
    </row>
    <row r="17" spans="1:20" ht="38.25">
      <c r="A17" s="140" t="s">
        <v>26</v>
      </c>
      <c r="B17" s="1" t="s">
        <v>27</v>
      </c>
      <c r="C17" s="332" t="s">
        <v>28</v>
      </c>
      <c r="D17" s="1" t="s">
        <v>19</v>
      </c>
      <c r="E17" s="1" t="s">
        <v>29</v>
      </c>
      <c r="F17" s="56">
        <v>736.67</v>
      </c>
      <c r="G17" s="56">
        <v>30.08</v>
      </c>
      <c r="H17" s="121">
        <f>G17*$Q$10</f>
        <v>38.30688</v>
      </c>
      <c r="I17" s="125">
        <f>H17*F17</f>
        <v>28219.529289599999</v>
      </c>
      <c r="J17" s="291">
        <f>'BM-06'!L15</f>
        <v>477.87</v>
      </c>
      <c r="K17" s="317">
        <f t="shared" si="0"/>
        <v>18305.708745600001</v>
      </c>
      <c r="L17" s="125">
        <v>258.8</v>
      </c>
      <c r="M17" s="317">
        <f t="shared" si="1"/>
        <v>9913.8205440000002</v>
      </c>
      <c r="N17" s="317">
        <f t="shared" si="2"/>
        <v>28219.529289600003</v>
      </c>
      <c r="O17" s="311">
        <f t="shared" si="3"/>
        <v>1.0000000000000002</v>
      </c>
      <c r="P17" s="343"/>
      <c r="Q17" s="343"/>
    </row>
    <row r="18" spans="1:20" ht="63.75" customHeight="1">
      <c r="A18" s="140" t="s">
        <v>30</v>
      </c>
      <c r="B18" s="1" t="s">
        <v>31</v>
      </c>
      <c r="C18" s="332" t="s">
        <v>32</v>
      </c>
      <c r="D18" s="1" t="s">
        <v>19</v>
      </c>
      <c r="E18" s="1" t="s">
        <v>29</v>
      </c>
      <c r="F18" s="56">
        <v>405.15</v>
      </c>
      <c r="G18" s="56">
        <v>63.46</v>
      </c>
      <c r="H18" s="121">
        <f>G18*$Q$10</f>
        <v>80.816310000000001</v>
      </c>
      <c r="I18" s="125">
        <f>H18*F18</f>
        <v>32742.727996499998</v>
      </c>
      <c r="J18" s="291">
        <f>'BM-06'!L16</f>
        <v>139.80000000000001</v>
      </c>
      <c r="K18" s="317">
        <f t="shared" si="0"/>
        <v>11298.120138</v>
      </c>
      <c r="L18" s="125">
        <v>265.35000000000002</v>
      </c>
      <c r="M18" s="317">
        <f t="shared" si="1"/>
        <v>21444.607858500003</v>
      </c>
      <c r="N18" s="317">
        <f t="shared" si="2"/>
        <v>32742.727996500005</v>
      </c>
      <c r="O18" s="311">
        <f t="shared" si="3"/>
        <v>1.0000000000000002</v>
      </c>
      <c r="P18" s="343"/>
      <c r="Q18" s="343"/>
    </row>
    <row r="19" spans="1:20" ht="38.25">
      <c r="A19" s="140" t="s">
        <v>33</v>
      </c>
      <c r="B19" s="1" t="s">
        <v>27</v>
      </c>
      <c r="C19" s="332" t="s">
        <v>28</v>
      </c>
      <c r="D19" s="1" t="s">
        <v>19</v>
      </c>
      <c r="E19" s="1" t="s">
        <v>29</v>
      </c>
      <c r="F19" s="56">
        <v>244.58</v>
      </c>
      <c r="G19" s="56">
        <v>30.08</v>
      </c>
      <c r="H19" s="121">
        <f>G19*$Q$10</f>
        <v>38.30688</v>
      </c>
      <c r="I19" s="125">
        <f>H19*F19</f>
        <v>9369.096710400001</v>
      </c>
      <c r="J19" s="291">
        <f>'BM-06'!L17</f>
        <v>244.58</v>
      </c>
      <c r="K19" s="317">
        <f t="shared" si="0"/>
        <v>9369.096710400001</v>
      </c>
      <c r="L19" s="125"/>
      <c r="M19" s="317">
        <f t="shared" si="1"/>
        <v>0</v>
      </c>
      <c r="N19" s="317">
        <f t="shared" si="2"/>
        <v>9369.096710400001</v>
      </c>
      <c r="O19" s="311">
        <f t="shared" si="3"/>
        <v>1</v>
      </c>
      <c r="P19" s="343"/>
      <c r="Q19" s="343"/>
    </row>
    <row r="20" spans="1:20" s="137" customFormat="1" ht="120.75" customHeight="1">
      <c r="A20" s="140" t="s">
        <v>795</v>
      </c>
      <c r="B20" s="133">
        <v>102326</v>
      </c>
      <c r="C20" s="335" t="s">
        <v>870</v>
      </c>
      <c r="D20" s="133" t="s">
        <v>19</v>
      </c>
      <c r="E20" s="133" t="s">
        <v>29</v>
      </c>
      <c r="F20" s="135">
        <v>57.32</v>
      </c>
      <c r="G20" s="135">
        <v>6.3197429999999999</v>
      </c>
      <c r="H20" s="136">
        <f>G20*$Q$10*$R$7</f>
        <v>7.0019276581350001</v>
      </c>
      <c r="I20" s="125">
        <f>H20*F20</f>
        <v>401.35049336429819</v>
      </c>
      <c r="J20" s="291"/>
      <c r="K20" s="317">
        <f t="shared" si="0"/>
        <v>0</v>
      </c>
      <c r="L20" s="125">
        <v>57.32</v>
      </c>
      <c r="M20" s="317">
        <f t="shared" si="1"/>
        <v>401.35049336429819</v>
      </c>
      <c r="N20" s="317">
        <f t="shared" si="2"/>
        <v>401.35049336429819</v>
      </c>
      <c r="O20" s="311">
        <f t="shared" si="3"/>
        <v>1</v>
      </c>
      <c r="P20" s="343"/>
      <c r="Q20" s="343"/>
      <c r="R20" s="144"/>
      <c r="T20" s="137">
        <f>8.05*0.87</f>
        <v>7.0035000000000007</v>
      </c>
    </row>
    <row r="21" spans="1:20" s="137" customFormat="1">
      <c r="A21" s="140" t="s">
        <v>1034</v>
      </c>
      <c r="B21" s="133">
        <v>9898</v>
      </c>
      <c r="C21" s="336" t="s">
        <v>1035</v>
      </c>
      <c r="D21" s="133" t="s">
        <v>10</v>
      </c>
      <c r="E21" s="133" t="s">
        <v>29</v>
      </c>
      <c r="F21" s="210">
        <v>531.84</v>
      </c>
      <c r="G21" s="210">
        <v>7.8406770000000003</v>
      </c>
      <c r="H21" s="136">
        <f>G21*$Q$10*$R$7</f>
        <v>8.6870388787649997</v>
      </c>
      <c r="I21" s="125">
        <f t="shared" ref="I21:I22" si="7">H21*F21</f>
        <v>4620.1147572823775</v>
      </c>
      <c r="J21" s="294"/>
      <c r="K21" s="317">
        <f t="shared" si="0"/>
        <v>0</v>
      </c>
      <c r="L21" s="214">
        <v>531.84</v>
      </c>
      <c r="M21" s="317">
        <f t="shared" si="1"/>
        <v>4620.1147572823775</v>
      </c>
      <c r="N21" s="317">
        <f t="shared" si="2"/>
        <v>4620.1147572823775</v>
      </c>
      <c r="O21" s="311">
        <f t="shared" si="3"/>
        <v>1</v>
      </c>
      <c r="P21" s="343"/>
      <c r="Q21" s="343"/>
      <c r="R21" s="144"/>
    </row>
    <row r="22" spans="1:20" s="137" customFormat="1" ht="30">
      <c r="A22" s="140" t="s">
        <v>796</v>
      </c>
      <c r="B22" s="133" t="s">
        <v>797</v>
      </c>
      <c r="C22" s="336" t="s">
        <v>871</v>
      </c>
      <c r="D22" s="133" t="s">
        <v>259</v>
      </c>
      <c r="E22" s="133" t="s">
        <v>20</v>
      </c>
      <c r="F22" s="135">
        <v>30.23</v>
      </c>
      <c r="G22" s="135">
        <v>47.655932</v>
      </c>
      <c r="H22" s="136">
        <f>G22*$Q$10*$R$7</f>
        <v>52.800151579740003</v>
      </c>
      <c r="I22" s="125">
        <f t="shared" si="7"/>
        <v>1596.1485822555403</v>
      </c>
      <c r="J22" s="291"/>
      <c r="K22" s="317">
        <f t="shared" si="0"/>
        <v>0</v>
      </c>
      <c r="L22" s="125">
        <v>30.23</v>
      </c>
      <c r="M22" s="317">
        <f t="shared" si="1"/>
        <v>1596.1485822555403</v>
      </c>
      <c r="N22" s="317">
        <f t="shared" si="2"/>
        <v>1596.1485822555403</v>
      </c>
      <c r="O22" s="311">
        <f t="shared" si="3"/>
        <v>1</v>
      </c>
      <c r="P22" s="343"/>
      <c r="Q22" s="343"/>
      <c r="R22" s="144"/>
    </row>
    <row r="23" spans="1:20" s="137" customFormat="1">
      <c r="A23" s="140"/>
      <c r="B23" s="141"/>
      <c r="C23" s="337"/>
      <c r="D23" s="141"/>
      <c r="E23" s="141"/>
      <c r="F23" s="142"/>
      <c r="G23" s="142"/>
      <c r="H23" s="143"/>
      <c r="I23" s="177"/>
      <c r="J23" s="295"/>
      <c r="K23" s="317"/>
      <c r="L23" s="177"/>
      <c r="M23" s="317"/>
      <c r="N23" s="317"/>
      <c r="O23" s="311"/>
      <c r="P23" s="343"/>
      <c r="Q23" s="343"/>
      <c r="R23" s="144"/>
    </row>
    <row r="24" spans="1:20">
      <c r="A24" s="140"/>
      <c r="B24" s="2"/>
      <c r="C24" s="333"/>
      <c r="D24" s="2"/>
      <c r="E24" s="2"/>
      <c r="F24" s="57"/>
      <c r="G24" s="57"/>
      <c r="H24" s="122"/>
      <c r="I24" s="127">
        <f>SUM(I17:I23)</f>
        <v>76948.967829402216</v>
      </c>
      <c r="J24" s="127">
        <f t="shared" ref="J24:K24" si="8">SUM(J17:J23)</f>
        <v>862.25000000000011</v>
      </c>
      <c r="K24" s="318">
        <f t="shared" si="8"/>
        <v>38972.925594</v>
      </c>
      <c r="L24" s="127"/>
      <c r="M24" s="127">
        <f t="shared" ref="M24" si="9">SUM(M17:M23)</f>
        <v>37976.042235402216</v>
      </c>
      <c r="N24" s="127">
        <f t="shared" ref="N24" si="10">SUM(N17:N23)</f>
        <v>76948.967829402231</v>
      </c>
      <c r="O24" s="311">
        <f t="shared" si="3"/>
        <v>1.0000000000000002</v>
      </c>
      <c r="P24" s="343"/>
      <c r="Q24" s="343"/>
    </row>
    <row r="25" spans="1:20" s="144" customFormat="1">
      <c r="A25" s="140"/>
      <c r="B25" s="162"/>
      <c r="C25" s="334"/>
      <c r="D25" s="141"/>
      <c r="E25" s="141"/>
      <c r="F25" s="142"/>
      <c r="G25" s="142"/>
      <c r="H25" s="143"/>
      <c r="I25" s="164"/>
      <c r="J25" s="293"/>
      <c r="K25" s="293"/>
      <c r="L25" s="293"/>
      <c r="M25" s="293"/>
      <c r="N25" s="293"/>
      <c r="O25" s="311"/>
      <c r="P25" s="343"/>
      <c r="Q25" s="343"/>
    </row>
    <row r="26" spans="1:20" ht="20.100000000000001" customHeight="1">
      <c r="A26" s="230" t="s">
        <v>34</v>
      </c>
      <c r="B26" s="367" t="s">
        <v>35</v>
      </c>
      <c r="C26" s="368"/>
      <c r="D26" s="146"/>
      <c r="E26" s="146"/>
      <c r="F26" s="146"/>
      <c r="G26" s="146"/>
      <c r="H26" s="146"/>
      <c r="I26" s="366"/>
      <c r="J26" s="146"/>
      <c r="K26" s="146"/>
      <c r="L26" s="146"/>
      <c r="M26" s="146"/>
      <c r="N26" s="146"/>
      <c r="O26" s="311"/>
      <c r="P26" s="343"/>
      <c r="Q26" s="343"/>
    </row>
    <row r="27" spans="1:20" ht="61.5" customHeight="1">
      <c r="A27" s="140" t="s">
        <v>36</v>
      </c>
      <c r="B27" s="1" t="s">
        <v>37</v>
      </c>
      <c r="C27" s="332" t="s">
        <v>38</v>
      </c>
      <c r="D27" s="1" t="s">
        <v>19</v>
      </c>
      <c r="E27" s="1" t="s">
        <v>29</v>
      </c>
      <c r="F27" s="56">
        <v>30.78</v>
      </c>
      <c r="G27" s="56">
        <v>242.41</v>
      </c>
      <c r="H27" s="121">
        <f t="shared" ref="H27:H34" si="11">G27*$Q$10</f>
        <v>308.709135</v>
      </c>
      <c r="I27" s="125">
        <f t="shared" ref="I27:I35" si="12">H27*F27</f>
        <v>9502.0671753000006</v>
      </c>
      <c r="J27" s="291">
        <f>'BM-06'!L20</f>
        <v>5.42</v>
      </c>
      <c r="K27" s="317">
        <f t="shared" si="0"/>
        <v>1673.2035117</v>
      </c>
      <c r="L27" s="125">
        <v>25.36</v>
      </c>
      <c r="M27" s="317">
        <f t="shared" si="1"/>
        <v>7828.8636636000001</v>
      </c>
      <c r="N27" s="317">
        <f t="shared" si="2"/>
        <v>9502.0671753000006</v>
      </c>
      <c r="O27" s="311">
        <f t="shared" si="3"/>
        <v>1</v>
      </c>
      <c r="P27" s="343"/>
      <c r="Q27" s="343"/>
    </row>
    <row r="28" spans="1:20" ht="39" customHeight="1">
      <c r="A28" s="140" t="s">
        <v>39</v>
      </c>
      <c r="B28" s="1" t="s">
        <v>40</v>
      </c>
      <c r="C28" s="332" t="s">
        <v>41</v>
      </c>
      <c r="D28" s="1" t="s">
        <v>10</v>
      </c>
      <c r="E28" s="1" t="s">
        <v>42</v>
      </c>
      <c r="F28" s="56">
        <v>514.13</v>
      </c>
      <c r="G28" s="56">
        <v>58.96</v>
      </c>
      <c r="H28" s="121">
        <f t="shared" si="11"/>
        <v>75.085560000000001</v>
      </c>
      <c r="I28" s="125">
        <f t="shared" si="12"/>
        <v>38603.738962800002</v>
      </c>
      <c r="J28" s="291">
        <f>'BM-06'!L21</f>
        <v>470.8</v>
      </c>
      <c r="K28" s="317">
        <f t="shared" si="0"/>
        <v>35350.281648000004</v>
      </c>
      <c r="L28" s="125">
        <v>43.33</v>
      </c>
      <c r="M28" s="317">
        <f t="shared" si="1"/>
        <v>3253.4573147999999</v>
      </c>
      <c r="N28" s="317">
        <f t="shared" si="2"/>
        <v>38603.738962800002</v>
      </c>
      <c r="O28" s="311">
        <f t="shared" si="3"/>
        <v>1</v>
      </c>
      <c r="P28" s="343"/>
      <c r="Q28" s="343"/>
    </row>
    <row r="29" spans="1:20" ht="38.25">
      <c r="A29" s="140" t="s">
        <v>43</v>
      </c>
      <c r="B29" s="1" t="s">
        <v>44</v>
      </c>
      <c r="C29" s="332" t="s">
        <v>45</v>
      </c>
      <c r="D29" s="1" t="s">
        <v>19</v>
      </c>
      <c r="E29" s="1" t="s">
        <v>46</v>
      </c>
      <c r="F29" s="56">
        <v>11.12</v>
      </c>
      <c r="G29" s="56">
        <v>15.84</v>
      </c>
      <c r="H29" s="121">
        <f t="shared" si="11"/>
        <v>20.172240000000002</v>
      </c>
      <c r="I29" s="125">
        <f t="shared" si="12"/>
        <v>224.3153088</v>
      </c>
      <c r="J29" s="291">
        <f>'BM-06'!L22</f>
        <v>0</v>
      </c>
      <c r="K29" s="317">
        <f t="shared" si="0"/>
        <v>0</v>
      </c>
      <c r="L29" s="125"/>
      <c r="M29" s="317">
        <f t="shared" si="1"/>
        <v>0</v>
      </c>
      <c r="N29" s="317">
        <f t="shared" si="2"/>
        <v>0</v>
      </c>
      <c r="O29" s="311">
        <f t="shared" si="3"/>
        <v>0</v>
      </c>
      <c r="P29" s="343"/>
      <c r="Q29" s="343"/>
    </row>
    <row r="30" spans="1:20" ht="62.25" customHeight="1">
      <c r="A30" s="140" t="s">
        <v>47</v>
      </c>
      <c r="B30" s="1" t="s">
        <v>48</v>
      </c>
      <c r="C30" s="338" t="s">
        <v>49</v>
      </c>
      <c r="D30" s="1" t="s">
        <v>19</v>
      </c>
      <c r="E30" s="1" t="s">
        <v>46</v>
      </c>
      <c r="F30" s="56">
        <v>2881.03</v>
      </c>
      <c r="G30" s="56">
        <v>13.6</v>
      </c>
      <c r="H30" s="121">
        <f t="shared" si="11"/>
        <v>17.319600000000001</v>
      </c>
      <c r="I30" s="125">
        <f t="shared" si="12"/>
        <v>49898.287188000009</v>
      </c>
      <c r="J30" s="291">
        <f>'BM-06'!L23</f>
        <v>1986.92</v>
      </c>
      <c r="K30" s="317">
        <f t="shared" si="0"/>
        <v>34412.659632000003</v>
      </c>
      <c r="L30" s="125">
        <v>894.11</v>
      </c>
      <c r="M30" s="317">
        <f t="shared" si="1"/>
        <v>15485.627556000001</v>
      </c>
      <c r="N30" s="317">
        <f t="shared" si="2"/>
        <v>49898.287188000002</v>
      </c>
      <c r="O30" s="311">
        <f t="shared" si="3"/>
        <v>0.99999999999999989</v>
      </c>
      <c r="P30" s="343"/>
      <c r="Q30" s="343"/>
    </row>
    <row r="31" spans="1:20" ht="52.5" customHeight="1">
      <c r="A31" s="140" t="s">
        <v>50</v>
      </c>
      <c r="B31" s="1" t="s">
        <v>51</v>
      </c>
      <c r="C31" s="338" t="s">
        <v>52</v>
      </c>
      <c r="D31" s="1" t="s">
        <v>19</v>
      </c>
      <c r="E31" s="1" t="s">
        <v>46</v>
      </c>
      <c r="F31" s="56">
        <v>397.04</v>
      </c>
      <c r="G31" s="56">
        <v>11.57</v>
      </c>
      <c r="H31" s="121">
        <f t="shared" si="11"/>
        <v>14.734395000000001</v>
      </c>
      <c r="I31" s="125">
        <f t="shared" si="12"/>
        <v>5850.1441908000006</v>
      </c>
      <c r="J31" s="291">
        <f>'BM-06'!L24</f>
        <v>0</v>
      </c>
      <c r="K31" s="317">
        <f t="shared" si="0"/>
        <v>0</v>
      </c>
      <c r="L31" s="125"/>
      <c r="M31" s="317">
        <f t="shared" si="1"/>
        <v>0</v>
      </c>
      <c r="N31" s="317">
        <f t="shared" si="2"/>
        <v>0</v>
      </c>
      <c r="O31" s="311">
        <f t="shared" si="3"/>
        <v>0</v>
      </c>
      <c r="P31" s="343"/>
      <c r="Q31" s="343"/>
    </row>
    <row r="32" spans="1:20" ht="38.25">
      <c r="A32" s="140" t="s">
        <v>53</v>
      </c>
      <c r="B32" s="1" t="s">
        <v>54</v>
      </c>
      <c r="C32" s="332" t="s">
        <v>55</v>
      </c>
      <c r="D32" s="1" t="s">
        <v>19</v>
      </c>
      <c r="E32" s="1" t="s">
        <v>46</v>
      </c>
      <c r="F32" s="56">
        <v>484.54</v>
      </c>
      <c r="G32" s="56">
        <v>16.47</v>
      </c>
      <c r="H32" s="121">
        <f t="shared" si="11"/>
        <v>20.974544999999999</v>
      </c>
      <c r="I32" s="125">
        <f t="shared" si="12"/>
        <v>10163.0060343</v>
      </c>
      <c r="J32" s="291">
        <f>'BM-06'!L25</f>
        <v>395.47</v>
      </c>
      <c r="K32" s="317">
        <f t="shared" si="0"/>
        <v>8294.8033111500008</v>
      </c>
      <c r="L32" s="125">
        <v>89.07</v>
      </c>
      <c r="M32" s="317">
        <f t="shared" si="1"/>
        <v>1868.2027231499999</v>
      </c>
      <c r="N32" s="317">
        <f t="shared" si="2"/>
        <v>10163.0060343</v>
      </c>
      <c r="O32" s="311">
        <f t="shared" si="3"/>
        <v>1</v>
      </c>
      <c r="P32" s="343"/>
      <c r="Q32" s="343"/>
    </row>
    <row r="33" spans="1:18" ht="51">
      <c r="A33" s="140" t="s">
        <v>56</v>
      </c>
      <c r="B33" s="1" t="s">
        <v>57</v>
      </c>
      <c r="C33" s="332" t="s">
        <v>58</v>
      </c>
      <c r="D33" s="1" t="s">
        <v>19</v>
      </c>
      <c r="E33" s="1" t="s">
        <v>29</v>
      </c>
      <c r="F33" s="56">
        <v>67.8</v>
      </c>
      <c r="G33" s="56">
        <v>301.79000000000002</v>
      </c>
      <c r="H33" s="121">
        <f t="shared" si="11"/>
        <v>384.32956500000006</v>
      </c>
      <c r="I33" s="125">
        <f t="shared" si="12"/>
        <v>26057.544507000002</v>
      </c>
      <c r="J33" s="291">
        <f>'BM-06'!L26</f>
        <v>49.87</v>
      </c>
      <c r="K33" s="317">
        <f t="shared" si="0"/>
        <v>19166.515406550003</v>
      </c>
      <c r="L33" s="125">
        <v>17.93</v>
      </c>
      <c r="M33" s="317">
        <f t="shared" si="1"/>
        <v>6891.0291004500014</v>
      </c>
      <c r="N33" s="317">
        <f t="shared" si="2"/>
        <v>26057.544507000006</v>
      </c>
      <c r="O33" s="311">
        <f t="shared" si="3"/>
        <v>1.0000000000000002</v>
      </c>
      <c r="P33" s="343"/>
      <c r="Q33" s="343"/>
    </row>
    <row r="34" spans="1:18" ht="38.25">
      <c r="A34" s="140" t="s">
        <v>59</v>
      </c>
      <c r="B34" s="1" t="s">
        <v>60</v>
      </c>
      <c r="C34" s="332" t="s">
        <v>61</v>
      </c>
      <c r="D34" s="1" t="s">
        <v>19</v>
      </c>
      <c r="E34" s="1" t="s">
        <v>29</v>
      </c>
      <c r="F34" s="56">
        <v>67.8</v>
      </c>
      <c r="G34" s="56">
        <v>23.69</v>
      </c>
      <c r="H34" s="121">
        <f t="shared" si="11"/>
        <v>30.169215000000005</v>
      </c>
      <c r="I34" s="125">
        <f t="shared" si="12"/>
        <v>2045.4727770000002</v>
      </c>
      <c r="J34" s="291">
        <f>'BM-06'!L27</f>
        <v>49.87</v>
      </c>
      <c r="K34" s="317">
        <f t="shared" si="0"/>
        <v>1504.5387520500001</v>
      </c>
      <c r="L34" s="125">
        <v>17.93</v>
      </c>
      <c r="M34" s="317">
        <f t="shared" si="1"/>
        <v>540.93402495000009</v>
      </c>
      <c r="N34" s="317">
        <f t="shared" si="2"/>
        <v>2045.4727770000002</v>
      </c>
      <c r="O34" s="311">
        <f t="shared" si="3"/>
        <v>1</v>
      </c>
      <c r="P34" s="343"/>
      <c r="Q34" s="343"/>
    </row>
    <row r="35" spans="1:18" s="137" customFormat="1" ht="55.5" customHeight="1">
      <c r="A35" s="140" t="s">
        <v>1036</v>
      </c>
      <c r="B35" s="133">
        <v>4953</v>
      </c>
      <c r="C35" s="336" t="s">
        <v>872</v>
      </c>
      <c r="D35" s="133" t="s">
        <v>10</v>
      </c>
      <c r="E35" s="133" t="s">
        <v>67</v>
      </c>
      <c r="F35" s="135">
        <v>289.06</v>
      </c>
      <c r="G35" s="135">
        <v>23.653146</v>
      </c>
      <c r="H35" s="136">
        <f>G35*$Q$10*$R$7</f>
        <v>26.20638484497</v>
      </c>
      <c r="I35" s="177">
        <f t="shared" si="12"/>
        <v>7575.2176032870284</v>
      </c>
      <c r="J35" s="291"/>
      <c r="K35" s="317">
        <f t="shared" si="0"/>
        <v>0</v>
      </c>
      <c r="L35" s="125">
        <v>289.06</v>
      </c>
      <c r="M35" s="317">
        <f t="shared" si="1"/>
        <v>7575.2176032870284</v>
      </c>
      <c r="N35" s="317">
        <f t="shared" si="2"/>
        <v>7575.2176032870284</v>
      </c>
      <c r="O35" s="311">
        <f t="shared" si="3"/>
        <v>1</v>
      </c>
      <c r="P35" s="343"/>
      <c r="Q35" s="343"/>
      <c r="R35" s="144"/>
    </row>
    <row r="36" spans="1:18">
      <c r="A36" s="140"/>
      <c r="B36" s="2"/>
      <c r="C36" s="333"/>
      <c r="D36" s="2"/>
      <c r="E36" s="2"/>
      <c r="F36" s="57"/>
      <c r="G36" s="57"/>
      <c r="H36" s="122"/>
      <c r="I36" s="127">
        <f>SUM(I27:I35)</f>
        <v>149919.79374728704</v>
      </c>
      <c r="J36" s="127">
        <f t="shared" ref="J36:K36" si="13">SUM(J27:J35)</f>
        <v>2958.3500000000004</v>
      </c>
      <c r="K36" s="318">
        <f t="shared" si="13"/>
        <v>100402.00226144999</v>
      </c>
      <c r="L36" s="127"/>
      <c r="M36" s="318">
        <f t="shared" ref="M36" si="14">SUM(M27:M35)</f>
        <v>43443.331986237026</v>
      </c>
      <c r="N36" s="317">
        <f t="shared" si="2"/>
        <v>143845.33424768702</v>
      </c>
      <c r="O36" s="311">
        <f t="shared" si="3"/>
        <v>0.9594819379898597</v>
      </c>
      <c r="P36" s="343"/>
      <c r="Q36" s="343"/>
    </row>
    <row r="37" spans="1:18" s="144" customFormat="1">
      <c r="A37" s="140"/>
      <c r="B37" s="162"/>
      <c r="C37" s="334"/>
      <c r="D37" s="141"/>
      <c r="E37" s="141"/>
      <c r="F37" s="142"/>
      <c r="G37" s="142"/>
      <c r="H37" s="143"/>
      <c r="I37" s="164"/>
      <c r="J37" s="293"/>
      <c r="K37" s="293"/>
      <c r="L37" s="293"/>
      <c r="M37" s="293"/>
      <c r="N37" s="293"/>
      <c r="O37" s="293"/>
      <c r="P37" s="343"/>
      <c r="Q37" s="343"/>
    </row>
    <row r="38" spans="1:18" ht="20.100000000000001" customHeight="1">
      <c r="A38" s="230" t="s">
        <v>62</v>
      </c>
      <c r="B38" s="367" t="s">
        <v>63</v>
      </c>
      <c r="C38" s="368"/>
      <c r="D38" s="146"/>
      <c r="E38" s="146"/>
      <c r="F38" s="146"/>
      <c r="G38" s="146"/>
      <c r="H38" s="146"/>
      <c r="I38" s="366"/>
      <c r="J38" s="146"/>
      <c r="K38" s="146"/>
      <c r="L38" s="146"/>
      <c r="M38" s="146"/>
      <c r="N38" s="146"/>
      <c r="O38" s="146"/>
      <c r="P38" s="343"/>
      <c r="Q38" s="343"/>
    </row>
    <row r="39" spans="1:18" ht="76.5">
      <c r="A39" s="140" t="s">
        <v>64</v>
      </c>
      <c r="B39" s="1" t="s">
        <v>65</v>
      </c>
      <c r="C39" s="332" t="s">
        <v>66</v>
      </c>
      <c r="D39" s="1" t="s">
        <v>19</v>
      </c>
      <c r="E39" s="1" t="s">
        <v>67</v>
      </c>
      <c r="F39" s="56">
        <v>1094.53</v>
      </c>
      <c r="G39" s="56">
        <v>52.58</v>
      </c>
      <c r="H39" s="121">
        <f>G39*$Q$10</f>
        <v>66.960629999999995</v>
      </c>
      <c r="I39" s="125">
        <f>H39*F39</f>
        <v>73290.418353899993</v>
      </c>
      <c r="J39" s="291">
        <f>'BM-06'!L30</f>
        <v>999.78700000000003</v>
      </c>
      <c r="K39" s="317">
        <f t="shared" si="0"/>
        <v>66946.367385809994</v>
      </c>
      <c r="L39" s="125"/>
      <c r="M39" s="317">
        <f t="shared" si="1"/>
        <v>0</v>
      </c>
      <c r="N39" s="317">
        <f t="shared" si="2"/>
        <v>66946.367385809994</v>
      </c>
      <c r="O39" s="311">
        <f t="shared" si="3"/>
        <v>0.91343955853197267</v>
      </c>
      <c r="P39" s="343"/>
      <c r="Q39" s="343"/>
    </row>
    <row r="40" spans="1:18" ht="51">
      <c r="A40" s="140" t="s">
        <v>68</v>
      </c>
      <c r="B40" s="1" t="s">
        <v>69</v>
      </c>
      <c r="C40" s="332" t="s">
        <v>70</v>
      </c>
      <c r="D40" s="1" t="s">
        <v>19</v>
      </c>
      <c r="E40" s="1" t="s">
        <v>67</v>
      </c>
      <c r="F40" s="56">
        <v>16</v>
      </c>
      <c r="G40" s="56">
        <v>133.55000000000001</v>
      </c>
      <c r="H40" s="121">
        <f>G40*$Q$10</f>
        <v>170.07592500000001</v>
      </c>
      <c r="I40" s="125">
        <f>H40*F40</f>
        <v>2721.2148000000002</v>
      </c>
      <c r="J40" s="291">
        <f>'BM-06'!L31</f>
        <v>16</v>
      </c>
      <c r="K40" s="317">
        <f t="shared" si="0"/>
        <v>2721.2148000000002</v>
      </c>
      <c r="L40" s="125"/>
      <c r="M40" s="317">
        <f t="shared" si="1"/>
        <v>0</v>
      </c>
      <c r="N40" s="317">
        <f t="shared" si="2"/>
        <v>2721.2148000000002</v>
      </c>
      <c r="O40" s="311">
        <f t="shared" si="3"/>
        <v>1</v>
      </c>
      <c r="P40" s="343"/>
      <c r="Q40" s="343"/>
    </row>
    <row r="41" spans="1:18" ht="88.5" customHeight="1">
      <c r="A41" s="140" t="s">
        <v>71</v>
      </c>
      <c r="B41" s="1" t="s">
        <v>65</v>
      </c>
      <c r="C41" s="332" t="s">
        <v>66</v>
      </c>
      <c r="D41" s="1" t="s">
        <v>19</v>
      </c>
      <c r="E41" s="1" t="s">
        <v>67</v>
      </c>
      <c r="F41" s="142">
        <v>183</v>
      </c>
      <c r="G41" s="56">
        <v>52.58</v>
      </c>
      <c r="H41" s="121">
        <f>G41*$Q$10</f>
        <v>66.960629999999995</v>
      </c>
      <c r="I41" s="125">
        <f>H41*F41</f>
        <v>12253.795289999998</v>
      </c>
      <c r="J41" s="291">
        <f>'BM-06'!L32</f>
        <v>167.4</v>
      </c>
      <c r="K41" s="317">
        <f t="shared" si="0"/>
        <v>11209.209461999999</v>
      </c>
      <c r="L41" s="125"/>
      <c r="M41" s="317">
        <f t="shared" si="1"/>
        <v>0</v>
      </c>
      <c r="N41" s="317">
        <f t="shared" si="2"/>
        <v>11209.209461999999</v>
      </c>
      <c r="O41" s="311">
        <f t="shared" si="3"/>
        <v>0.9147540983606558</v>
      </c>
      <c r="P41" s="343"/>
      <c r="Q41" s="343"/>
    </row>
    <row r="42" spans="1:18" s="137" customFormat="1" ht="123" customHeight="1">
      <c r="A42" s="140" t="s">
        <v>800</v>
      </c>
      <c r="B42" s="133">
        <v>89977</v>
      </c>
      <c r="C42" s="339" t="s">
        <v>873</v>
      </c>
      <c r="D42" s="133" t="s">
        <v>19</v>
      </c>
      <c r="E42" s="133" t="s">
        <v>67</v>
      </c>
      <c r="F42" s="135">
        <v>166.07</v>
      </c>
      <c r="G42" s="135">
        <v>101.50923299999999</v>
      </c>
      <c r="H42" s="136">
        <f>G42*$Q$10*$R$7</f>
        <v>112.466647156185</v>
      </c>
      <c r="I42" s="125">
        <f>H42*F42</f>
        <v>18677.336093227645</v>
      </c>
      <c r="J42" s="291"/>
      <c r="K42" s="317">
        <f t="shared" si="0"/>
        <v>0</v>
      </c>
      <c r="L42" s="125"/>
      <c r="M42" s="317">
        <f t="shared" si="1"/>
        <v>0</v>
      </c>
      <c r="N42" s="317">
        <f t="shared" si="2"/>
        <v>0</v>
      </c>
      <c r="O42" s="311">
        <f t="shared" si="3"/>
        <v>0</v>
      </c>
      <c r="P42" s="343" t="s">
        <v>1075</v>
      </c>
      <c r="Q42" s="343" t="s">
        <v>1075</v>
      </c>
      <c r="R42" s="144"/>
    </row>
    <row r="43" spans="1:18">
      <c r="A43" s="140"/>
      <c r="B43" s="2"/>
      <c r="C43" s="333"/>
      <c r="D43" s="2"/>
      <c r="E43" s="2"/>
      <c r="F43" s="57"/>
      <c r="G43" s="57"/>
      <c r="H43" s="122"/>
      <c r="I43" s="127">
        <f>SUM(I39:I42)</f>
        <v>106942.76453712763</v>
      </c>
      <c r="J43" s="127">
        <f t="shared" ref="J43:K43" si="15">SUM(J39:J42)</f>
        <v>1183.1870000000001</v>
      </c>
      <c r="K43" s="318">
        <f t="shared" si="15"/>
        <v>80876.791647809994</v>
      </c>
      <c r="L43" s="127"/>
      <c r="M43" s="318">
        <f t="shared" ref="M43" si="16">SUM(M39:M42)</f>
        <v>0</v>
      </c>
      <c r="N43" s="317">
        <f t="shared" si="2"/>
        <v>80876.791647809994</v>
      </c>
      <c r="O43" s="311">
        <f t="shared" si="3"/>
        <v>0.75626239884355861</v>
      </c>
      <c r="P43" s="343"/>
      <c r="Q43" s="343"/>
    </row>
    <row r="44" spans="1:18" s="144" customFormat="1">
      <c r="A44" s="140"/>
      <c r="B44" s="162"/>
      <c r="C44" s="334"/>
      <c r="D44" s="141"/>
      <c r="E44" s="141"/>
      <c r="F44" s="142"/>
      <c r="G44" s="142"/>
      <c r="H44" s="143"/>
      <c r="I44" s="164"/>
      <c r="J44" s="293"/>
      <c r="K44" s="293"/>
      <c r="L44" s="293"/>
      <c r="M44" s="293"/>
      <c r="N44" s="293"/>
      <c r="O44" s="311"/>
      <c r="P44" s="343"/>
      <c r="Q44" s="343"/>
    </row>
    <row r="45" spans="1:18" ht="20.100000000000001" customHeight="1">
      <c r="A45" s="230" t="s">
        <v>72</v>
      </c>
      <c r="B45" s="367" t="s">
        <v>73</v>
      </c>
      <c r="C45" s="368"/>
      <c r="D45" s="146"/>
      <c r="E45" s="146"/>
      <c r="F45" s="146"/>
      <c r="G45" s="146"/>
      <c r="H45" s="146"/>
      <c r="I45" s="366"/>
      <c r="J45" s="146"/>
      <c r="K45" s="146"/>
      <c r="L45" s="146"/>
      <c r="M45" s="146"/>
      <c r="N45" s="146"/>
      <c r="O45" s="311"/>
      <c r="P45" s="343"/>
      <c r="Q45" s="343"/>
    </row>
    <row r="46" spans="1:18" ht="38.25">
      <c r="A46" s="140" t="s">
        <v>74</v>
      </c>
      <c r="B46" s="1" t="s">
        <v>75</v>
      </c>
      <c r="C46" s="332" t="s">
        <v>76</v>
      </c>
      <c r="D46" s="1" t="s">
        <v>10</v>
      </c>
      <c r="E46" s="1" t="s">
        <v>11</v>
      </c>
      <c r="F46" s="56">
        <v>1045.71</v>
      </c>
      <c r="G46" s="56">
        <v>49.07</v>
      </c>
      <c r="H46" s="121">
        <f t="shared" ref="H46:H55" si="17">G46*$Q$10</f>
        <v>62.490645000000001</v>
      </c>
      <c r="I46" s="125">
        <f t="shared" ref="I46:I56" si="18">H46*F46</f>
        <v>65347.092382950003</v>
      </c>
      <c r="J46" s="291">
        <f>'BM-06'!L35</f>
        <v>668.71</v>
      </c>
      <c r="K46" s="317">
        <f t="shared" si="0"/>
        <v>41788.119217949999</v>
      </c>
      <c r="L46" s="125">
        <v>377</v>
      </c>
      <c r="M46" s="317">
        <f t="shared" si="1"/>
        <v>23558.973164999999</v>
      </c>
      <c r="N46" s="317">
        <f t="shared" si="2"/>
        <v>65347.092382949995</v>
      </c>
      <c r="O46" s="311">
        <f t="shared" si="3"/>
        <v>0.99999999999999989</v>
      </c>
      <c r="P46" s="343"/>
      <c r="Q46" s="343"/>
    </row>
    <row r="47" spans="1:18" ht="82.5" customHeight="1">
      <c r="A47" s="140" t="s">
        <v>77</v>
      </c>
      <c r="B47" s="1" t="s">
        <v>78</v>
      </c>
      <c r="C47" s="332" t="s">
        <v>79</v>
      </c>
      <c r="D47" s="1" t="s">
        <v>19</v>
      </c>
      <c r="E47" s="1" t="s">
        <v>46</v>
      </c>
      <c r="F47" s="56">
        <v>13.48</v>
      </c>
      <c r="G47" s="56">
        <v>15.87</v>
      </c>
      <c r="H47" s="121">
        <f t="shared" si="17"/>
        <v>20.210445</v>
      </c>
      <c r="I47" s="125">
        <f t="shared" si="18"/>
        <v>272.43679860000003</v>
      </c>
      <c r="J47" s="291">
        <f>'BM-06'!L36</f>
        <v>8.0399999999999991</v>
      </c>
      <c r="K47" s="317">
        <f t="shared" si="0"/>
        <v>162.49197779999997</v>
      </c>
      <c r="L47" s="125"/>
      <c r="M47" s="317">
        <f t="shared" si="1"/>
        <v>0</v>
      </c>
      <c r="N47" s="317">
        <f t="shared" si="2"/>
        <v>162.49197779999997</v>
      </c>
      <c r="O47" s="311">
        <f t="shared" si="3"/>
        <v>0.59643916913946571</v>
      </c>
      <c r="P47" s="343"/>
      <c r="Q47" s="343"/>
    </row>
    <row r="48" spans="1:18" ht="64.5" customHeight="1">
      <c r="A48" s="140" t="s">
        <v>80</v>
      </c>
      <c r="B48" s="1" t="s">
        <v>81</v>
      </c>
      <c r="C48" s="332" t="s">
        <v>82</v>
      </c>
      <c r="D48" s="1" t="s">
        <v>19</v>
      </c>
      <c r="E48" s="1" t="s">
        <v>46</v>
      </c>
      <c r="F48" s="56">
        <v>3191.13</v>
      </c>
      <c r="G48" s="56">
        <v>13.56</v>
      </c>
      <c r="H48" s="121">
        <f t="shared" si="17"/>
        <v>17.268660000000001</v>
      </c>
      <c r="I48" s="125">
        <f t="shared" si="18"/>
        <v>55106.538985800005</v>
      </c>
      <c r="J48" s="291">
        <f>'BM-06'!L37</f>
        <v>2421.11</v>
      </c>
      <c r="K48" s="317">
        <f t="shared" si="0"/>
        <v>41809.325412600003</v>
      </c>
      <c r="L48" s="125">
        <v>770.02</v>
      </c>
      <c r="M48" s="317">
        <f t="shared" si="1"/>
        <v>13297.213573200001</v>
      </c>
      <c r="N48" s="317">
        <f t="shared" si="2"/>
        <v>55106.538985800005</v>
      </c>
      <c r="O48" s="311">
        <f t="shared" si="3"/>
        <v>1</v>
      </c>
      <c r="P48" s="343"/>
      <c r="Q48" s="343"/>
    </row>
    <row r="49" spans="1:18" ht="73.5" customHeight="1">
      <c r="A49" s="140" t="s">
        <v>83</v>
      </c>
      <c r="B49" s="1" t="s">
        <v>84</v>
      </c>
      <c r="C49" s="332" t="s">
        <v>85</v>
      </c>
      <c r="D49" s="1" t="s">
        <v>19</v>
      </c>
      <c r="E49" s="1" t="s">
        <v>46</v>
      </c>
      <c r="F49" s="56">
        <v>725.14</v>
      </c>
      <c r="G49" s="56">
        <v>11.47</v>
      </c>
      <c r="H49" s="121">
        <f t="shared" si="17"/>
        <v>14.607045000000001</v>
      </c>
      <c r="I49" s="125">
        <f t="shared" si="18"/>
        <v>10592.1526113</v>
      </c>
      <c r="J49" s="291">
        <f>'BM-06'!L38</f>
        <v>447.35</v>
      </c>
      <c r="K49" s="317">
        <f t="shared" si="0"/>
        <v>6534.4615807500013</v>
      </c>
      <c r="L49" s="125">
        <v>277.02</v>
      </c>
      <c r="M49" s="317">
        <f t="shared" si="1"/>
        <v>4046.4436059</v>
      </c>
      <c r="N49" s="317">
        <f t="shared" si="2"/>
        <v>10580.905186650001</v>
      </c>
      <c r="O49" s="311">
        <f t="shared" si="3"/>
        <v>0.99893813608406667</v>
      </c>
      <c r="P49" s="343"/>
      <c r="Q49" s="343"/>
    </row>
    <row r="50" spans="1:18" ht="70.5" customHeight="1">
      <c r="A50" s="140" t="s">
        <v>86</v>
      </c>
      <c r="B50" s="1" t="s">
        <v>87</v>
      </c>
      <c r="C50" s="332" t="s">
        <v>88</v>
      </c>
      <c r="D50" s="1" t="s">
        <v>19</v>
      </c>
      <c r="E50" s="1" t="s">
        <v>46</v>
      </c>
      <c r="F50" s="56">
        <v>1020.19</v>
      </c>
      <c r="G50" s="56">
        <v>16.5</v>
      </c>
      <c r="H50" s="121">
        <f t="shared" si="17"/>
        <v>21.01275</v>
      </c>
      <c r="I50" s="125">
        <f t="shared" si="18"/>
        <v>21436.997422500001</v>
      </c>
      <c r="J50" s="291">
        <f>'BM-06'!L39</f>
        <v>729.34</v>
      </c>
      <c r="K50" s="317">
        <f t="shared" si="0"/>
        <v>15325.439085000002</v>
      </c>
      <c r="L50" s="125">
        <v>290.85000000000002</v>
      </c>
      <c r="M50" s="317">
        <f t="shared" si="1"/>
        <v>6111.5583375000006</v>
      </c>
      <c r="N50" s="317">
        <f t="shared" si="2"/>
        <v>21436.997422500004</v>
      </c>
      <c r="O50" s="311">
        <f t="shared" si="3"/>
        <v>1.0000000000000002</v>
      </c>
      <c r="P50" s="343"/>
      <c r="Q50" s="343"/>
    </row>
    <row r="51" spans="1:18" ht="51">
      <c r="A51" s="140" t="s">
        <v>89</v>
      </c>
      <c r="B51" s="1" t="s">
        <v>90</v>
      </c>
      <c r="C51" s="332" t="s">
        <v>91</v>
      </c>
      <c r="D51" s="1" t="s">
        <v>19</v>
      </c>
      <c r="E51" s="1" t="s">
        <v>29</v>
      </c>
      <c r="F51" s="56">
        <v>52.9</v>
      </c>
      <c r="G51" s="56">
        <v>298.27999999999997</v>
      </c>
      <c r="H51" s="121">
        <f t="shared" si="17"/>
        <v>379.85957999999999</v>
      </c>
      <c r="I51" s="125">
        <f t="shared" si="18"/>
        <v>20094.571781999999</v>
      </c>
      <c r="J51" s="291">
        <f>'BM-06'!L40</f>
        <v>39.65</v>
      </c>
      <c r="K51" s="317">
        <f t="shared" si="0"/>
        <v>15061.432347</v>
      </c>
      <c r="L51" s="125">
        <v>13.25</v>
      </c>
      <c r="M51" s="317">
        <f t="shared" si="1"/>
        <v>5033.139435</v>
      </c>
      <c r="N51" s="317">
        <f t="shared" si="2"/>
        <v>20094.571781999999</v>
      </c>
      <c r="O51" s="311">
        <f t="shared" si="3"/>
        <v>1</v>
      </c>
      <c r="P51" s="343"/>
      <c r="Q51" s="343"/>
    </row>
    <row r="52" spans="1:18" ht="38.25">
      <c r="A52" s="140" t="s">
        <v>92</v>
      </c>
      <c r="B52" s="1" t="s">
        <v>60</v>
      </c>
      <c r="C52" s="332" t="s">
        <v>61</v>
      </c>
      <c r="D52" s="1" t="s">
        <v>19</v>
      </c>
      <c r="E52" s="1" t="s">
        <v>29</v>
      </c>
      <c r="F52" s="56">
        <v>52.9</v>
      </c>
      <c r="G52" s="56">
        <v>23.69</v>
      </c>
      <c r="H52" s="121">
        <f t="shared" si="17"/>
        <v>30.169215000000005</v>
      </c>
      <c r="I52" s="125">
        <f t="shared" si="18"/>
        <v>1595.9514735000002</v>
      </c>
      <c r="J52" s="291">
        <f>'BM-06'!L41</f>
        <v>39.65</v>
      </c>
      <c r="K52" s="317">
        <f t="shared" si="0"/>
        <v>1196.2093747500001</v>
      </c>
      <c r="L52" s="125">
        <v>13.25</v>
      </c>
      <c r="M52" s="317">
        <f t="shared" si="1"/>
        <v>399.74209875000008</v>
      </c>
      <c r="N52" s="317">
        <f t="shared" si="2"/>
        <v>1595.9514735000002</v>
      </c>
      <c r="O52" s="311">
        <f t="shared" si="3"/>
        <v>1</v>
      </c>
      <c r="P52" s="343"/>
      <c r="Q52" s="343"/>
    </row>
    <row r="53" spans="1:18" ht="68.25" customHeight="1">
      <c r="A53" s="140" t="s">
        <v>93</v>
      </c>
      <c r="B53" s="1" t="s">
        <v>94</v>
      </c>
      <c r="C53" s="340" t="s">
        <v>95</v>
      </c>
      <c r="D53" s="1" t="s">
        <v>19</v>
      </c>
      <c r="E53" s="1" t="s">
        <v>67</v>
      </c>
      <c r="F53" s="56">
        <v>111.31</v>
      </c>
      <c r="G53" s="56">
        <v>129.72</v>
      </c>
      <c r="H53" s="121">
        <f t="shared" si="17"/>
        <v>165.19842</v>
      </c>
      <c r="I53" s="125">
        <f t="shared" si="18"/>
        <v>18388.236130199999</v>
      </c>
      <c r="J53" s="291">
        <f>'BM-06'!L42</f>
        <v>80.819999999999993</v>
      </c>
      <c r="K53" s="317">
        <f t="shared" si="0"/>
        <v>13351.336304399998</v>
      </c>
      <c r="L53" s="125"/>
      <c r="M53" s="317">
        <f t="shared" si="1"/>
        <v>0</v>
      </c>
      <c r="N53" s="317">
        <f t="shared" si="2"/>
        <v>13351.336304399998</v>
      </c>
      <c r="O53" s="311">
        <f t="shared" si="3"/>
        <v>0.7260803162339412</v>
      </c>
      <c r="P53" s="343"/>
      <c r="Q53" s="343"/>
    </row>
    <row r="54" spans="1:18" ht="25.5">
      <c r="A54" s="140" t="s">
        <v>96</v>
      </c>
      <c r="B54" s="1" t="s">
        <v>97</v>
      </c>
      <c r="C54" s="332" t="s">
        <v>98</v>
      </c>
      <c r="D54" s="1" t="s">
        <v>19</v>
      </c>
      <c r="E54" s="1" t="s">
        <v>20</v>
      </c>
      <c r="F54" s="56">
        <v>25</v>
      </c>
      <c r="G54" s="56">
        <v>25.84</v>
      </c>
      <c r="H54" s="121">
        <f t="shared" si="17"/>
        <v>32.907240000000002</v>
      </c>
      <c r="I54" s="125">
        <f t="shared" si="18"/>
        <v>822.68100000000004</v>
      </c>
      <c r="J54" s="291">
        <f>'BM-06'!L43</f>
        <v>25</v>
      </c>
      <c r="K54" s="317">
        <f t="shared" si="0"/>
        <v>822.68100000000004</v>
      </c>
      <c r="L54" s="125"/>
      <c r="M54" s="317">
        <f t="shared" si="1"/>
        <v>0</v>
      </c>
      <c r="N54" s="317">
        <f t="shared" si="2"/>
        <v>822.68100000000004</v>
      </c>
      <c r="O54" s="311">
        <f t="shared" si="3"/>
        <v>1</v>
      </c>
      <c r="P54" s="343"/>
      <c r="Q54" s="343"/>
    </row>
    <row r="55" spans="1:18" ht="25.5">
      <c r="A55" s="140" t="s">
        <v>99</v>
      </c>
      <c r="B55" s="1" t="s">
        <v>100</v>
      </c>
      <c r="C55" s="332" t="s">
        <v>101</v>
      </c>
      <c r="D55" s="1" t="s">
        <v>19</v>
      </c>
      <c r="E55" s="1" t="s">
        <v>20</v>
      </c>
      <c r="F55" s="56">
        <v>101.6</v>
      </c>
      <c r="G55" s="56">
        <v>35.19</v>
      </c>
      <c r="H55" s="121">
        <f t="shared" si="17"/>
        <v>44.814464999999998</v>
      </c>
      <c r="I55" s="125">
        <f t="shared" si="18"/>
        <v>4553.1496439999992</v>
      </c>
      <c r="J55" s="291">
        <f>'BM-06'!L44</f>
        <v>77.5</v>
      </c>
      <c r="K55" s="317">
        <f t="shared" si="0"/>
        <v>3473.1210375000001</v>
      </c>
      <c r="L55" s="125"/>
      <c r="M55" s="317">
        <f t="shared" si="1"/>
        <v>0</v>
      </c>
      <c r="N55" s="317">
        <f t="shared" si="2"/>
        <v>3473.1210375000001</v>
      </c>
      <c r="O55" s="311">
        <f t="shared" si="3"/>
        <v>0.76279527559055138</v>
      </c>
      <c r="P55" s="343"/>
      <c r="Q55" s="343"/>
    </row>
    <row r="56" spans="1:18" s="137" customFormat="1" ht="85.5" customHeight="1">
      <c r="A56" s="140" t="s">
        <v>801</v>
      </c>
      <c r="B56" s="133">
        <v>92777</v>
      </c>
      <c r="C56" s="336" t="s">
        <v>874</v>
      </c>
      <c r="D56" s="133" t="s">
        <v>19</v>
      </c>
      <c r="E56" s="133" t="s">
        <v>67</v>
      </c>
      <c r="F56" s="135">
        <v>12.39</v>
      </c>
      <c r="G56" s="135">
        <v>15.550238999999999</v>
      </c>
      <c r="H56" s="136">
        <f>G56*$Q$10*$R$7</f>
        <v>17.228809548855001</v>
      </c>
      <c r="I56" s="125">
        <f t="shared" si="18"/>
        <v>213.46495031031347</v>
      </c>
      <c r="J56" s="291"/>
      <c r="K56" s="317">
        <f t="shared" si="0"/>
        <v>0</v>
      </c>
      <c r="L56" s="125">
        <v>12.39</v>
      </c>
      <c r="M56" s="317">
        <f t="shared" si="1"/>
        <v>213.46495031031347</v>
      </c>
      <c r="N56" s="317">
        <f t="shared" si="2"/>
        <v>213.46495031031347</v>
      </c>
      <c r="O56" s="311">
        <f t="shared" si="3"/>
        <v>1</v>
      </c>
      <c r="P56" s="343"/>
      <c r="Q56" s="343"/>
      <c r="R56" s="144"/>
    </row>
    <row r="57" spans="1:18" ht="20.100000000000001" customHeight="1">
      <c r="A57" s="230" t="s">
        <v>102</v>
      </c>
      <c r="B57" s="367" t="s">
        <v>103</v>
      </c>
      <c r="C57" s="368"/>
      <c r="D57" s="146"/>
      <c r="E57" s="146"/>
      <c r="F57" s="146"/>
      <c r="G57" s="146"/>
      <c r="H57" s="146"/>
      <c r="I57" s="366"/>
      <c r="J57" s="146"/>
      <c r="K57" s="146"/>
      <c r="L57" s="146"/>
      <c r="M57" s="146"/>
      <c r="N57" s="146"/>
      <c r="O57" s="311"/>
      <c r="P57" s="343"/>
      <c r="Q57" s="343"/>
    </row>
    <row r="58" spans="1:18" ht="51">
      <c r="A58" s="140" t="s">
        <v>104</v>
      </c>
      <c r="B58" s="1" t="s">
        <v>105</v>
      </c>
      <c r="C58" s="332" t="s">
        <v>106</v>
      </c>
      <c r="D58" s="1" t="s">
        <v>10</v>
      </c>
      <c r="E58" s="1" t="s">
        <v>11</v>
      </c>
      <c r="F58" s="56">
        <v>382.72</v>
      </c>
      <c r="G58" s="56">
        <v>159.99</v>
      </c>
      <c r="H58" s="121">
        <f>G58*$Q$10</f>
        <v>203.74726500000003</v>
      </c>
      <c r="I58" s="125">
        <f t="shared" ref="I58:I63" si="19">H58*F58</f>
        <v>77978.153260800013</v>
      </c>
      <c r="J58" s="291">
        <f>'BM-06'!L46</f>
        <v>375.25</v>
      </c>
      <c r="K58" s="317">
        <f t="shared" si="0"/>
        <v>76456.161191250008</v>
      </c>
      <c r="L58" s="125"/>
      <c r="M58" s="317">
        <f t="shared" si="1"/>
        <v>0</v>
      </c>
      <c r="N58" s="317">
        <f t="shared" si="2"/>
        <v>76456.161191250008</v>
      </c>
      <c r="O58" s="311">
        <f t="shared" si="3"/>
        <v>0.9804818143812708</v>
      </c>
      <c r="P58" s="343"/>
      <c r="Q58" s="343"/>
    </row>
    <row r="59" spans="1:18" s="137" customFormat="1" ht="62.25" customHeight="1">
      <c r="A59" s="140" t="s">
        <v>802</v>
      </c>
      <c r="B59" s="133">
        <v>96523</v>
      </c>
      <c r="C59" s="339" t="str">
        <f>C18</f>
        <v>ESCAVAÇÃO MANUAL PARA BLOCO DE COROAMENTO OU SAPATA (INCLUINDO ESCAVAÇÃO PARA COLOCAÇÃO DE FÔRMAS). AF_06/2017</v>
      </c>
      <c r="D59" s="133" t="str">
        <f>D18</f>
        <v>SINAPI</v>
      </c>
      <c r="E59" s="133" t="str">
        <f>E18</f>
        <v>M3</v>
      </c>
      <c r="F59" s="135">
        <v>32.130000000000003</v>
      </c>
      <c r="G59" s="135">
        <f>G18</f>
        <v>63.46</v>
      </c>
      <c r="H59" s="136">
        <f>G59*$Q$10*$R$7</f>
        <v>70.310189699999995</v>
      </c>
      <c r="I59" s="125">
        <f t="shared" si="19"/>
        <v>2259.0663950610001</v>
      </c>
      <c r="J59" s="291"/>
      <c r="K59" s="317">
        <f t="shared" si="0"/>
        <v>0</v>
      </c>
      <c r="L59" s="125">
        <v>32.130000000000003</v>
      </c>
      <c r="M59" s="317">
        <f t="shared" si="1"/>
        <v>2259.0663950610001</v>
      </c>
      <c r="N59" s="317">
        <f t="shared" si="2"/>
        <v>2259.0663950610001</v>
      </c>
      <c r="O59" s="311">
        <f t="shared" si="3"/>
        <v>1</v>
      </c>
      <c r="P59" s="343"/>
      <c r="Q59" s="343"/>
      <c r="R59" s="144"/>
    </row>
    <row r="60" spans="1:18" s="137" customFormat="1" ht="76.5">
      <c r="A60" s="140" t="s">
        <v>803</v>
      </c>
      <c r="B60" s="133">
        <v>87503</v>
      </c>
      <c r="C60" s="339" t="str">
        <f>C39</f>
        <v>ALVENARIA DE VEDAÇÃO DE BLOCOS CERÂMICOS FURADOS NA HORIZONTAL DE 9X19X19CM (ESPESSURA 9CM) DE PAREDES COM ÁREA LÍQUIDA MAIOR OU IGUAL A 6M² SEM VÃOS E ARGAMASSA DE ASSENTAMENTO COM PREPARO EM BETONEIRA. AF_06/2014</v>
      </c>
      <c r="D60" s="133" t="str">
        <f>D39</f>
        <v>SINAPI</v>
      </c>
      <c r="E60" s="133" t="str">
        <f>E39</f>
        <v>M2</v>
      </c>
      <c r="F60" s="135">
        <v>60</v>
      </c>
      <c r="G60" s="135">
        <f>G39</f>
        <v>52.58</v>
      </c>
      <c r="H60" s="136">
        <f>G60*$Q$10*$R$7</f>
        <v>58.255748099999998</v>
      </c>
      <c r="I60" s="125">
        <f t="shared" si="19"/>
        <v>3495.3448859999999</v>
      </c>
      <c r="J60" s="291"/>
      <c r="K60" s="317">
        <f t="shared" si="0"/>
        <v>0</v>
      </c>
      <c r="L60" s="125">
        <v>60</v>
      </c>
      <c r="M60" s="317">
        <f t="shared" si="1"/>
        <v>3495.3448859999999</v>
      </c>
      <c r="N60" s="317">
        <f t="shared" si="2"/>
        <v>3495.3448859999999</v>
      </c>
      <c r="O60" s="311">
        <f t="shared" si="3"/>
        <v>1</v>
      </c>
      <c r="P60" s="343"/>
      <c r="Q60" s="343"/>
      <c r="R60" s="144"/>
    </row>
    <row r="61" spans="1:18" s="137" customFormat="1" ht="51">
      <c r="A61" s="140" t="s">
        <v>804</v>
      </c>
      <c r="B61" s="133">
        <v>94965</v>
      </c>
      <c r="C61" s="339" t="s">
        <v>58</v>
      </c>
      <c r="D61" s="133" t="s">
        <v>19</v>
      </c>
      <c r="E61" s="133" t="s">
        <v>29</v>
      </c>
      <c r="F61" s="135">
        <v>0.99</v>
      </c>
      <c r="G61" s="135">
        <v>301.79000000000002</v>
      </c>
      <c r="H61" s="136">
        <f>G61*$Q$10*$R$7</f>
        <v>334.36672155000002</v>
      </c>
      <c r="I61" s="125">
        <f t="shared" si="19"/>
        <v>331.02305433450005</v>
      </c>
      <c r="J61" s="291"/>
      <c r="K61" s="317">
        <f t="shared" si="0"/>
        <v>0</v>
      </c>
      <c r="L61" s="125">
        <v>0.99</v>
      </c>
      <c r="M61" s="317">
        <f t="shared" si="1"/>
        <v>331.02305433450005</v>
      </c>
      <c r="N61" s="317">
        <f t="shared" si="2"/>
        <v>331.02305433450005</v>
      </c>
      <c r="O61" s="311">
        <f t="shared" si="3"/>
        <v>1</v>
      </c>
      <c r="P61" s="343"/>
      <c r="Q61" s="343"/>
      <c r="R61" s="144"/>
    </row>
    <row r="62" spans="1:18" s="137" customFormat="1" ht="51">
      <c r="A62" s="140" t="s">
        <v>805</v>
      </c>
      <c r="B62" s="133">
        <v>87879</v>
      </c>
      <c r="C62" s="339" t="s">
        <v>171</v>
      </c>
      <c r="D62" s="133" t="s">
        <v>19</v>
      </c>
      <c r="E62" s="133" t="s">
        <v>67</v>
      </c>
      <c r="F62" s="135">
        <v>120</v>
      </c>
      <c r="G62" s="135">
        <v>2.64</v>
      </c>
      <c r="H62" s="136">
        <f>G62*$Q$10*$R$7</f>
        <v>2.9249748000000002</v>
      </c>
      <c r="I62" s="125">
        <f t="shared" si="19"/>
        <v>350.99697600000002</v>
      </c>
      <c r="J62" s="291"/>
      <c r="K62" s="317">
        <f t="shared" si="0"/>
        <v>0</v>
      </c>
      <c r="L62" s="125"/>
      <c r="M62" s="317">
        <f t="shared" si="1"/>
        <v>0</v>
      </c>
      <c r="N62" s="317">
        <f t="shared" si="2"/>
        <v>0</v>
      </c>
      <c r="O62" s="311">
        <f t="shared" si="3"/>
        <v>0</v>
      </c>
      <c r="P62" s="343"/>
      <c r="Q62" s="343"/>
      <c r="R62" s="144"/>
    </row>
    <row r="63" spans="1:18" s="137" customFormat="1" ht="84" customHeight="1">
      <c r="A63" s="140" t="s">
        <v>806</v>
      </c>
      <c r="B63" s="133">
        <v>87547</v>
      </c>
      <c r="C63" s="339" t="s">
        <v>174</v>
      </c>
      <c r="D63" s="133" t="s">
        <v>19</v>
      </c>
      <c r="E63" s="133" t="s">
        <v>67</v>
      </c>
      <c r="F63" s="135">
        <v>120</v>
      </c>
      <c r="G63" s="135">
        <v>14.42</v>
      </c>
      <c r="H63" s="136">
        <f>G63*$Q$10*$R$7</f>
        <v>15.976566900000002</v>
      </c>
      <c r="I63" s="125">
        <f t="shared" si="19"/>
        <v>1917.1880280000003</v>
      </c>
      <c r="J63" s="291"/>
      <c r="K63" s="317">
        <f t="shared" si="0"/>
        <v>0</v>
      </c>
      <c r="L63" s="125"/>
      <c r="M63" s="317">
        <f t="shared" si="1"/>
        <v>0</v>
      </c>
      <c r="N63" s="317">
        <f t="shared" si="2"/>
        <v>0</v>
      </c>
      <c r="O63" s="311">
        <f t="shared" si="3"/>
        <v>0</v>
      </c>
      <c r="P63" s="343"/>
      <c r="Q63" s="343"/>
      <c r="R63" s="144"/>
    </row>
    <row r="64" spans="1:18">
      <c r="A64" s="140"/>
      <c r="B64" s="2"/>
      <c r="C64" s="333"/>
      <c r="D64" s="2"/>
      <c r="E64" s="2"/>
      <c r="F64" s="57"/>
      <c r="G64" s="57"/>
      <c r="H64" s="122"/>
      <c r="I64" s="127">
        <f>SUM(I46:I63)</f>
        <v>284755.04578135582</v>
      </c>
      <c r="J64" s="127">
        <f t="shared" ref="J64:K64" si="20">SUM(J46:J63)</f>
        <v>4912.4199999999992</v>
      </c>
      <c r="K64" s="318">
        <f t="shared" si="20"/>
        <v>215980.778529</v>
      </c>
      <c r="L64" s="127"/>
      <c r="M64" s="318">
        <f t="shared" ref="M64" si="21">SUM(M46:M63)</f>
        <v>58745.969501055813</v>
      </c>
      <c r="N64" s="317">
        <f t="shared" si="2"/>
        <v>274726.74803005584</v>
      </c>
      <c r="O64" s="311">
        <f t="shared" si="3"/>
        <v>0.96478272150092104</v>
      </c>
      <c r="P64" s="343"/>
      <c r="Q64" s="343"/>
    </row>
    <row r="65" spans="1:17" s="144" customFormat="1">
      <c r="A65" s="140"/>
      <c r="B65" s="162"/>
      <c r="C65" s="334"/>
      <c r="D65" s="141"/>
      <c r="E65" s="141"/>
      <c r="F65" s="142"/>
      <c r="G65" s="142"/>
      <c r="H65" s="143"/>
      <c r="I65" s="164"/>
      <c r="J65" s="293"/>
      <c r="K65" s="293"/>
      <c r="L65" s="293"/>
      <c r="M65" s="293"/>
      <c r="N65" s="293"/>
      <c r="O65" s="311"/>
      <c r="P65" s="343"/>
      <c r="Q65" s="343"/>
    </row>
    <row r="66" spans="1:17" ht="20.100000000000001" customHeight="1">
      <c r="A66" s="230" t="s">
        <v>107</v>
      </c>
      <c r="B66" s="367" t="s">
        <v>108</v>
      </c>
      <c r="C66" s="368"/>
      <c r="D66" s="146"/>
      <c r="E66" s="146"/>
      <c r="F66" s="146"/>
      <c r="G66" s="146"/>
      <c r="H66" s="146"/>
      <c r="I66" s="366"/>
      <c r="J66" s="146"/>
      <c r="K66" s="146"/>
      <c r="L66" s="146"/>
      <c r="M66" s="146"/>
      <c r="N66" s="146"/>
      <c r="O66" s="311"/>
      <c r="P66" s="343"/>
      <c r="Q66" s="343"/>
    </row>
    <row r="67" spans="1:17" ht="38.25">
      <c r="A67" s="140" t="s">
        <v>109</v>
      </c>
      <c r="B67" s="1" t="s">
        <v>110</v>
      </c>
      <c r="C67" s="332" t="s">
        <v>111</v>
      </c>
      <c r="D67" s="1" t="s">
        <v>19</v>
      </c>
      <c r="E67" s="1" t="s">
        <v>67</v>
      </c>
      <c r="F67" s="56">
        <v>876.48</v>
      </c>
      <c r="G67" s="56">
        <v>25.58</v>
      </c>
      <c r="H67" s="121">
        <f t="shared" ref="H67:H76" si="22">G67*$Q$10</f>
        <v>32.576129999999999</v>
      </c>
      <c r="I67" s="125">
        <f t="shared" ref="I67:I76" si="23">H67*F67</f>
        <v>28552.326422400001</v>
      </c>
      <c r="J67" s="291">
        <f>'BM-06'!L49</f>
        <v>876.42</v>
      </c>
      <c r="K67" s="317">
        <f t="shared" si="0"/>
        <v>28550.371854599998</v>
      </c>
      <c r="L67" s="125"/>
      <c r="M67" s="317">
        <f t="shared" si="1"/>
        <v>0</v>
      </c>
      <c r="N67" s="317">
        <f t="shared" si="2"/>
        <v>28550.371854599998</v>
      </c>
      <c r="O67" s="311">
        <f t="shared" si="3"/>
        <v>0.99993154435925513</v>
      </c>
      <c r="P67" s="343"/>
      <c r="Q67" s="343"/>
    </row>
    <row r="68" spans="1:17" ht="51">
      <c r="A68" s="140" t="s">
        <v>112</v>
      </c>
      <c r="B68" s="1" t="s">
        <v>113</v>
      </c>
      <c r="C68" s="332" t="s">
        <v>114</v>
      </c>
      <c r="D68" s="1" t="s">
        <v>19</v>
      </c>
      <c r="E68" s="1" t="s">
        <v>115</v>
      </c>
      <c r="F68" s="56">
        <v>18</v>
      </c>
      <c r="G68" s="56">
        <v>1497.33</v>
      </c>
      <c r="H68" s="121">
        <f t="shared" si="22"/>
        <v>1906.849755</v>
      </c>
      <c r="I68" s="125">
        <f t="shared" si="23"/>
        <v>34323.295590000002</v>
      </c>
      <c r="J68" s="291">
        <f>'BM-06'!L50</f>
        <v>12</v>
      </c>
      <c r="K68" s="317">
        <f t="shared" si="0"/>
        <v>22882.197059999999</v>
      </c>
      <c r="L68" s="125"/>
      <c r="M68" s="317">
        <f t="shared" si="1"/>
        <v>0</v>
      </c>
      <c r="N68" s="317">
        <f t="shared" si="2"/>
        <v>22882.197059999999</v>
      </c>
      <c r="O68" s="311">
        <f t="shared" si="3"/>
        <v>0.66666666666666663</v>
      </c>
      <c r="P68" s="343"/>
      <c r="Q68" s="343"/>
    </row>
    <row r="69" spans="1:17" ht="51">
      <c r="A69" s="140" t="s">
        <v>116</v>
      </c>
      <c r="B69" s="1" t="s">
        <v>117</v>
      </c>
      <c r="C69" s="332" t="s">
        <v>118</v>
      </c>
      <c r="D69" s="1" t="s">
        <v>19</v>
      </c>
      <c r="E69" s="1" t="s">
        <v>115</v>
      </c>
      <c r="F69" s="56">
        <v>4</v>
      </c>
      <c r="G69" s="56">
        <v>1692.77</v>
      </c>
      <c r="H69" s="121">
        <f t="shared" si="22"/>
        <v>2155.7425950000002</v>
      </c>
      <c r="I69" s="125">
        <f t="shared" si="23"/>
        <v>8622.9703800000007</v>
      </c>
      <c r="J69" s="291">
        <f>'BM-06'!L51</f>
        <v>4</v>
      </c>
      <c r="K69" s="317">
        <f t="shared" si="0"/>
        <v>8622.9703800000007</v>
      </c>
      <c r="L69" s="125"/>
      <c r="M69" s="317">
        <f t="shared" si="1"/>
        <v>0</v>
      </c>
      <c r="N69" s="317">
        <f t="shared" si="2"/>
        <v>8622.9703800000007</v>
      </c>
      <c r="O69" s="311">
        <f t="shared" si="3"/>
        <v>1</v>
      </c>
      <c r="P69" s="343"/>
      <c r="Q69" s="343"/>
    </row>
    <row r="70" spans="1:17" ht="51">
      <c r="A70" s="140" t="s">
        <v>119</v>
      </c>
      <c r="B70" s="1" t="s">
        <v>120</v>
      </c>
      <c r="C70" s="332" t="s">
        <v>121</v>
      </c>
      <c r="D70" s="1" t="s">
        <v>19</v>
      </c>
      <c r="E70" s="1" t="s">
        <v>20</v>
      </c>
      <c r="F70" s="56">
        <v>98.35</v>
      </c>
      <c r="G70" s="56">
        <v>14.4</v>
      </c>
      <c r="H70" s="121">
        <f t="shared" si="22"/>
        <v>18.3384</v>
      </c>
      <c r="I70" s="125">
        <f t="shared" si="23"/>
        <v>1803.5816399999999</v>
      </c>
      <c r="J70" s="291">
        <f>'BM-06'!L52</f>
        <v>98.35</v>
      </c>
      <c r="K70" s="331"/>
      <c r="L70" s="125"/>
      <c r="M70" s="317">
        <f t="shared" si="1"/>
        <v>0</v>
      </c>
      <c r="N70" s="317">
        <f t="shared" si="2"/>
        <v>0</v>
      </c>
      <c r="O70" s="311">
        <f>N70/I70</f>
        <v>0</v>
      </c>
      <c r="P70" s="343" t="s">
        <v>1090</v>
      </c>
      <c r="Q70" s="343" t="s">
        <v>1090</v>
      </c>
    </row>
    <row r="71" spans="1:17" ht="63.75">
      <c r="A71" s="140" t="s">
        <v>122</v>
      </c>
      <c r="B71" s="1" t="s">
        <v>123</v>
      </c>
      <c r="C71" s="332" t="s">
        <v>124</v>
      </c>
      <c r="D71" s="1" t="s">
        <v>19</v>
      </c>
      <c r="E71" s="1" t="s">
        <v>67</v>
      </c>
      <c r="F71" s="56">
        <v>876.48</v>
      </c>
      <c r="G71" s="56">
        <v>50.08</v>
      </c>
      <c r="H71" s="121">
        <f t="shared" si="22"/>
        <v>63.776879999999998</v>
      </c>
      <c r="I71" s="125">
        <f t="shared" si="23"/>
        <v>55899.159782399998</v>
      </c>
      <c r="J71" s="291">
        <f>'BM-06'!L53</f>
        <v>876.42</v>
      </c>
      <c r="K71" s="317">
        <f t="shared" si="0"/>
        <v>55895.333169599995</v>
      </c>
      <c r="L71" s="125"/>
      <c r="M71" s="317">
        <f t="shared" si="1"/>
        <v>0</v>
      </c>
      <c r="N71" s="317">
        <f t="shared" si="2"/>
        <v>55895.333169599995</v>
      </c>
      <c r="O71" s="311">
        <f t="shared" si="3"/>
        <v>0.99993154435925513</v>
      </c>
      <c r="P71" s="343"/>
      <c r="Q71" s="343"/>
    </row>
    <row r="72" spans="1:17" ht="25.5">
      <c r="A72" s="140" t="s">
        <v>125</v>
      </c>
      <c r="B72" s="1" t="s">
        <v>126</v>
      </c>
      <c r="C72" s="332" t="s">
        <v>127</v>
      </c>
      <c r="D72" s="1" t="s">
        <v>19</v>
      </c>
      <c r="E72" s="1" t="s">
        <v>67</v>
      </c>
      <c r="F72" s="56">
        <v>653.14</v>
      </c>
      <c r="G72" s="56">
        <v>27.72</v>
      </c>
      <c r="H72" s="121">
        <f t="shared" si="22"/>
        <v>35.30142</v>
      </c>
      <c r="I72" s="125">
        <f t="shared" si="23"/>
        <v>23056.769458800001</v>
      </c>
      <c r="J72" s="291">
        <f>'BM-06'!L54</f>
        <v>0</v>
      </c>
      <c r="K72" s="317">
        <f t="shared" si="0"/>
        <v>0</v>
      </c>
      <c r="L72" s="125"/>
      <c r="M72" s="317">
        <f t="shared" si="1"/>
        <v>0</v>
      </c>
      <c r="N72" s="317">
        <f t="shared" si="2"/>
        <v>0</v>
      </c>
      <c r="O72" s="311">
        <f t="shared" si="3"/>
        <v>0</v>
      </c>
      <c r="P72" s="343"/>
      <c r="Q72" s="343"/>
    </row>
    <row r="73" spans="1:17" ht="25.5">
      <c r="A73" s="140" t="s">
        <v>128</v>
      </c>
      <c r="B73" s="1" t="s">
        <v>129</v>
      </c>
      <c r="C73" s="340" t="s">
        <v>130</v>
      </c>
      <c r="D73" s="1" t="s">
        <v>10</v>
      </c>
      <c r="E73" s="1" t="s">
        <v>131</v>
      </c>
      <c r="F73" s="56">
        <v>91.65</v>
      </c>
      <c r="G73" s="56">
        <v>54.54</v>
      </c>
      <c r="H73" s="121">
        <f t="shared" si="22"/>
        <v>69.456690000000009</v>
      </c>
      <c r="I73" s="125">
        <f t="shared" si="23"/>
        <v>6365.7056385000014</v>
      </c>
      <c r="J73" s="291">
        <f>'BM-06'!L55</f>
        <v>91.65</v>
      </c>
      <c r="K73" s="317">
        <f t="shared" si="0"/>
        <v>6365.7056385000014</v>
      </c>
      <c r="L73" s="125"/>
      <c r="M73" s="317">
        <f t="shared" si="1"/>
        <v>0</v>
      </c>
      <c r="N73" s="317">
        <f t="shared" si="2"/>
        <v>6365.7056385000014</v>
      </c>
      <c r="O73" s="311">
        <f t="shared" si="3"/>
        <v>1</v>
      </c>
      <c r="P73" s="343"/>
      <c r="Q73" s="343"/>
    </row>
    <row r="74" spans="1:17" ht="38.25">
      <c r="A74" s="140" t="s">
        <v>132</v>
      </c>
      <c r="B74" s="1" t="s">
        <v>133</v>
      </c>
      <c r="C74" s="332" t="s">
        <v>134</v>
      </c>
      <c r="D74" s="1" t="s">
        <v>19</v>
      </c>
      <c r="E74" s="1" t="s">
        <v>20</v>
      </c>
      <c r="F74" s="56">
        <v>178.01</v>
      </c>
      <c r="G74" s="56">
        <v>70.53</v>
      </c>
      <c r="H74" s="121">
        <f t="shared" si="22"/>
        <v>89.819955000000007</v>
      </c>
      <c r="I74" s="125">
        <f t="shared" si="23"/>
        <v>15988.850189550001</v>
      </c>
      <c r="J74" s="291">
        <f>'BM-06'!L56</f>
        <v>178.09</v>
      </c>
      <c r="K74" s="317">
        <f t="shared" si="0"/>
        <v>15996.035785950002</v>
      </c>
      <c r="L74" s="125">
        <v>-0.08</v>
      </c>
      <c r="M74" s="317">
        <f t="shared" si="1"/>
        <v>-7.1855964000000005</v>
      </c>
      <c r="N74" s="317">
        <f t="shared" si="2"/>
        <v>15988.850189550001</v>
      </c>
      <c r="O74" s="311">
        <f t="shared" si="3"/>
        <v>1</v>
      </c>
      <c r="P74" s="343" t="s">
        <v>1073</v>
      </c>
      <c r="Q74" s="343" t="s">
        <v>1073</v>
      </c>
    </row>
    <row r="75" spans="1:17" ht="38.25">
      <c r="A75" s="140" t="s">
        <v>135</v>
      </c>
      <c r="B75" s="1" t="s">
        <v>136</v>
      </c>
      <c r="C75" s="332" t="s">
        <v>137</v>
      </c>
      <c r="D75" s="1" t="s">
        <v>19</v>
      </c>
      <c r="E75" s="1" t="s">
        <v>20</v>
      </c>
      <c r="F75" s="56">
        <v>72</v>
      </c>
      <c r="G75" s="56">
        <v>22.25</v>
      </c>
      <c r="H75" s="121">
        <f t="shared" si="22"/>
        <v>28.335375000000003</v>
      </c>
      <c r="I75" s="125">
        <f t="shared" si="23"/>
        <v>2040.1470000000002</v>
      </c>
      <c r="J75" s="291">
        <f>'BM-06'!L57</f>
        <v>0</v>
      </c>
      <c r="K75" s="317">
        <f t="shared" ref="K75:K138" si="24">J75*H75</f>
        <v>0</v>
      </c>
      <c r="L75" s="125"/>
      <c r="M75" s="317">
        <f t="shared" ref="M75:M138" si="25">L75*H75</f>
        <v>0</v>
      </c>
      <c r="N75" s="317">
        <f t="shared" ref="N75:N138" si="26">M75+K75</f>
        <v>0</v>
      </c>
      <c r="O75" s="311">
        <f t="shared" ref="O75:O138" si="27">N75/I75</f>
        <v>0</v>
      </c>
      <c r="P75" s="343" t="s">
        <v>1090</v>
      </c>
      <c r="Q75" s="343" t="s">
        <v>1090</v>
      </c>
    </row>
    <row r="76" spans="1:17" ht="38.25">
      <c r="A76" s="140" t="s">
        <v>138</v>
      </c>
      <c r="B76" s="1" t="s">
        <v>139</v>
      </c>
      <c r="C76" s="332" t="s">
        <v>140</v>
      </c>
      <c r="D76" s="1" t="s">
        <v>19</v>
      </c>
      <c r="E76" s="1" t="s">
        <v>20</v>
      </c>
      <c r="F76" s="56">
        <v>24</v>
      </c>
      <c r="G76" s="56">
        <v>52.83</v>
      </c>
      <c r="H76" s="121">
        <f t="shared" si="22"/>
        <v>67.279004999999998</v>
      </c>
      <c r="I76" s="125">
        <f t="shared" si="23"/>
        <v>1614.6961200000001</v>
      </c>
      <c r="J76" s="291">
        <f>'BM-06'!L58</f>
        <v>24</v>
      </c>
      <c r="K76" s="317">
        <f t="shared" si="24"/>
        <v>1614.6961200000001</v>
      </c>
      <c r="L76" s="125"/>
      <c r="M76" s="317">
        <f t="shared" si="25"/>
        <v>0</v>
      </c>
      <c r="N76" s="317">
        <f t="shared" si="26"/>
        <v>1614.6961200000001</v>
      </c>
      <c r="O76" s="311">
        <f t="shared" si="27"/>
        <v>1</v>
      </c>
      <c r="P76" s="343" t="s">
        <v>1073</v>
      </c>
      <c r="Q76" s="343" t="s">
        <v>1073</v>
      </c>
    </row>
    <row r="77" spans="1:17">
      <c r="A77" s="140"/>
      <c r="B77" s="2"/>
      <c r="C77" s="333"/>
      <c r="D77" s="2"/>
      <c r="E77" s="2"/>
      <c r="F77" s="57"/>
      <c r="G77" s="57"/>
      <c r="H77" s="122"/>
      <c r="I77" s="127">
        <f>SUM(I67:I76)</f>
        <v>178267.50222165001</v>
      </c>
      <c r="J77" s="127">
        <f t="shared" ref="J77:K77" si="28">SUM(J67:J76)</f>
        <v>2160.9300000000003</v>
      </c>
      <c r="K77" s="318">
        <f t="shared" si="28"/>
        <v>139927.31000865001</v>
      </c>
      <c r="L77" s="127"/>
      <c r="M77" s="318">
        <f t="shared" ref="M77" si="29">SUM(M67:M76)</f>
        <v>-7.1855964000000005</v>
      </c>
      <c r="N77" s="317">
        <f t="shared" si="26"/>
        <v>139920.12441225001</v>
      </c>
      <c r="O77" s="311">
        <f t="shared" si="27"/>
        <v>0.78488856728513223</v>
      </c>
      <c r="P77" s="343"/>
      <c r="Q77" s="343"/>
    </row>
    <row r="78" spans="1:17" s="144" customFormat="1">
      <c r="A78" s="140"/>
      <c r="B78" s="162"/>
      <c r="C78" s="334"/>
      <c r="D78" s="141"/>
      <c r="E78" s="141"/>
      <c r="F78" s="142"/>
      <c r="G78" s="142"/>
      <c r="H78" s="143"/>
      <c r="I78" s="164"/>
      <c r="J78" s="293"/>
      <c r="K78" s="293"/>
      <c r="L78" s="293"/>
      <c r="M78" s="293"/>
      <c r="N78" s="293"/>
      <c r="O78" s="311"/>
      <c r="P78" s="343"/>
      <c r="Q78" s="343"/>
    </row>
    <row r="79" spans="1:17" ht="20.100000000000001" customHeight="1">
      <c r="A79" s="230" t="s">
        <v>141</v>
      </c>
      <c r="B79" s="367" t="s">
        <v>142</v>
      </c>
      <c r="C79" s="368"/>
      <c r="D79" s="146"/>
      <c r="E79" s="146"/>
      <c r="F79" s="146"/>
      <c r="G79" s="146"/>
      <c r="H79" s="146"/>
      <c r="I79" s="366"/>
      <c r="J79" s="146"/>
      <c r="K79" s="146"/>
      <c r="L79" s="146"/>
      <c r="M79" s="146"/>
      <c r="N79" s="146"/>
      <c r="O79" s="311"/>
      <c r="P79" s="343"/>
      <c r="Q79" s="343"/>
    </row>
    <row r="80" spans="1:17" ht="38.25">
      <c r="A80" s="140" t="s">
        <v>143</v>
      </c>
      <c r="B80" s="1" t="s">
        <v>144</v>
      </c>
      <c r="C80" s="332" t="s">
        <v>145</v>
      </c>
      <c r="D80" s="1" t="s">
        <v>19</v>
      </c>
      <c r="E80" s="1" t="s">
        <v>67</v>
      </c>
      <c r="F80" s="56">
        <v>944.79</v>
      </c>
      <c r="G80" s="56">
        <v>19.420000000000002</v>
      </c>
      <c r="H80" s="121">
        <f t="shared" ref="H80:H87" si="30">G80*$Q$10</f>
        <v>24.731370000000005</v>
      </c>
      <c r="I80" s="125">
        <f t="shared" ref="I80:I88" si="31">H80*F80</f>
        <v>23365.951062300006</v>
      </c>
      <c r="J80" s="291">
        <f>'BM-06'!L61</f>
        <v>896.49</v>
      </c>
      <c r="K80" s="317">
        <f t="shared" si="24"/>
        <v>22171.425891300005</v>
      </c>
      <c r="L80" s="125"/>
      <c r="M80" s="317">
        <f t="shared" si="25"/>
        <v>0</v>
      </c>
      <c r="N80" s="317">
        <f t="shared" si="26"/>
        <v>22171.425891300005</v>
      </c>
      <c r="O80" s="311">
        <f t="shared" si="27"/>
        <v>0.94887752833963102</v>
      </c>
      <c r="P80" s="343" t="s">
        <v>1091</v>
      </c>
      <c r="Q80" s="343" t="s">
        <v>1091</v>
      </c>
    </row>
    <row r="81" spans="1:17" ht="51" customHeight="1">
      <c r="A81" s="140" t="s">
        <v>146</v>
      </c>
      <c r="B81" s="1" t="s">
        <v>147</v>
      </c>
      <c r="C81" s="332" t="s">
        <v>148</v>
      </c>
      <c r="D81" s="1" t="s">
        <v>10</v>
      </c>
      <c r="E81" s="1" t="s">
        <v>11</v>
      </c>
      <c r="F81" s="56">
        <v>944.79</v>
      </c>
      <c r="G81" s="56">
        <v>29.29</v>
      </c>
      <c r="H81" s="121">
        <f t="shared" si="30"/>
        <v>37.300815</v>
      </c>
      <c r="I81" s="125">
        <f t="shared" si="31"/>
        <v>35241.437003849998</v>
      </c>
      <c r="J81" s="291">
        <f>'BM-06'!L62</f>
        <v>896.49</v>
      </c>
      <c r="K81" s="317">
        <f t="shared" si="24"/>
        <v>33439.807639350001</v>
      </c>
      <c r="L81" s="125"/>
      <c r="M81" s="317">
        <f t="shared" si="25"/>
        <v>0</v>
      </c>
      <c r="N81" s="317">
        <f t="shared" si="26"/>
        <v>33439.807639350001</v>
      </c>
      <c r="O81" s="311">
        <f t="shared" si="27"/>
        <v>0.94887752833963113</v>
      </c>
      <c r="P81" s="343" t="s">
        <v>1091</v>
      </c>
      <c r="Q81" s="343" t="s">
        <v>1091</v>
      </c>
    </row>
    <row r="82" spans="1:17" ht="51">
      <c r="A82" s="140" t="s">
        <v>149</v>
      </c>
      <c r="B82" s="1" t="s">
        <v>150</v>
      </c>
      <c r="C82" s="332" t="s">
        <v>151</v>
      </c>
      <c r="D82" s="1" t="s">
        <v>19</v>
      </c>
      <c r="E82" s="1" t="s">
        <v>67</v>
      </c>
      <c r="F82" s="56">
        <v>944.79</v>
      </c>
      <c r="G82" s="56">
        <v>27.26</v>
      </c>
      <c r="H82" s="121">
        <f t="shared" si="30"/>
        <v>34.715610000000005</v>
      </c>
      <c r="I82" s="125">
        <f t="shared" si="31"/>
        <v>32798.961171900002</v>
      </c>
      <c r="J82" s="291">
        <f>'BM-06'!L63</f>
        <v>944.79</v>
      </c>
      <c r="K82" s="317">
        <f t="shared" si="24"/>
        <v>32798.961171900002</v>
      </c>
      <c r="L82" s="125">
        <f t="shared" ref="L82" si="32">F82-J82</f>
        <v>0</v>
      </c>
      <c r="M82" s="317">
        <f t="shared" si="25"/>
        <v>0</v>
      </c>
      <c r="N82" s="317">
        <f t="shared" si="26"/>
        <v>32798.961171900002</v>
      </c>
      <c r="O82" s="311">
        <f t="shared" si="27"/>
        <v>1</v>
      </c>
      <c r="P82" s="343" t="s">
        <v>1073</v>
      </c>
      <c r="Q82" s="343" t="s">
        <v>1073</v>
      </c>
    </row>
    <row r="83" spans="1:17" ht="38.25">
      <c r="A83" s="140" t="s">
        <v>152</v>
      </c>
      <c r="B83" s="1" t="s">
        <v>153</v>
      </c>
      <c r="C83" s="332" t="s">
        <v>154</v>
      </c>
      <c r="D83" s="1" t="s">
        <v>19</v>
      </c>
      <c r="E83" s="1" t="s">
        <v>29</v>
      </c>
      <c r="F83" s="56">
        <v>72.84</v>
      </c>
      <c r="G83" s="56">
        <v>101.84</v>
      </c>
      <c r="H83" s="121">
        <f t="shared" si="30"/>
        <v>129.69324</v>
      </c>
      <c r="I83" s="125">
        <f t="shared" si="31"/>
        <v>9446.8556016000002</v>
      </c>
      <c r="J83" s="291">
        <f>'BM-06'!L64</f>
        <v>0</v>
      </c>
      <c r="K83" s="317">
        <f t="shared" si="24"/>
        <v>0</v>
      </c>
      <c r="L83" s="125"/>
      <c r="M83" s="317">
        <f t="shared" si="25"/>
        <v>0</v>
      </c>
      <c r="N83" s="317">
        <f t="shared" si="26"/>
        <v>0</v>
      </c>
      <c r="O83" s="311">
        <f t="shared" si="27"/>
        <v>0</v>
      </c>
      <c r="P83" s="343"/>
      <c r="Q83" s="343"/>
    </row>
    <row r="84" spans="1:17" ht="76.5">
      <c r="A84" s="140" t="s">
        <v>155</v>
      </c>
      <c r="B84" s="1" t="s">
        <v>156</v>
      </c>
      <c r="C84" s="332" t="s">
        <v>157</v>
      </c>
      <c r="D84" s="1" t="s">
        <v>19</v>
      </c>
      <c r="E84" s="1" t="s">
        <v>20</v>
      </c>
      <c r="F84" s="56">
        <v>46.2</v>
      </c>
      <c r="G84" s="56">
        <v>40.869999999999997</v>
      </c>
      <c r="H84" s="121">
        <f t="shared" si="30"/>
        <v>52.047944999999999</v>
      </c>
      <c r="I84" s="125">
        <f t="shared" si="31"/>
        <v>2404.6150590000002</v>
      </c>
      <c r="J84" s="291">
        <f>'BM-06'!L65</f>
        <v>0</v>
      </c>
      <c r="K84" s="317">
        <f t="shared" si="24"/>
        <v>0</v>
      </c>
      <c r="L84" s="125"/>
      <c r="M84" s="317">
        <f t="shared" si="25"/>
        <v>0</v>
      </c>
      <c r="N84" s="317">
        <f t="shared" si="26"/>
        <v>0</v>
      </c>
      <c r="O84" s="311">
        <f t="shared" si="27"/>
        <v>0</v>
      </c>
      <c r="P84" s="343"/>
      <c r="Q84" s="343"/>
    </row>
    <row r="85" spans="1:17" ht="25.5">
      <c r="A85" s="140" t="s">
        <v>158</v>
      </c>
      <c r="B85" s="1" t="s">
        <v>159</v>
      </c>
      <c r="C85" s="332" t="s">
        <v>160</v>
      </c>
      <c r="D85" s="1" t="s">
        <v>19</v>
      </c>
      <c r="E85" s="1" t="s">
        <v>20</v>
      </c>
      <c r="F85" s="56">
        <v>436.36</v>
      </c>
      <c r="G85" s="56">
        <v>15.03</v>
      </c>
      <c r="H85" s="121">
        <f t="shared" si="30"/>
        <v>19.140705000000001</v>
      </c>
      <c r="I85" s="125">
        <f t="shared" si="31"/>
        <v>8352.2380338000003</v>
      </c>
      <c r="J85" s="291">
        <f>'BM-06'!L66</f>
        <v>0</v>
      </c>
      <c r="K85" s="317">
        <f t="shared" si="24"/>
        <v>0</v>
      </c>
      <c r="L85" s="125"/>
      <c r="M85" s="317">
        <f t="shared" si="25"/>
        <v>0</v>
      </c>
      <c r="N85" s="317">
        <f t="shared" si="26"/>
        <v>0</v>
      </c>
      <c r="O85" s="311">
        <f t="shared" si="27"/>
        <v>0</v>
      </c>
      <c r="P85" s="343"/>
      <c r="Q85" s="343"/>
    </row>
    <row r="86" spans="1:17" ht="51">
      <c r="A86" s="140" t="s">
        <v>161</v>
      </c>
      <c r="B86" s="1" t="s">
        <v>162</v>
      </c>
      <c r="C86" s="332" t="s">
        <v>163</v>
      </c>
      <c r="D86" s="1" t="s">
        <v>19</v>
      </c>
      <c r="E86" s="1" t="s">
        <v>67</v>
      </c>
      <c r="F86" s="56">
        <v>393.34</v>
      </c>
      <c r="G86" s="56">
        <v>34.270000000000003</v>
      </c>
      <c r="H86" s="121">
        <f t="shared" si="30"/>
        <v>43.642845000000008</v>
      </c>
      <c r="I86" s="125">
        <f t="shared" si="31"/>
        <v>17166.476652300003</v>
      </c>
      <c r="J86" s="291">
        <f>'BM-06'!L67</f>
        <v>0</v>
      </c>
      <c r="K86" s="317">
        <f t="shared" si="24"/>
        <v>0</v>
      </c>
      <c r="L86" s="125"/>
      <c r="M86" s="317">
        <f t="shared" si="25"/>
        <v>0</v>
      </c>
      <c r="N86" s="317">
        <f t="shared" si="26"/>
        <v>0</v>
      </c>
      <c r="O86" s="311">
        <f t="shared" si="27"/>
        <v>0</v>
      </c>
      <c r="P86" s="343"/>
      <c r="Q86" s="343"/>
    </row>
    <row r="87" spans="1:17" ht="38.25">
      <c r="A87" s="140" t="s">
        <v>164</v>
      </c>
      <c r="B87" s="1" t="s">
        <v>165</v>
      </c>
      <c r="C87" s="332" t="s">
        <v>166</v>
      </c>
      <c r="D87" s="1" t="s">
        <v>19</v>
      </c>
      <c r="E87" s="1" t="s">
        <v>67</v>
      </c>
      <c r="F87" s="56">
        <v>944.79</v>
      </c>
      <c r="G87" s="56">
        <v>72.11</v>
      </c>
      <c r="H87" s="121">
        <f t="shared" si="30"/>
        <v>91.832085000000006</v>
      </c>
      <c r="I87" s="125">
        <f t="shared" si="31"/>
        <v>86762.035587150007</v>
      </c>
      <c r="J87" s="291">
        <f>'BM-06'!L68</f>
        <v>0</v>
      </c>
      <c r="K87" s="317">
        <f t="shared" si="24"/>
        <v>0</v>
      </c>
      <c r="L87" s="125"/>
      <c r="M87" s="317">
        <f t="shared" si="25"/>
        <v>0</v>
      </c>
      <c r="N87" s="317">
        <f t="shared" si="26"/>
        <v>0</v>
      </c>
      <c r="O87" s="311">
        <f t="shared" si="27"/>
        <v>0</v>
      </c>
      <c r="P87" s="343"/>
      <c r="Q87" s="343"/>
    </row>
    <row r="88" spans="1:17" s="144" customFormat="1" ht="47.25" customHeight="1">
      <c r="A88" s="140" t="s">
        <v>794</v>
      </c>
      <c r="B88" s="141">
        <v>88489</v>
      </c>
      <c r="C88" s="338" t="s">
        <v>580</v>
      </c>
      <c r="D88" s="141" t="s">
        <v>19</v>
      </c>
      <c r="E88" s="141" t="s">
        <v>67</v>
      </c>
      <c r="F88" s="142">
        <v>0</v>
      </c>
      <c r="G88" s="142">
        <v>9.89</v>
      </c>
      <c r="H88" s="143">
        <f>G88*$Q$10*$R$7</f>
        <v>10.957576050000002</v>
      </c>
      <c r="I88" s="177">
        <f t="shared" si="31"/>
        <v>0</v>
      </c>
      <c r="J88" s="291">
        <f>'BM-06'!L69</f>
        <v>0</v>
      </c>
      <c r="K88" s="317">
        <f t="shared" si="24"/>
        <v>0</v>
      </c>
      <c r="L88" s="177"/>
      <c r="M88" s="317">
        <f t="shared" si="25"/>
        <v>0</v>
      </c>
      <c r="N88" s="317">
        <f t="shared" si="26"/>
        <v>0</v>
      </c>
      <c r="O88" s="311"/>
      <c r="P88" s="343"/>
      <c r="Q88" s="343"/>
    </row>
    <row r="89" spans="1:17">
      <c r="A89" s="140"/>
      <c r="B89" s="2"/>
      <c r="C89" s="333"/>
      <c r="D89" s="2"/>
      <c r="E89" s="2"/>
      <c r="F89" s="57"/>
      <c r="G89" s="57"/>
      <c r="H89" s="122"/>
      <c r="I89" s="127">
        <f>SUM(I80:I88)</f>
        <v>215538.57017190001</v>
      </c>
      <c r="J89" s="127">
        <f t="shared" ref="J89:K89" si="33">SUM(J80:J88)</f>
        <v>2737.77</v>
      </c>
      <c r="K89" s="318">
        <f t="shared" si="33"/>
        <v>88410.194702550012</v>
      </c>
      <c r="L89" s="127"/>
      <c r="M89" s="318">
        <f t="shared" ref="M89" si="34">SUM(M80:M88)</f>
        <v>0</v>
      </c>
      <c r="N89" s="317">
        <f t="shared" si="26"/>
        <v>88410.194702550012</v>
      </c>
      <c r="O89" s="311">
        <f t="shared" si="27"/>
        <v>0.41018270944286028</v>
      </c>
      <c r="P89" s="343"/>
      <c r="Q89" s="343"/>
    </row>
    <row r="90" spans="1:17" s="144" customFormat="1">
      <c r="A90" s="140"/>
      <c r="B90" s="162"/>
      <c r="C90" s="334"/>
      <c r="D90" s="141"/>
      <c r="E90" s="141"/>
      <c r="F90" s="142"/>
      <c r="G90" s="142"/>
      <c r="H90" s="143"/>
      <c r="I90" s="164"/>
      <c r="J90" s="293"/>
      <c r="K90" s="293"/>
      <c r="L90" s="293"/>
      <c r="M90" s="293"/>
      <c r="N90" s="293"/>
      <c r="O90" s="311"/>
      <c r="P90" s="343"/>
      <c r="Q90" s="343"/>
    </row>
    <row r="91" spans="1:17" ht="20.100000000000001" customHeight="1">
      <c r="A91" s="230" t="s">
        <v>167</v>
      </c>
      <c r="B91" s="367" t="s">
        <v>168</v>
      </c>
      <c r="C91" s="368"/>
      <c r="D91" s="146"/>
      <c r="E91" s="146"/>
      <c r="F91" s="146"/>
      <c r="G91" s="146"/>
      <c r="H91" s="146"/>
      <c r="I91" s="366"/>
      <c r="J91" s="146"/>
      <c r="K91" s="146"/>
      <c r="L91" s="146"/>
      <c r="M91" s="146"/>
      <c r="N91" s="146"/>
      <c r="O91" s="311"/>
      <c r="P91" s="343"/>
      <c r="Q91" s="343"/>
    </row>
    <row r="92" spans="1:17" ht="51">
      <c r="A92" s="140" t="s">
        <v>169</v>
      </c>
      <c r="B92" s="1" t="s">
        <v>170</v>
      </c>
      <c r="C92" s="332" t="s">
        <v>171</v>
      </c>
      <c r="D92" s="1" t="s">
        <v>19</v>
      </c>
      <c r="E92" s="1" t="s">
        <v>67</v>
      </c>
      <c r="F92" s="56">
        <v>2367.2199999999998</v>
      </c>
      <c r="G92" s="56">
        <v>2.64</v>
      </c>
      <c r="H92" s="121">
        <f>G92*$Q$10</f>
        <v>3.3620400000000004</v>
      </c>
      <c r="I92" s="125">
        <f>H92*F92</f>
        <v>7958.6883287999999</v>
      </c>
      <c r="J92" s="291">
        <f>'BM-06'!L71</f>
        <v>2045.2139999999999</v>
      </c>
      <c r="K92" s="317">
        <f t="shared" si="24"/>
        <v>6876.0912765600006</v>
      </c>
      <c r="L92" s="125">
        <f t="shared" ref="L92:L94" si="35">F92-J92</f>
        <v>322.00599999999986</v>
      </c>
      <c r="M92" s="317">
        <f t="shared" si="25"/>
        <v>1082.5970522399996</v>
      </c>
      <c r="N92" s="317">
        <f t="shared" si="26"/>
        <v>7958.6883287999999</v>
      </c>
      <c r="O92" s="311">
        <f t="shared" si="27"/>
        <v>1</v>
      </c>
      <c r="P92" s="343"/>
      <c r="Q92" s="343"/>
    </row>
    <row r="93" spans="1:17" ht="92.25" customHeight="1">
      <c r="A93" s="140" t="s">
        <v>172</v>
      </c>
      <c r="B93" s="1" t="s">
        <v>173</v>
      </c>
      <c r="C93" s="332" t="s">
        <v>174</v>
      </c>
      <c r="D93" s="1" t="s">
        <v>19</v>
      </c>
      <c r="E93" s="1" t="s">
        <v>67</v>
      </c>
      <c r="F93" s="142">
        <v>2197.91</v>
      </c>
      <c r="G93" s="56">
        <v>14.42</v>
      </c>
      <c r="H93" s="121">
        <f>G93*$Q$10</f>
        <v>18.363870000000002</v>
      </c>
      <c r="I93" s="125">
        <f>H93*F93</f>
        <v>40362.133511700005</v>
      </c>
      <c r="J93" s="291">
        <f>'BM-06'!L72</f>
        <v>1740.134</v>
      </c>
      <c r="K93" s="317">
        <f t="shared" si="24"/>
        <v>31955.594558580004</v>
      </c>
      <c r="L93" s="125"/>
      <c r="M93" s="317">
        <f t="shared" si="25"/>
        <v>0</v>
      </c>
      <c r="N93" s="317">
        <f t="shared" si="26"/>
        <v>31955.594558580004</v>
      </c>
      <c r="O93" s="311">
        <f t="shared" si="27"/>
        <v>0.79172213602922781</v>
      </c>
      <c r="P93" s="343" t="s">
        <v>1076</v>
      </c>
      <c r="Q93" s="343" t="s">
        <v>1076</v>
      </c>
    </row>
    <row r="94" spans="1:17" ht="89.25">
      <c r="A94" s="140" t="s">
        <v>175</v>
      </c>
      <c r="B94" s="1" t="s">
        <v>176</v>
      </c>
      <c r="C94" s="332" t="s">
        <v>177</v>
      </c>
      <c r="D94" s="1" t="s">
        <v>19</v>
      </c>
      <c r="E94" s="1" t="s">
        <v>67</v>
      </c>
      <c r="F94" s="56">
        <v>180.48</v>
      </c>
      <c r="G94" s="56">
        <v>11.03</v>
      </c>
      <c r="H94" s="121">
        <f>G94*$Q$10</f>
        <v>14.046704999999999</v>
      </c>
      <c r="I94" s="125">
        <f>H94*F94</f>
        <v>2535.1493183999996</v>
      </c>
      <c r="J94" s="291">
        <f>'BM-06'!L73</f>
        <v>162.423</v>
      </c>
      <c r="K94" s="317">
        <f t="shared" si="24"/>
        <v>2281.5079662150001</v>
      </c>
      <c r="L94" s="125">
        <f t="shared" si="35"/>
        <v>18.056999999999988</v>
      </c>
      <c r="M94" s="317">
        <f t="shared" si="25"/>
        <v>253.64135218499982</v>
      </c>
      <c r="N94" s="317">
        <f t="shared" si="26"/>
        <v>2535.1493184000001</v>
      </c>
      <c r="O94" s="311">
        <f t="shared" si="27"/>
        <v>1.0000000000000002</v>
      </c>
      <c r="P94" s="343"/>
      <c r="Q94" s="343"/>
    </row>
    <row r="95" spans="1:17" ht="51">
      <c r="A95" s="140" t="s">
        <v>178</v>
      </c>
      <c r="B95" s="1" t="s">
        <v>179</v>
      </c>
      <c r="C95" s="332" t="s">
        <v>180</v>
      </c>
      <c r="D95" s="1" t="s">
        <v>19</v>
      </c>
      <c r="E95" s="1" t="s">
        <v>67</v>
      </c>
      <c r="F95" s="56">
        <v>180.48</v>
      </c>
      <c r="G95" s="56">
        <v>41.91</v>
      </c>
      <c r="H95" s="121">
        <f>G95*$Q$10</f>
        <v>53.372385000000001</v>
      </c>
      <c r="I95" s="125">
        <f>H95*F95</f>
        <v>9632.6480448000002</v>
      </c>
      <c r="J95" s="291">
        <f>'BM-06'!L74</f>
        <v>0</v>
      </c>
      <c r="K95" s="317">
        <f t="shared" si="24"/>
        <v>0</v>
      </c>
      <c r="L95" s="125"/>
      <c r="M95" s="317">
        <f t="shared" si="25"/>
        <v>0</v>
      </c>
      <c r="N95" s="317">
        <f t="shared" si="26"/>
        <v>0</v>
      </c>
      <c r="O95" s="311">
        <f t="shared" si="27"/>
        <v>0</v>
      </c>
      <c r="P95" s="343"/>
      <c r="Q95" s="343"/>
    </row>
    <row r="96" spans="1:17" ht="76.5">
      <c r="A96" s="140" t="s">
        <v>181</v>
      </c>
      <c r="B96" s="1" t="s">
        <v>182</v>
      </c>
      <c r="C96" s="332" t="s">
        <v>183</v>
      </c>
      <c r="D96" s="1" t="s">
        <v>19</v>
      </c>
      <c r="E96" s="1" t="s">
        <v>29</v>
      </c>
      <c r="F96" s="56">
        <v>0.42</v>
      </c>
      <c r="G96" s="56">
        <v>263.22000000000003</v>
      </c>
      <c r="H96" s="121">
        <f>G96*$Q$10</f>
        <v>335.21067000000005</v>
      </c>
      <c r="I96" s="125">
        <f>H96*F96</f>
        <v>140.78848140000002</v>
      </c>
      <c r="J96" s="291">
        <f>'BM-06'!L75</f>
        <v>0</v>
      </c>
      <c r="K96" s="317">
        <f t="shared" si="24"/>
        <v>0</v>
      </c>
      <c r="L96" s="125"/>
      <c r="M96" s="317">
        <f t="shared" si="25"/>
        <v>0</v>
      </c>
      <c r="N96" s="317">
        <f t="shared" si="26"/>
        <v>0</v>
      </c>
      <c r="O96" s="311">
        <f t="shared" si="27"/>
        <v>0</v>
      </c>
      <c r="P96" s="343"/>
      <c r="Q96" s="343"/>
    </row>
    <row r="97" spans="1:17">
      <c r="A97" s="140"/>
      <c r="B97" s="2"/>
      <c r="C97" s="333"/>
      <c r="D97" s="2"/>
      <c r="E97" s="2"/>
      <c r="F97" s="57"/>
      <c r="G97" s="57"/>
      <c r="H97" s="122"/>
      <c r="I97" s="127">
        <f>SUM(I92:I96)</f>
        <v>60629.407685100006</v>
      </c>
      <c r="J97" s="127">
        <f t="shared" ref="J97:K97" si="36">SUM(J92:J96)</f>
        <v>3947.7709999999997</v>
      </c>
      <c r="K97" s="318">
        <f t="shared" si="36"/>
        <v>41113.193801355003</v>
      </c>
      <c r="L97" s="127"/>
      <c r="M97" s="318">
        <f t="shared" ref="M97" si="37">SUM(M92:M96)</f>
        <v>1336.2384044249993</v>
      </c>
      <c r="N97" s="317">
        <f t="shared" si="26"/>
        <v>42449.432205780002</v>
      </c>
      <c r="O97" s="311">
        <f t="shared" si="27"/>
        <v>0.70014591642154822</v>
      </c>
      <c r="P97" s="343"/>
      <c r="Q97" s="343"/>
    </row>
    <row r="98" spans="1:17" s="144" customFormat="1">
      <c r="A98" s="140"/>
      <c r="B98" s="162"/>
      <c r="C98" s="334"/>
      <c r="D98" s="141"/>
      <c r="E98" s="141"/>
      <c r="F98" s="142"/>
      <c r="G98" s="142"/>
      <c r="H98" s="143"/>
      <c r="I98" s="164"/>
      <c r="J98" s="293"/>
      <c r="K98" s="293"/>
      <c r="L98" s="293"/>
      <c r="M98" s="293"/>
      <c r="N98" s="293"/>
      <c r="O98" s="293"/>
      <c r="P98" s="343"/>
      <c r="Q98" s="343"/>
    </row>
    <row r="99" spans="1:17" ht="30" customHeight="1">
      <c r="A99" s="230" t="s">
        <v>184</v>
      </c>
      <c r="B99" s="369" t="s">
        <v>185</v>
      </c>
      <c r="C99" s="370"/>
      <c r="D99" s="146"/>
      <c r="E99" s="146"/>
      <c r="F99" s="146"/>
      <c r="G99" s="146"/>
      <c r="H99" s="146"/>
      <c r="I99" s="366"/>
      <c r="J99" s="146"/>
      <c r="K99" s="146"/>
      <c r="L99" s="146"/>
      <c r="M99" s="146"/>
      <c r="N99" s="146"/>
      <c r="O99" s="146"/>
      <c r="P99" s="343"/>
      <c r="Q99" s="343"/>
    </row>
    <row r="100" spans="1:17" ht="76.5">
      <c r="A100" s="140" t="s">
        <v>186</v>
      </c>
      <c r="B100" s="1" t="s">
        <v>187</v>
      </c>
      <c r="C100" s="332" t="s">
        <v>188</v>
      </c>
      <c r="D100" s="1" t="s">
        <v>19</v>
      </c>
      <c r="E100" s="1" t="s">
        <v>115</v>
      </c>
      <c r="F100" s="56">
        <v>2</v>
      </c>
      <c r="G100" s="56">
        <v>531.51</v>
      </c>
      <c r="H100" s="121">
        <f t="shared" ref="H100:H113" si="38">G100*$Q$10</f>
        <v>676.87798500000008</v>
      </c>
      <c r="I100" s="125">
        <f t="shared" ref="I100:I113" si="39">H100*F100</f>
        <v>1353.7559700000002</v>
      </c>
      <c r="J100" s="291">
        <f>'BM-06'!L78</f>
        <v>0</v>
      </c>
      <c r="K100" s="317">
        <f t="shared" si="24"/>
        <v>0</v>
      </c>
      <c r="L100" s="125"/>
      <c r="M100" s="317">
        <f t="shared" si="25"/>
        <v>0</v>
      </c>
      <c r="N100" s="317">
        <f t="shared" si="26"/>
        <v>0</v>
      </c>
      <c r="O100" s="311">
        <f t="shared" si="27"/>
        <v>0</v>
      </c>
      <c r="P100" s="343"/>
      <c r="Q100" s="343"/>
    </row>
    <row r="101" spans="1:17" ht="76.5">
      <c r="A101" s="140" t="s">
        <v>189</v>
      </c>
      <c r="B101" s="1" t="s">
        <v>190</v>
      </c>
      <c r="C101" s="332" t="s">
        <v>191</v>
      </c>
      <c r="D101" s="1" t="s">
        <v>19</v>
      </c>
      <c r="E101" s="1" t="s">
        <v>115</v>
      </c>
      <c r="F101" s="56">
        <v>4</v>
      </c>
      <c r="G101" s="56">
        <v>527.07000000000005</v>
      </c>
      <c r="H101" s="121">
        <f t="shared" si="38"/>
        <v>671.22364500000015</v>
      </c>
      <c r="I101" s="125">
        <f t="shared" si="39"/>
        <v>2684.8945800000006</v>
      </c>
      <c r="J101" s="291">
        <f>'BM-06'!L79</f>
        <v>0</v>
      </c>
      <c r="K101" s="317">
        <f t="shared" si="24"/>
        <v>0</v>
      </c>
      <c r="L101" s="125"/>
      <c r="M101" s="317">
        <f t="shared" si="25"/>
        <v>0</v>
      </c>
      <c r="N101" s="317">
        <f t="shared" si="26"/>
        <v>0</v>
      </c>
      <c r="O101" s="311">
        <f t="shared" si="27"/>
        <v>0</v>
      </c>
      <c r="P101" s="343"/>
      <c r="Q101" s="343"/>
    </row>
    <row r="102" spans="1:17" ht="76.5">
      <c r="A102" s="140" t="s">
        <v>192</v>
      </c>
      <c r="B102" s="1" t="s">
        <v>193</v>
      </c>
      <c r="C102" s="332" t="s">
        <v>194</v>
      </c>
      <c r="D102" s="1" t="s">
        <v>19</v>
      </c>
      <c r="E102" s="1" t="s">
        <v>115</v>
      </c>
      <c r="F102" s="56">
        <v>10</v>
      </c>
      <c r="G102" s="56">
        <v>552.88</v>
      </c>
      <c r="H102" s="121">
        <f t="shared" si="38"/>
        <v>704.09268000000009</v>
      </c>
      <c r="I102" s="125">
        <f t="shared" si="39"/>
        <v>7040.9268000000011</v>
      </c>
      <c r="J102" s="291">
        <f>'BM-06'!L80</f>
        <v>0</v>
      </c>
      <c r="K102" s="317">
        <f t="shared" si="24"/>
        <v>0</v>
      </c>
      <c r="L102" s="125"/>
      <c r="M102" s="317">
        <f t="shared" si="25"/>
        <v>0</v>
      </c>
      <c r="N102" s="317">
        <f t="shared" si="26"/>
        <v>0</v>
      </c>
      <c r="O102" s="311">
        <f t="shared" si="27"/>
        <v>0</v>
      </c>
      <c r="P102" s="343"/>
      <c r="Q102" s="343"/>
    </row>
    <row r="103" spans="1:17" ht="76.5">
      <c r="A103" s="140" t="s">
        <v>195</v>
      </c>
      <c r="B103" s="1" t="s">
        <v>196</v>
      </c>
      <c r="C103" s="332" t="s">
        <v>197</v>
      </c>
      <c r="D103" s="1" t="s">
        <v>19</v>
      </c>
      <c r="E103" s="1" t="s">
        <v>115</v>
      </c>
      <c r="F103" s="56">
        <v>6</v>
      </c>
      <c r="G103" s="56">
        <v>603</v>
      </c>
      <c r="H103" s="121">
        <f t="shared" si="38"/>
        <v>767.92050000000006</v>
      </c>
      <c r="I103" s="125">
        <f t="shared" si="39"/>
        <v>4607.5230000000001</v>
      </c>
      <c r="J103" s="291">
        <f>'BM-06'!L81</f>
        <v>0</v>
      </c>
      <c r="K103" s="317">
        <f t="shared" si="24"/>
        <v>0</v>
      </c>
      <c r="L103" s="125"/>
      <c r="M103" s="317">
        <f t="shared" si="25"/>
        <v>0</v>
      </c>
      <c r="N103" s="317">
        <f t="shared" si="26"/>
        <v>0</v>
      </c>
      <c r="O103" s="311">
        <f t="shared" si="27"/>
        <v>0</v>
      </c>
      <c r="P103" s="343"/>
      <c r="Q103" s="343"/>
    </row>
    <row r="104" spans="1:17" ht="38.25">
      <c r="A104" s="140" t="s">
        <v>198</v>
      </c>
      <c r="B104" s="1" t="s">
        <v>199</v>
      </c>
      <c r="C104" s="332" t="s">
        <v>200</v>
      </c>
      <c r="D104" s="1" t="s">
        <v>19</v>
      </c>
      <c r="E104" s="1" t="s">
        <v>67</v>
      </c>
      <c r="F104" s="56">
        <v>8.82</v>
      </c>
      <c r="G104" s="56">
        <v>433.8</v>
      </c>
      <c r="H104" s="121">
        <f t="shared" si="38"/>
        <v>552.4443</v>
      </c>
      <c r="I104" s="125">
        <f t="shared" si="39"/>
        <v>4872.5587260000002</v>
      </c>
      <c r="J104" s="291">
        <f>'BM-06'!L82</f>
        <v>0</v>
      </c>
      <c r="K104" s="317">
        <f t="shared" si="24"/>
        <v>0</v>
      </c>
      <c r="L104" s="125"/>
      <c r="M104" s="317">
        <f t="shared" si="25"/>
        <v>0</v>
      </c>
      <c r="N104" s="317">
        <f t="shared" si="26"/>
        <v>0</v>
      </c>
      <c r="O104" s="311">
        <f t="shared" si="27"/>
        <v>0</v>
      </c>
      <c r="P104" s="343"/>
      <c r="Q104" s="343"/>
    </row>
    <row r="105" spans="1:17" ht="25.5">
      <c r="A105" s="140" t="s">
        <v>201</v>
      </c>
      <c r="B105" s="1" t="s">
        <v>202</v>
      </c>
      <c r="C105" s="332" t="s">
        <v>203</v>
      </c>
      <c r="D105" s="1" t="s">
        <v>10</v>
      </c>
      <c r="E105" s="1" t="s">
        <v>11</v>
      </c>
      <c r="F105" s="56">
        <v>33</v>
      </c>
      <c r="G105" s="56">
        <v>445.08</v>
      </c>
      <c r="H105" s="121">
        <f t="shared" si="38"/>
        <v>566.80938000000003</v>
      </c>
      <c r="I105" s="125">
        <f t="shared" si="39"/>
        <v>18704.70954</v>
      </c>
      <c r="J105" s="291">
        <f>'BM-06'!L83</f>
        <v>0</v>
      </c>
      <c r="K105" s="317">
        <f t="shared" si="24"/>
        <v>0</v>
      </c>
      <c r="L105" s="125"/>
      <c r="M105" s="317">
        <f t="shared" si="25"/>
        <v>0</v>
      </c>
      <c r="N105" s="317">
        <f t="shared" si="26"/>
        <v>0</v>
      </c>
      <c r="O105" s="311">
        <f t="shared" si="27"/>
        <v>0</v>
      </c>
      <c r="P105" s="343"/>
      <c r="Q105" s="343"/>
    </row>
    <row r="106" spans="1:17">
      <c r="A106" s="140" t="s">
        <v>204</v>
      </c>
      <c r="B106" s="1" t="s">
        <v>205</v>
      </c>
      <c r="C106" s="332" t="s">
        <v>206</v>
      </c>
      <c r="D106" s="1" t="s">
        <v>10</v>
      </c>
      <c r="E106" s="1" t="s">
        <v>11</v>
      </c>
      <c r="F106" s="56">
        <v>33</v>
      </c>
      <c r="G106" s="56">
        <v>122.9</v>
      </c>
      <c r="H106" s="121">
        <f t="shared" si="38"/>
        <v>156.51315000000002</v>
      </c>
      <c r="I106" s="125">
        <f t="shared" si="39"/>
        <v>5164.9339500000006</v>
      </c>
      <c r="J106" s="291">
        <f>'BM-06'!L84</f>
        <v>0</v>
      </c>
      <c r="K106" s="317">
        <f t="shared" si="24"/>
        <v>0</v>
      </c>
      <c r="L106" s="125"/>
      <c r="M106" s="317">
        <f t="shared" si="25"/>
        <v>0</v>
      </c>
      <c r="N106" s="317">
        <f t="shared" si="26"/>
        <v>0</v>
      </c>
      <c r="O106" s="311">
        <f t="shared" si="27"/>
        <v>0</v>
      </c>
      <c r="P106" s="343"/>
      <c r="Q106" s="343"/>
    </row>
    <row r="107" spans="1:17" ht="63.75">
      <c r="A107" s="140" t="s">
        <v>207</v>
      </c>
      <c r="B107" s="1" t="s">
        <v>208</v>
      </c>
      <c r="C107" s="332" t="s">
        <v>209</v>
      </c>
      <c r="D107" s="1" t="s">
        <v>19</v>
      </c>
      <c r="E107" s="1" t="s">
        <v>67</v>
      </c>
      <c r="F107" s="56">
        <v>2.25</v>
      </c>
      <c r="G107" s="56">
        <v>434.36</v>
      </c>
      <c r="H107" s="121">
        <f t="shared" si="38"/>
        <v>553.15746000000001</v>
      </c>
      <c r="I107" s="125">
        <f t="shared" si="39"/>
        <v>1244.6042850000001</v>
      </c>
      <c r="J107" s="291">
        <f>'BM-06'!L85</f>
        <v>0</v>
      </c>
      <c r="K107" s="317">
        <f t="shared" si="24"/>
        <v>0</v>
      </c>
      <c r="L107" s="125"/>
      <c r="M107" s="317">
        <f t="shared" si="25"/>
        <v>0</v>
      </c>
      <c r="N107" s="317">
        <f t="shared" si="26"/>
        <v>0</v>
      </c>
      <c r="O107" s="311">
        <f t="shared" si="27"/>
        <v>0</v>
      </c>
      <c r="P107" s="343"/>
      <c r="Q107" s="343"/>
    </row>
    <row r="108" spans="1:17" ht="51">
      <c r="A108" s="140" t="s">
        <v>210</v>
      </c>
      <c r="B108" s="1" t="s">
        <v>211</v>
      </c>
      <c r="C108" s="332" t="s">
        <v>212</v>
      </c>
      <c r="D108" s="1" t="s">
        <v>19</v>
      </c>
      <c r="E108" s="1" t="s">
        <v>67</v>
      </c>
      <c r="F108" s="56">
        <v>3.2</v>
      </c>
      <c r="G108" s="56">
        <v>666.48</v>
      </c>
      <c r="H108" s="121">
        <f t="shared" si="38"/>
        <v>848.76228000000003</v>
      </c>
      <c r="I108" s="125">
        <v>2716.49</v>
      </c>
      <c r="J108" s="291">
        <f>'BM-06'!L86</f>
        <v>0</v>
      </c>
      <c r="K108" s="317">
        <f t="shared" si="24"/>
        <v>0</v>
      </c>
      <c r="L108" s="125"/>
      <c r="M108" s="317">
        <f t="shared" si="25"/>
        <v>0</v>
      </c>
      <c r="N108" s="317">
        <f t="shared" si="26"/>
        <v>0</v>
      </c>
      <c r="O108" s="311">
        <f t="shared" si="27"/>
        <v>0</v>
      </c>
      <c r="P108" s="343"/>
      <c r="Q108" s="343"/>
    </row>
    <row r="109" spans="1:17" ht="38.25">
      <c r="A109" s="140" t="s">
        <v>213</v>
      </c>
      <c r="B109" s="1" t="s">
        <v>214</v>
      </c>
      <c r="C109" s="332" t="s">
        <v>215</v>
      </c>
      <c r="D109" s="1" t="s">
        <v>10</v>
      </c>
      <c r="E109" s="1" t="s">
        <v>11</v>
      </c>
      <c r="F109" s="56">
        <v>50.71</v>
      </c>
      <c r="G109" s="56">
        <v>282.06</v>
      </c>
      <c r="H109" s="121">
        <f t="shared" si="38"/>
        <v>359.20341000000002</v>
      </c>
      <c r="I109" s="125">
        <f t="shared" si="39"/>
        <v>18215.204921100001</v>
      </c>
      <c r="J109" s="291">
        <f>'BM-06'!L87</f>
        <v>0</v>
      </c>
      <c r="K109" s="317">
        <f t="shared" si="24"/>
        <v>0</v>
      </c>
      <c r="L109" s="125"/>
      <c r="M109" s="317">
        <f t="shared" si="25"/>
        <v>0</v>
      </c>
      <c r="N109" s="317">
        <f t="shared" si="26"/>
        <v>0</v>
      </c>
      <c r="O109" s="311">
        <f t="shared" si="27"/>
        <v>0</v>
      </c>
      <c r="P109" s="343"/>
      <c r="Q109" s="343"/>
    </row>
    <row r="110" spans="1:17">
      <c r="A110" s="140" t="s">
        <v>216</v>
      </c>
      <c r="B110" s="1" t="s">
        <v>217</v>
      </c>
      <c r="C110" s="332" t="s">
        <v>218</v>
      </c>
      <c r="D110" s="1" t="s">
        <v>10</v>
      </c>
      <c r="E110" s="1" t="s">
        <v>11</v>
      </c>
      <c r="F110" s="56">
        <v>16.350000000000001</v>
      </c>
      <c r="G110" s="56">
        <v>174.8</v>
      </c>
      <c r="H110" s="121">
        <f t="shared" si="38"/>
        <v>222.60780000000003</v>
      </c>
      <c r="I110" s="125">
        <f t="shared" si="39"/>
        <v>3639.6375300000009</v>
      </c>
      <c r="J110" s="291">
        <f>'BM-06'!L88</f>
        <v>0</v>
      </c>
      <c r="K110" s="317">
        <f t="shared" si="24"/>
        <v>0</v>
      </c>
      <c r="L110" s="125"/>
      <c r="M110" s="317">
        <f t="shared" si="25"/>
        <v>0</v>
      </c>
      <c r="N110" s="317">
        <f t="shared" si="26"/>
        <v>0</v>
      </c>
      <c r="O110" s="311">
        <f t="shared" si="27"/>
        <v>0</v>
      </c>
      <c r="P110" s="343"/>
      <c r="Q110" s="343"/>
    </row>
    <row r="111" spans="1:17" ht="25.5">
      <c r="A111" s="140" t="s">
        <v>219</v>
      </c>
      <c r="B111" s="1" t="s">
        <v>220</v>
      </c>
      <c r="C111" s="332" t="s">
        <v>221</v>
      </c>
      <c r="D111" s="1" t="s">
        <v>10</v>
      </c>
      <c r="E111" s="1" t="s">
        <v>11</v>
      </c>
      <c r="F111" s="56">
        <v>14.35</v>
      </c>
      <c r="G111" s="56">
        <v>430.88</v>
      </c>
      <c r="H111" s="121">
        <f t="shared" si="38"/>
        <v>548.72568000000001</v>
      </c>
      <c r="I111" s="125">
        <f t="shared" si="39"/>
        <v>7874.2135079999998</v>
      </c>
      <c r="J111" s="291">
        <f>'BM-06'!L89</f>
        <v>0</v>
      </c>
      <c r="K111" s="317">
        <f t="shared" si="24"/>
        <v>0</v>
      </c>
      <c r="L111" s="125"/>
      <c r="M111" s="317">
        <f t="shared" si="25"/>
        <v>0</v>
      </c>
      <c r="N111" s="317">
        <f t="shared" si="26"/>
        <v>0</v>
      </c>
      <c r="O111" s="311">
        <f t="shared" si="27"/>
        <v>0</v>
      </c>
      <c r="P111" s="343"/>
      <c r="Q111" s="343"/>
    </row>
    <row r="112" spans="1:17">
      <c r="A112" s="140" t="s">
        <v>222</v>
      </c>
      <c r="B112" s="1" t="s">
        <v>223</v>
      </c>
      <c r="C112" s="332" t="s">
        <v>224</v>
      </c>
      <c r="D112" s="1" t="s">
        <v>10</v>
      </c>
      <c r="E112" s="1" t="s">
        <v>11</v>
      </c>
      <c r="F112" s="56">
        <v>35.159999999999997</v>
      </c>
      <c r="G112" s="56">
        <v>285.70999999999998</v>
      </c>
      <c r="H112" s="121">
        <f t="shared" si="38"/>
        <v>363.85168499999997</v>
      </c>
      <c r="I112" s="125">
        <f t="shared" si="39"/>
        <v>12793.025244599998</v>
      </c>
      <c r="J112" s="291">
        <f>'BM-06'!L90</f>
        <v>0</v>
      </c>
      <c r="K112" s="317">
        <f t="shared" si="24"/>
        <v>0</v>
      </c>
      <c r="L112" s="125"/>
      <c r="M112" s="317">
        <f t="shared" si="25"/>
        <v>0</v>
      </c>
      <c r="N112" s="317">
        <f t="shared" si="26"/>
        <v>0</v>
      </c>
      <c r="O112" s="311">
        <f t="shared" si="27"/>
        <v>0</v>
      </c>
      <c r="P112" s="343"/>
      <c r="Q112" s="343"/>
    </row>
    <row r="113" spans="1:17">
      <c r="A113" s="140" t="s">
        <v>225</v>
      </c>
      <c r="B113" s="1" t="s">
        <v>226</v>
      </c>
      <c r="C113" s="332" t="s">
        <v>227</v>
      </c>
      <c r="D113" s="1" t="s">
        <v>10</v>
      </c>
      <c r="E113" s="1" t="s">
        <v>11</v>
      </c>
      <c r="F113" s="56">
        <v>0.36</v>
      </c>
      <c r="G113" s="56">
        <v>389.08</v>
      </c>
      <c r="H113" s="121">
        <f t="shared" si="38"/>
        <v>495.49338</v>
      </c>
      <c r="I113" s="125">
        <f t="shared" si="39"/>
        <v>178.3776168</v>
      </c>
      <c r="J113" s="291">
        <f>'BM-06'!L91</f>
        <v>0</v>
      </c>
      <c r="K113" s="317">
        <f t="shared" si="24"/>
        <v>0</v>
      </c>
      <c r="L113" s="125"/>
      <c r="M113" s="317">
        <f t="shared" si="25"/>
        <v>0</v>
      </c>
      <c r="N113" s="317">
        <f t="shared" si="26"/>
        <v>0</v>
      </c>
      <c r="O113" s="311">
        <f t="shared" si="27"/>
        <v>0</v>
      </c>
      <c r="P113" s="343"/>
      <c r="Q113" s="343"/>
    </row>
    <row r="114" spans="1:17">
      <c r="A114" s="140"/>
      <c r="B114" s="2"/>
      <c r="C114" s="333"/>
      <c r="D114" s="2"/>
      <c r="E114" s="2"/>
      <c r="F114" s="57"/>
      <c r="G114" s="57"/>
      <c r="H114" s="122"/>
      <c r="I114" s="127">
        <f>SUM(I100:I113)</f>
        <v>91090.855671500001</v>
      </c>
      <c r="J114" s="127">
        <f t="shared" ref="J114:K114" si="40">SUM(J100:J113)</f>
        <v>0</v>
      </c>
      <c r="K114" s="318">
        <f t="shared" si="40"/>
        <v>0</v>
      </c>
      <c r="L114" s="127"/>
      <c r="M114" s="317">
        <f t="shared" si="25"/>
        <v>0</v>
      </c>
      <c r="N114" s="317">
        <f t="shared" si="26"/>
        <v>0</v>
      </c>
      <c r="O114" s="311">
        <f t="shared" si="27"/>
        <v>0</v>
      </c>
      <c r="P114" s="343"/>
      <c r="Q114" s="343"/>
    </row>
    <row r="115" spans="1:17" s="144" customFormat="1">
      <c r="A115" s="140"/>
      <c r="B115" s="162"/>
      <c r="C115" s="334"/>
      <c r="D115" s="141"/>
      <c r="E115" s="141"/>
      <c r="F115" s="142"/>
      <c r="G115" s="142"/>
      <c r="H115" s="143"/>
      <c r="I115" s="164"/>
      <c r="J115" s="293"/>
      <c r="K115" s="317">
        <f t="shared" si="24"/>
        <v>0</v>
      </c>
      <c r="L115" s="164"/>
      <c r="M115" s="317">
        <f t="shared" si="25"/>
        <v>0</v>
      </c>
      <c r="N115" s="317">
        <f t="shared" si="26"/>
        <v>0</v>
      </c>
      <c r="O115" s="311"/>
      <c r="P115" s="343"/>
      <c r="Q115" s="343"/>
    </row>
    <row r="116" spans="1:17" ht="20.100000000000001" customHeight="1">
      <c r="A116" s="230" t="s">
        <v>228</v>
      </c>
      <c r="B116" s="367" t="s">
        <v>229</v>
      </c>
      <c r="C116" s="368"/>
      <c r="D116" s="146"/>
      <c r="E116" s="146"/>
      <c r="F116" s="146"/>
      <c r="G116" s="146"/>
      <c r="H116" s="146"/>
      <c r="I116" s="366"/>
      <c r="J116" s="146"/>
      <c r="K116" s="317">
        <f t="shared" si="24"/>
        <v>0</v>
      </c>
      <c r="L116" s="146"/>
      <c r="M116" s="317">
        <f t="shared" si="25"/>
        <v>0</v>
      </c>
      <c r="N116" s="317">
        <f t="shared" si="26"/>
        <v>0</v>
      </c>
      <c r="O116" s="311"/>
      <c r="P116" s="343"/>
      <c r="Q116" s="343"/>
    </row>
    <row r="117" spans="1:17" ht="60.75" customHeight="1">
      <c r="A117" s="140" t="s">
        <v>233</v>
      </c>
      <c r="B117" s="1" t="s">
        <v>234</v>
      </c>
      <c r="C117" s="332" t="s">
        <v>235</v>
      </c>
      <c r="D117" s="1" t="s">
        <v>19</v>
      </c>
      <c r="E117" s="1" t="s">
        <v>67</v>
      </c>
      <c r="F117" s="56">
        <v>183.4</v>
      </c>
      <c r="G117" s="56">
        <v>64.89</v>
      </c>
      <c r="H117" s="121">
        <f>G117*$Q$10</f>
        <v>82.637415000000004</v>
      </c>
      <c r="I117" s="125">
        <f>H117*F117</f>
        <v>15155.701911000002</v>
      </c>
      <c r="J117" s="291"/>
      <c r="K117" s="317">
        <f t="shared" si="24"/>
        <v>0</v>
      </c>
      <c r="L117" s="125"/>
      <c r="M117" s="317">
        <f t="shared" si="25"/>
        <v>0</v>
      </c>
      <c r="N117" s="317">
        <f t="shared" si="26"/>
        <v>0</v>
      </c>
      <c r="O117" s="311">
        <f t="shared" si="27"/>
        <v>0</v>
      </c>
      <c r="P117" s="343"/>
      <c r="Q117" s="343"/>
    </row>
    <row r="118" spans="1:17">
      <c r="A118" s="140"/>
      <c r="B118" s="2"/>
      <c r="C118" s="333"/>
      <c r="D118" s="2"/>
      <c r="E118" s="2"/>
      <c r="F118" s="57"/>
      <c r="G118" s="57"/>
      <c r="H118" s="122"/>
      <c r="I118" s="127">
        <f>SUM(I117:I117)</f>
        <v>15155.701911000002</v>
      </c>
      <c r="J118" s="127">
        <f t="shared" ref="J118:K118" si="41">SUM(J117:J117)</f>
        <v>0</v>
      </c>
      <c r="K118" s="318">
        <f t="shared" si="41"/>
        <v>0</v>
      </c>
      <c r="L118" s="127"/>
      <c r="M118" s="317">
        <f t="shared" si="25"/>
        <v>0</v>
      </c>
      <c r="N118" s="317">
        <f t="shared" si="26"/>
        <v>0</v>
      </c>
      <c r="O118" s="311">
        <f t="shared" si="27"/>
        <v>0</v>
      </c>
      <c r="P118" s="343"/>
      <c r="Q118" s="343"/>
    </row>
    <row r="119" spans="1:17" s="144" customFormat="1">
      <c r="A119" s="140"/>
      <c r="B119" s="162"/>
      <c r="C119" s="334"/>
      <c r="D119" s="141"/>
      <c r="E119" s="141"/>
      <c r="F119" s="142"/>
      <c r="G119" s="142"/>
      <c r="H119" s="143"/>
      <c r="I119" s="164"/>
      <c r="J119" s="293"/>
      <c r="K119" s="317">
        <f t="shared" si="24"/>
        <v>0</v>
      </c>
      <c r="L119" s="164"/>
      <c r="M119" s="317">
        <f t="shared" si="25"/>
        <v>0</v>
      </c>
      <c r="N119" s="317">
        <f t="shared" si="26"/>
        <v>0</v>
      </c>
      <c r="O119" s="311"/>
      <c r="P119" s="343"/>
      <c r="Q119" s="343"/>
    </row>
    <row r="120" spans="1:17" ht="20.100000000000001" customHeight="1">
      <c r="A120" s="230" t="s">
        <v>236</v>
      </c>
      <c r="B120" s="367" t="s">
        <v>237</v>
      </c>
      <c r="C120" s="368"/>
      <c r="D120" s="146"/>
      <c r="E120" s="146"/>
      <c r="F120" s="146"/>
      <c r="G120" s="146"/>
      <c r="H120" s="146"/>
      <c r="I120" s="366"/>
      <c r="J120" s="146"/>
      <c r="K120" s="317">
        <f t="shared" si="24"/>
        <v>0</v>
      </c>
      <c r="L120" s="146"/>
      <c r="M120" s="317">
        <f t="shared" si="25"/>
        <v>0</v>
      </c>
      <c r="N120" s="317">
        <f t="shared" si="26"/>
        <v>0</v>
      </c>
      <c r="O120" s="311"/>
      <c r="P120" s="343"/>
      <c r="Q120" s="343"/>
    </row>
    <row r="121" spans="1:17" ht="38.25">
      <c r="A121" s="140" t="s">
        <v>238</v>
      </c>
      <c r="B121" s="1" t="s">
        <v>239</v>
      </c>
      <c r="C121" s="332" t="s">
        <v>240</v>
      </c>
      <c r="D121" s="1" t="s">
        <v>19</v>
      </c>
      <c r="E121" s="1" t="s">
        <v>115</v>
      </c>
      <c r="F121" s="56">
        <v>2</v>
      </c>
      <c r="G121" s="56">
        <v>186.33</v>
      </c>
      <c r="H121" s="121">
        <f>G121*$Q$10</f>
        <v>237.29125500000004</v>
      </c>
      <c r="I121" s="125">
        <f>H121*F121</f>
        <v>474.58251000000007</v>
      </c>
      <c r="J121" s="291"/>
      <c r="K121" s="317">
        <f t="shared" si="24"/>
        <v>0</v>
      </c>
      <c r="L121" s="125"/>
      <c r="M121" s="317">
        <f t="shared" si="25"/>
        <v>0</v>
      </c>
      <c r="N121" s="317">
        <f t="shared" si="26"/>
        <v>0</v>
      </c>
      <c r="O121" s="311">
        <f t="shared" si="27"/>
        <v>0</v>
      </c>
      <c r="P121" s="343"/>
      <c r="Q121" s="343"/>
    </row>
    <row r="122" spans="1:17" ht="38.25">
      <c r="A122" s="140" t="s">
        <v>241</v>
      </c>
      <c r="B122" s="1" t="s">
        <v>242</v>
      </c>
      <c r="C122" s="332" t="s">
        <v>243</v>
      </c>
      <c r="D122" s="1" t="s">
        <v>19</v>
      </c>
      <c r="E122" s="1" t="s">
        <v>115</v>
      </c>
      <c r="F122" s="56">
        <v>3</v>
      </c>
      <c r="G122" s="56">
        <v>180.65</v>
      </c>
      <c r="H122" s="121">
        <f>G122*$Q$10</f>
        <v>230.05777500000002</v>
      </c>
      <c r="I122" s="125">
        <f>H122*F122</f>
        <v>690.17332500000009</v>
      </c>
      <c r="J122" s="291"/>
      <c r="K122" s="317">
        <f t="shared" si="24"/>
        <v>0</v>
      </c>
      <c r="L122" s="125"/>
      <c r="M122" s="317">
        <f t="shared" si="25"/>
        <v>0</v>
      </c>
      <c r="N122" s="317">
        <f t="shared" si="26"/>
        <v>0</v>
      </c>
      <c r="O122" s="311">
        <f t="shared" si="27"/>
        <v>0</v>
      </c>
      <c r="P122" s="343"/>
      <c r="Q122" s="343"/>
    </row>
    <row r="123" spans="1:17" ht="38.25">
      <c r="A123" s="140" t="s">
        <v>244</v>
      </c>
      <c r="B123" s="1" t="s">
        <v>245</v>
      </c>
      <c r="C123" s="332" t="s">
        <v>246</v>
      </c>
      <c r="D123" s="1" t="s">
        <v>10</v>
      </c>
      <c r="E123" s="1" t="s">
        <v>15</v>
      </c>
      <c r="F123" s="56">
        <v>4</v>
      </c>
      <c r="G123" s="56">
        <v>204.75</v>
      </c>
      <c r="H123" s="121">
        <f>G123*$Q$10</f>
        <v>260.74912499999999</v>
      </c>
      <c r="I123" s="125">
        <f>H123*F123</f>
        <v>1042.9965</v>
      </c>
      <c r="J123" s="291"/>
      <c r="K123" s="317">
        <f t="shared" si="24"/>
        <v>0</v>
      </c>
      <c r="L123" s="125"/>
      <c r="M123" s="317">
        <f t="shared" si="25"/>
        <v>0</v>
      </c>
      <c r="N123" s="317">
        <f t="shared" si="26"/>
        <v>0</v>
      </c>
      <c r="O123" s="311">
        <f t="shared" si="27"/>
        <v>0</v>
      </c>
      <c r="P123" s="343"/>
      <c r="Q123" s="343"/>
    </row>
    <row r="124" spans="1:17" ht="51">
      <c r="A124" s="140" t="s">
        <v>247</v>
      </c>
      <c r="B124" s="1" t="s">
        <v>248</v>
      </c>
      <c r="C124" s="332" t="s">
        <v>249</v>
      </c>
      <c r="D124" s="1" t="s">
        <v>10</v>
      </c>
      <c r="E124" s="1" t="s">
        <v>250</v>
      </c>
      <c r="F124" s="56">
        <v>9</v>
      </c>
      <c r="G124" s="56">
        <v>26.04</v>
      </c>
      <c r="H124" s="121">
        <f>G124*$Q$10</f>
        <v>33.161940000000001</v>
      </c>
      <c r="I124" s="125">
        <f>H124*F124</f>
        <v>298.45746000000003</v>
      </c>
      <c r="J124" s="291"/>
      <c r="K124" s="317">
        <f t="shared" si="24"/>
        <v>0</v>
      </c>
      <c r="L124" s="125"/>
      <c r="M124" s="317">
        <f t="shared" si="25"/>
        <v>0</v>
      </c>
      <c r="N124" s="317">
        <f t="shared" si="26"/>
        <v>0</v>
      </c>
      <c r="O124" s="311">
        <f t="shared" si="27"/>
        <v>0</v>
      </c>
      <c r="P124" s="343"/>
      <c r="Q124" s="343"/>
    </row>
    <row r="125" spans="1:17" ht="25.5">
      <c r="A125" s="140" t="s">
        <v>251</v>
      </c>
      <c r="B125" s="1" t="s">
        <v>252</v>
      </c>
      <c r="C125" s="332" t="s">
        <v>253</v>
      </c>
      <c r="D125" s="1" t="s">
        <v>10</v>
      </c>
      <c r="E125" s="1" t="s">
        <v>15</v>
      </c>
      <c r="F125" s="56">
        <v>5</v>
      </c>
      <c r="G125" s="56">
        <v>12.94</v>
      </c>
      <c r="H125" s="121">
        <f>G125*$Q$10</f>
        <v>16.479089999999999</v>
      </c>
      <c r="I125" s="125">
        <f>H125*F125</f>
        <v>82.395449999999997</v>
      </c>
      <c r="J125" s="291"/>
      <c r="K125" s="317">
        <f t="shared" si="24"/>
        <v>0</v>
      </c>
      <c r="L125" s="125"/>
      <c r="M125" s="317">
        <f t="shared" si="25"/>
        <v>0</v>
      </c>
      <c r="N125" s="317">
        <f t="shared" si="26"/>
        <v>0</v>
      </c>
      <c r="O125" s="311">
        <f t="shared" si="27"/>
        <v>0</v>
      </c>
      <c r="P125" s="343"/>
      <c r="Q125" s="343"/>
    </row>
    <row r="126" spans="1:17">
      <c r="A126" s="140"/>
      <c r="B126" s="2"/>
      <c r="C126" s="333"/>
      <c r="D126" s="2"/>
      <c r="E126" s="2"/>
      <c r="F126" s="57"/>
      <c r="G126" s="57"/>
      <c r="H126" s="122"/>
      <c r="I126" s="127">
        <f>SUM(I121:I125)</f>
        <v>2588.6052450000002</v>
      </c>
      <c r="J126" s="127">
        <f t="shared" ref="J126:K126" si="42">SUM(J121:J125)</f>
        <v>0</v>
      </c>
      <c r="K126" s="318">
        <f t="shared" si="42"/>
        <v>0</v>
      </c>
      <c r="L126" s="127"/>
      <c r="M126" s="317">
        <f t="shared" si="25"/>
        <v>0</v>
      </c>
      <c r="N126" s="317">
        <f t="shared" si="26"/>
        <v>0</v>
      </c>
      <c r="O126" s="311">
        <f t="shared" si="27"/>
        <v>0</v>
      </c>
      <c r="P126" s="343"/>
      <c r="Q126" s="343"/>
    </row>
    <row r="127" spans="1:17" s="144" customFormat="1">
      <c r="A127" s="140"/>
      <c r="B127" s="162"/>
      <c r="C127" s="334"/>
      <c r="D127" s="141"/>
      <c r="E127" s="141"/>
      <c r="F127" s="142"/>
      <c r="G127" s="142"/>
      <c r="H127" s="143"/>
      <c r="I127" s="164"/>
      <c r="J127" s="293"/>
      <c r="K127" s="293"/>
      <c r="L127" s="293"/>
      <c r="M127" s="293"/>
      <c r="N127" s="293"/>
      <c r="O127" s="311"/>
      <c r="P127" s="343"/>
      <c r="Q127" s="343"/>
    </row>
    <row r="128" spans="1:17" ht="20.100000000000001" customHeight="1">
      <c r="A128" s="230" t="s">
        <v>254</v>
      </c>
      <c r="B128" s="367" t="s">
        <v>255</v>
      </c>
      <c r="C128" s="368"/>
      <c r="D128" s="146"/>
      <c r="E128" s="146"/>
      <c r="F128" s="146"/>
      <c r="G128" s="146"/>
      <c r="H128" s="146"/>
      <c r="I128" s="366"/>
      <c r="J128" s="146"/>
      <c r="K128" s="146"/>
      <c r="L128" s="146"/>
      <c r="M128" s="146"/>
      <c r="N128" s="146"/>
      <c r="O128" s="311"/>
      <c r="P128" s="343"/>
      <c r="Q128" s="343"/>
    </row>
    <row r="129" spans="1:17">
      <c r="A129" s="140" t="s">
        <v>256</v>
      </c>
      <c r="B129" s="1" t="s">
        <v>257</v>
      </c>
      <c r="C129" s="332" t="s">
        <v>258</v>
      </c>
      <c r="D129" s="1" t="s">
        <v>259</v>
      </c>
      <c r="E129" s="1" t="s">
        <v>115</v>
      </c>
      <c r="F129" s="56">
        <v>119</v>
      </c>
      <c r="G129" s="56">
        <v>7.07</v>
      </c>
      <c r="H129" s="121">
        <f t="shared" ref="H129:H175" si="43">G129*$Q$10</f>
        <v>9.0036450000000006</v>
      </c>
      <c r="I129" s="125">
        <f t="shared" ref="I129:I175" si="44">H129*F129</f>
        <v>1071.433755</v>
      </c>
      <c r="J129" s="291"/>
      <c r="K129" s="317">
        <f t="shared" si="24"/>
        <v>0</v>
      </c>
      <c r="L129" s="125"/>
      <c r="M129" s="317">
        <f t="shared" si="25"/>
        <v>0</v>
      </c>
      <c r="N129" s="317">
        <f t="shared" si="26"/>
        <v>0</v>
      </c>
      <c r="O129" s="311">
        <f t="shared" si="27"/>
        <v>0</v>
      </c>
      <c r="P129" s="343"/>
      <c r="Q129" s="343"/>
    </row>
    <row r="130" spans="1:17" ht="38.25">
      <c r="A130" s="140" t="s">
        <v>260</v>
      </c>
      <c r="B130" s="1" t="s">
        <v>261</v>
      </c>
      <c r="C130" s="332" t="s">
        <v>262</v>
      </c>
      <c r="D130" s="1" t="s">
        <v>19</v>
      </c>
      <c r="E130" s="1" t="s">
        <v>115</v>
      </c>
      <c r="F130" s="56">
        <v>8</v>
      </c>
      <c r="G130" s="56">
        <v>5.83</v>
      </c>
      <c r="H130" s="121">
        <f t="shared" si="43"/>
        <v>7.4245050000000008</v>
      </c>
      <c r="I130" s="125">
        <f t="shared" si="44"/>
        <v>59.396040000000006</v>
      </c>
      <c r="J130" s="291"/>
      <c r="K130" s="317">
        <f t="shared" si="24"/>
        <v>0</v>
      </c>
      <c r="L130" s="125"/>
      <c r="M130" s="317">
        <f t="shared" si="25"/>
        <v>0</v>
      </c>
      <c r="N130" s="317">
        <f t="shared" si="26"/>
        <v>0</v>
      </c>
      <c r="O130" s="311">
        <f t="shared" si="27"/>
        <v>0</v>
      </c>
      <c r="P130" s="343"/>
      <c r="Q130" s="343"/>
    </row>
    <row r="131" spans="1:17" ht="51">
      <c r="A131" s="140" t="s">
        <v>263</v>
      </c>
      <c r="B131" s="1" t="s">
        <v>264</v>
      </c>
      <c r="C131" s="332" t="s">
        <v>265</v>
      </c>
      <c r="D131" s="1" t="s">
        <v>19</v>
      </c>
      <c r="E131" s="1" t="s">
        <v>115</v>
      </c>
      <c r="F131" s="56">
        <v>10</v>
      </c>
      <c r="G131" s="56">
        <v>10.97</v>
      </c>
      <c r="H131" s="121">
        <f t="shared" si="43"/>
        <v>13.970295000000002</v>
      </c>
      <c r="I131" s="125">
        <f t="shared" si="44"/>
        <v>139.70295000000002</v>
      </c>
      <c r="J131" s="291"/>
      <c r="K131" s="317">
        <f t="shared" si="24"/>
        <v>0</v>
      </c>
      <c r="L131" s="125"/>
      <c r="M131" s="317">
        <f t="shared" si="25"/>
        <v>0</v>
      </c>
      <c r="N131" s="317">
        <f t="shared" si="26"/>
        <v>0</v>
      </c>
      <c r="O131" s="311">
        <f t="shared" si="27"/>
        <v>0</v>
      </c>
      <c r="P131" s="343"/>
      <c r="Q131" s="343"/>
    </row>
    <row r="132" spans="1:17" ht="51">
      <c r="A132" s="140" t="s">
        <v>266</v>
      </c>
      <c r="B132" s="1" t="s">
        <v>267</v>
      </c>
      <c r="C132" s="332" t="s">
        <v>268</v>
      </c>
      <c r="D132" s="1" t="s">
        <v>19</v>
      </c>
      <c r="E132" s="1" t="s">
        <v>115</v>
      </c>
      <c r="F132" s="56">
        <v>6</v>
      </c>
      <c r="G132" s="56">
        <v>12.5</v>
      </c>
      <c r="H132" s="121">
        <f t="shared" si="43"/>
        <v>15.918750000000001</v>
      </c>
      <c r="I132" s="125">
        <f t="shared" si="44"/>
        <v>95.512500000000003</v>
      </c>
      <c r="J132" s="291"/>
      <c r="K132" s="317">
        <f t="shared" si="24"/>
        <v>0</v>
      </c>
      <c r="L132" s="125"/>
      <c r="M132" s="317">
        <f t="shared" si="25"/>
        <v>0</v>
      </c>
      <c r="N132" s="317">
        <f t="shared" si="26"/>
        <v>0</v>
      </c>
      <c r="O132" s="311">
        <f t="shared" si="27"/>
        <v>0</v>
      </c>
      <c r="P132" s="343"/>
      <c r="Q132" s="343"/>
    </row>
    <row r="133" spans="1:17" ht="51">
      <c r="A133" s="140" t="s">
        <v>269</v>
      </c>
      <c r="B133" s="1" t="s">
        <v>270</v>
      </c>
      <c r="C133" s="332" t="s">
        <v>271</v>
      </c>
      <c r="D133" s="1" t="s">
        <v>19</v>
      </c>
      <c r="E133" s="1" t="s">
        <v>20</v>
      </c>
      <c r="F133" s="56">
        <v>203.96</v>
      </c>
      <c r="G133" s="56">
        <v>8.6</v>
      </c>
      <c r="H133" s="121">
        <f t="shared" si="43"/>
        <v>10.9521</v>
      </c>
      <c r="I133" s="125">
        <f t="shared" si="44"/>
        <v>2233.7903160000001</v>
      </c>
      <c r="J133" s="291"/>
      <c r="K133" s="317">
        <f t="shared" si="24"/>
        <v>0</v>
      </c>
      <c r="L133" s="125"/>
      <c r="M133" s="317">
        <f t="shared" si="25"/>
        <v>0</v>
      </c>
      <c r="N133" s="317">
        <f t="shared" si="26"/>
        <v>0</v>
      </c>
      <c r="O133" s="311">
        <f t="shared" si="27"/>
        <v>0</v>
      </c>
      <c r="P133" s="343"/>
      <c r="Q133" s="343"/>
    </row>
    <row r="134" spans="1:17" ht="51">
      <c r="A134" s="140" t="s">
        <v>272</v>
      </c>
      <c r="B134" s="1" t="s">
        <v>273</v>
      </c>
      <c r="C134" s="332" t="s">
        <v>274</v>
      </c>
      <c r="D134" s="1" t="s">
        <v>19</v>
      </c>
      <c r="E134" s="1" t="s">
        <v>20</v>
      </c>
      <c r="F134" s="56">
        <v>18.809999999999999</v>
      </c>
      <c r="G134" s="56">
        <v>9.2899999999999991</v>
      </c>
      <c r="H134" s="121">
        <f t="shared" si="43"/>
        <v>11.830814999999999</v>
      </c>
      <c r="I134" s="177">
        <f t="shared" si="44"/>
        <v>222.53763014999998</v>
      </c>
      <c r="J134" s="291"/>
      <c r="K134" s="317">
        <f t="shared" si="24"/>
        <v>0</v>
      </c>
      <c r="L134" s="125"/>
      <c r="M134" s="317">
        <f t="shared" si="25"/>
        <v>0</v>
      </c>
      <c r="N134" s="317">
        <f t="shared" si="26"/>
        <v>0</v>
      </c>
      <c r="O134" s="311">
        <f t="shared" si="27"/>
        <v>0</v>
      </c>
      <c r="P134" s="343"/>
      <c r="Q134" s="343"/>
    </row>
    <row r="135" spans="1:17" s="144" customFormat="1" ht="51">
      <c r="A135" s="140" t="s">
        <v>275</v>
      </c>
      <c r="B135" s="141" t="s">
        <v>276</v>
      </c>
      <c r="C135" s="338" t="s">
        <v>277</v>
      </c>
      <c r="D135" s="141" t="s">
        <v>19</v>
      </c>
      <c r="E135" s="141" t="s">
        <v>20</v>
      </c>
      <c r="F135" s="142">
        <v>0</v>
      </c>
      <c r="G135" s="142">
        <v>5.36</v>
      </c>
      <c r="H135" s="143">
        <f t="shared" si="43"/>
        <v>6.8259600000000011</v>
      </c>
      <c r="I135" s="177">
        <f t="shared" si="44"/>
        <v>0</v>
      </c>
      <c r="J135" s="295"/>
      <c r="K135" s="317">
        <f t="shared" si="24"/>
        <v>0</v>
      </c>
      <c r="L135" s="177"/>
      <c r="M135" s="317">
        <f t="shared" si="25"/>
        <v>0</v>
      </c>
      <c r="N135" s="317">
        <f t="shared" si="26"/>
        <v>0</v>
      </c>
      <c r="O135" s="311"/>
      <c r="P135" s="343"/>
      <c r="Q135" s="343"/>
    </row>
    <row r="136" spans="1:17" s="144" customFormat="1" ht="25.5">
      <c r="A136" s="140" t="s">
        <v>278</v>
      </c>
      <c r="B136" s="141" t="s">
        <v>279</v>
      </c>
      <c r="C136" s="338" t="s">
        <v>280</v>
      </c>
      <c r="D136" s="141" t="s">
        <v>19</v>
      </c>
      <c r="E136" s="141" t="s">
        <v>20</v>
      </c>
      <c r="F136" s="142">
        <v>0</v>
      </c>
      <c r="G136" s="142">
        <v>9.08</v>
      </c>
      <c r="H136" s="143">
        <f t="shared" si="43"/>
        <v>11.56338</v>
      </c>
      <c r="I136" s="177">
        <f t="shared" si="44"/>
        <v>0</v>
      </c>
      <c r="J136" s="295"/>
      <c r="K136" s="317">
        <f t="shared" si="24"/>
        <v>0</v>
      </c>
      <c r="L136" s="177"/>
      <c r="M136" s="317">
        <f t="shared" si="25"/>
        <v>0</v>
      </c>
      <c r="N136" s="317">
        <f t="shared" si="26"/>
        <v>0</v>
      </c>
      <c r="O136" s="311"/>
      <c r="P136" s="343"/>
      <c r="Q136" s="343"/>
    </row>
    <row r="137" spans="1:17" ht="51">
      <c r="A137" s="140" t="s">
        <v>281</v>
      </c>
      <c r="B137" s="1" t="s">
        <v>282</v>
      </c>
      <c r="C137" s="332" t="s">
        <v>283</v>
      </c>
      <c r="D137" s="1" t="s">
        <v>19</v>
      </c>
      <c r="E137" s="1" t="s">
        <v>20</v>
      </c>
      <c r="F137" s="56">
        <v>20.3</v>
      </c>
      <c r="G137" s="56">
        <v>11.61</v>
      </c>
      <c r="H137" s="121">
        <f t="shared" si="43"/>
        <v>14.785335</v>
      </c>
      <c r="I137" s="177">
        <f t="shared" si="44"/>
        <v>300.14230050000003</v>
      </c>
      <c r="J137" s="291"/>
      <c r="K137" s="317">
        <f t="shared" si="24"/>
        <v>0</v>
      </c>
      <c r="L137" s="125"/>
      <c r="M137" s="317">
        <f t="shared" si="25"/>
        <v>0</v>
      </c>
      <c r="N137" s="317">
        <f t="shared" si="26"/>
        <v>0</v>
      </c>
      <c r="O137" s="311">
        <f t="shared" si="27"/>
        <v>0</v>
      </c>
      <c r="P137" s="343"/>
      <c r="Q137" s="343"/>
    </row>
    <row r="138" spans="1:17" ht="51">
      <c r="A138" s="140" t="s">
        <v>284</v>
      </c>
      <c r="B138" s="1" t="s">
        <v>285</v>
      </c>
      <c r="C138" s="332" t="s">
        <v>286</v>
      </c>
      <c r="D138" s="1" t="s">
        <v>19</v>
      </c>
      <c r="E138" s="1" t="s">
        <v>20</v>
      </c>
      <c r="F138" s="56">
        <v>205</v>
      </c>
      <c r="G138" s="56">
        <v>9.59</v>
      </c>
      <c r="H138" s="121">
        <f t="shared" si="43"/>
        <v>12.212865000000001</v>
      </c>
      <c r="I138" s="125">
        <f t="shared" si="44"/>
        <v>2503.6373250000001</v>
      </c>
      <c r="J138" s="291"/>
      <c r="K138" s="317">
        <f t="shared" si="24"/>
        <v>0</v>
      </c>
      <c r="L138" s="125"/>
      <c r="M138" s="317">
        <f t="shared" si="25"/>
        <v>0</v>
      </c>
      <c r="N138" s="317">
        <f t="shared" si="26"/>
        <v>0</v>
      </c>
      <c r="O138" s="311">
        <f t="shared" si="27"/>
        <v>0</v>
      </c>
      <c r="P138" s="343"/>
      <c r="Q138" s="343"/>
    </row>
    <row r="139" spans="1:17" ht="51">
      <c r="A139" s="140" t="s">
        <v>287</v>
      </c>
      <c r="B139" s="1" t="s">
        <v>288</v>
      </c>
      <c r="C139" s="332" t="s">
        <v>289</v>
      </c>
      <c r="D139" s="1" t="s">
        <v>19</v>
      </c>
      <c r="E139" s="1" t="s">
        <v>115</v>
      </c>
      <c r="F139" s="56">
        <v>6</v>
      </c>
      <c r="G139" s="56">
        <v>5.3</v>
      </c>
      <c r="H139" s="121">
        <f t="shared" si="43"/>
        <v>6.7495500000000002</v>
      </c>
      <c r="I139" s="125">
        <f t="shared" si="44"/>
        <v>40.497300000000003</v>
      </c>
      <c r="J139" s="291"/>
      <c r="K139" s="317">
        <f t="shared" ref="K139:K202" si="45">J139*H139</f>
        <v>0</v>
      </c>
      <c r="L139" s="125"/>
      <c r="M139" s="317">
        <f t="shared" ref="M139:M202" si="46">L139*H139</f>
        <v>0</v>
      </c>
      <c r="N139" s="317">
        <f t="shared" ref="N139:N202" si="47">M139+K139</f>
        <v>0</v>
      </c>
      <c r="O139" s="311">
        <f t="shared" ref="O139:O202" si="48">N139/I139</f>
        <v>0</v>
      </c>
      <c r="P139" s="343"/>
      <c r="Q139" s="343"/>
    </row>
    <row r="140" spans="1:17" ht="51">
      <c r="A140" s="140" t="s">
        <v>290</v>
      </c>
      <c r="B140" s="1" t="s">
        <v>291</v>
      </c>
      <c r="C140" s="332" t="s">
        <v>292</v>
      </c>
      <c r="D140" s="1" t="s">
        <v>19</v>
      </c>
      <c r="E140" s="1" t="s">
        <v>115</v>
      </c>
      <c r="F140" s="56">
        <v>14</v>
      </c>
      <c r="G140" s="56">
        <v>7.01</v>
      </c>
      <c r="H140" s="121">
        <f t="shared" si="43"/>
        <v>8.9272349999999996</v>
      </c>
      <c r="I140" s="125">
        <f t="shared" si="44"/>
        <v>124.98129</v>
      </c>
      <c r="J140" s="291"/>
      <c r="K140" s="317">
        <f t="shared" si="45"/>
        <v>0</v>
      </c>
      <c r="L140" s="125"/>
      <c r="M140" s="317">
        <f t="shared" si="46"/>
        <v>0</v>
      </c>
      <c r="N140" s="317">
        <f t="shared" si="47"/>
        <v>0</v>
      </c>
      <c r="O140" s="311">
        <f t="shared" si="48"/>
        <v>0</v>
      </c>
      <c r="P140" s="343"/>
      <c r="Q140" s="343"/>
    </row>
    <row r="141" spans="1:17" s="144" customFormat="1" ht="38.25">
      <c r="A141" s="140" t="s">
        <v>293</v>
      </c>
      <c r="B141" s="141" t="s">
        <v>294</v>
      </c>
      <c r="C141" s="338" t="s">
        <v>295</v>
      </c>
      <c r="D141" s="141" t="s">
        <v>19</v>
      </c>
      <c r="E141" s="141" t="s">
        <v>115</v>
      </c>
      <c r="F141" s="142">
        <v>0</v>
      </c>
      <c r="G141" s="142">
        <v>9.07</v>
      </c>
      <c r="H141" s="143">
        <f t="shared" si="43"/>
        <v>11.550645000000001</v>
      </c>
      <c r="I141" s="177">
        <f t="shared" si="44"/>
        <v>0</v>
      </c>
      <c r="J141" s="295"/>
      <c r="K141" s="317">
        <f t="shared" si="45"/>
        <v>0</v>
      </c>
      <c r="L141" s="177"/>
      <c r="M141" s="317">
        <f t="shared" si="46"/>
        <v>0</v>
      </c>
      <c r="N141" s="317">
        <f t="shared" si="47"/>
        <v>0</v>
      </c>
      <c r="O141" s="311"/>
      <c r="P141" s="343"/>
      <c r="Q141" s="343"/>
    </row>
    <row r="142" spans="1:17" ht="63.75">
      <c r="A142" s="140" t="s">
        <v>296</v>
      </c>
      <c r="B142" s="1" t="s">
        <v>297</v>
      </c>
      <c r="C142" s="332" t="s">
        <v>298</v>
      </c>
      <c r="D142" s="1" t="s">
        <v>19</v>
      </c>
      <c r="E142" s="1" t="s">
        <v>115</v>
      </c>
      <c r="F142" s="56">
        <v>1</v>
      </c>
      <c r="G142" s="56">
        <v>490.95</v>
      </c>
      <c r="H142" s="121">
        <f t="shared" si="43"/>
        <v>625.22482500000001</v>
      </c>
      <c r="I142" s="125">
        <f t="shared" si="44"/>
        <v>625.22482500000001</v>
      </c>
      <c r="J142" s="291"/>
      <c r="K142" s="317">
        <f t="shared" si="45"/>
        <v>0</v>
      </c>
      <c r="L142" s="125"/>
      <c r="M142" s="317">
        <f t="shared" si="46"/>
        <v>0</v>
      </c>
      <c r="N142" s="317">
        <f t="shared" si="47"/>
        <v>0</v>
      </c>
      <c r="O142" s="311">
        <f t="shared" si="48"/>
        <v>0</v>
      </c>
      <c r="P142" s="343"/>
      <c r="Q142" s="343"/>
    </row>
    <row r="143" spans="1:17" ht="63.75">
      <c r="A143" s="140" t="s">
        <v>299</v>
      </c>
      <c r="B143" s="1" t="s">
        <v>300</v>
      </c>
      <c r="C143" s="332" t="s">
        <v>301</v>
      </c>
      <c r="D143" s="1" t="s">
        <v>19</v>
      </c>
      <c r="E143" s="1" t="s">
        <v>115</v>
      </c>
      <c r="F143" s="56">
        <v>1</v>
      </c>
      <c r="G143" s="56">
        <v>460.24</v>
      </c>
      <c r="H143" s="121">
        <f t="shared" si="43"/>
        <v>586.1156400000001</v>
      </c>
      <c r="I143" s="125">
        <f t="shared" si="44"/>
        <v>586.1156400000001</v>
      </c>
      <c r="J143" s="291"/>
      <c r="K143" s="317">
        <f t="shared" si="45"/>
        <v>0</v>
      </c>
      <c r="L143" s="125"/>
      <c r="M143" s="317">
        <f t="shared" si="46"/>
        <v>0</v>
      </c>
      <c r="N143" s="317">
        <f t="shared" si="47"/>
        <v>0</v>
      </c>
      <c r="O143" s="311">
        <f t="shared" si="48"/>
        <v>0</v>
      </c>
      <c r="P143" s="343"/>
      <c r="Q143" s="343"/>
    </row>
    <row r="144" spans="1:17">
      <c r="A144" s="140" t="s">
        <v>302</v>
      </c>
      <c r="B144" s="1" t="s">
        <v>303</v>
      </c>
      <c r="C144" s="332" t="s">
        <v>304</v>
      </c>
      <c r="D144" s="1"/>
      <c r="E144" s="1" t="s">
        <v>305</v>
      </c>
      <c r="F144" s="56">
        <v>41</v>
      </c>
      <c r="G144" s="56">
        <v>22.26</v>
      </c>
      <c r="H144" s="121">
        <f t="shared" si="43"/>
        <v>28.348110000000002</v>
      </c>
      <c r="I144" s="125">
        <f t="shared" si="44"/>
        <v>1162.27251</v>
      </c>
      <c r="J144" s="291"/>
      <c r="K144" s="317">
        <f t="shared" si="45"/>
        <v>0</v>
      </c>
      <c r="L144" s="125"/>
      <c r="M144" s="317">
        <f t="shared" si="46"/>
        <v>0</v>
      </c>
      <c r="N144" s="317">
        <f t="shared" si="47"/>
        <v>0</v>
      </c>
      <c r="O144" s="311">
        <f t="shared" si="48"/>
        <v>0</v>
      </c>
      <c r="P144" s="343"/>
      <c r="Q144" s="343"/>
    </row>
    <row r="145" spans="1:17" ht="25.5">
      <c r="A145" s="140" t="s">
        <v>306</v>
      </c>
      <c r="B145" s="1" t="s">
        <v>307</v>
      </c>
      <c r="C145" s="332" t="s">
        <v>308</v>
      </c>
      <c r="D145" s="1" t="s">
        <v>10</v>
      </c>
      <c r="E145" s="1" t="s">
        <v>15</v>
      </c>
      <c r="F145" s="56">
        <v>6</v>
      </c>
      <c r="G145" s="56">
        <v>71.28</v>
      </c>
      <c r="H145" s="121">
        <f t="shared" si="43"/>
        <v>90.775080000000003</v>
      </c>
      <c r="I145" s="125">
        <f t="shared" si="44"/>
        <v>544.65048000000002</v>
      </c>
      <c r="J145" s="291"/>
      <c r="K145" s="317">
        <f t="shared" si="45"/>
        <v>0</v>
      </c>
      <c r="L145" s="125"/>
      <c r="M145" s="317">
        <f t="shared" si="46"/>
        <v>0</v>
      </c>
      <c r="N145" s="317">
        <f t="shared" si="47"/>
        <v>0</v>
      </c>
      <c r="O145" s="311">
        <f t="shared" si="48"/>
        <v>0</v>
      </c>
      <c r="P145" s="343"/>
      <c r="Q145" s="343"/>
    </row>
    <row r="146" spans="1:17" ht="38.25">
      <c r="A146" s="140" t="s">
        <v>309</v>
      </c>
      <c r="B146" s="1" t="s">
        <v>310</v>
      </c>
      <c r="C146" s="332" t="s">
        <v>311</v>
      </c>
      <c r="D146" s="1" t="s">
        <v>19</v>
      </c>
      <c r="E146" s="1" t="s">
        <v>115</v>
      </c>
      <c r="F146" s="56">
        <v>11</v>
      </c>
      <c r="G146" s="56">
        <v>26.34</v>
      </c>
      <c r="H146" s="121">
        <f t="shared" si="43"/>
        <v>33.543990000000001</v>
      </c>
      <c r="I146" s="125">
        <f t="shared" si="44"/>
        <v>368.98389000000003</v>
      </c>
      <c r="J146" s="291"/>
      <c r="K146" s="317">
        <f t="shared" si="45"/>
        <v>0</v>
      </c>
      <c r="L146" s="125"/>
      <c r="M146" s="317">
        <f t="shared" si="46"/>
        <v>0</v>
      </c>
      <c r="N146" s="317">
        <f t="shared" si="47"/>
        <v>0</v>
      </c>
      <c r="O146" s="311">
        <f t="shared" si="48"/>
        <v>0</v>
      </c>
      <c r="P146" s="343"/>
      <c r="Q146" s="343"/>
    </row>
    <row r="147" spans="1:17" ht="38.25">
      <c r="A147" s="140" t="s">
        <v>312</v>
      </c>
      <c r="B147" s="1" t="s">
        <v>313</v>
      </c>
      <c r="C147" s="332" t="s">
        <v>314</v>
      </c>
      <c r="D147" s="1" t="s">
        <v>19</v>
      </c>
      <c r="E147" s="1" t="s">
        <v>115</v>
      </c>
      <c r="F147" s="56">
        <v>8</v>
      </c>
      <c r="G147" s="56">
        <v>30.42</v>
      </c>
      <c r="H147" s="121">
        <f t="shared" si="43"/>
        <v>38.739870000000003</v>
      </c>
      <c r="I147" s="125">
        <f t="shared" si="44"/>
        <v>309.91896000000003</v>
      </c>
      <c r="J147" s="291"/>
      <c r="K147" s="317">
        <f t="shared" si="45"/>
        <v>0</v>
      </c>
      <c r="L147" s="125"/>
      <c r="M147" s="317">
        <f t="shared" si="46"/>
        <v>0</v>
      </c>
      <c r="N147" s="317">
        <f t="shared" si="47"/>
        <v>0</v>
      </c>
      <c r="O147" s="311">
        <f t="shared" si="48"/>
        <v>0</v>
      </c>
      <c r="P147" s="343"/>
      <c r="Q147" s="343"/>
    </row>
    <row r="148" spans="1:17" ht="51">
      <c r="A148" s="140" t="s">
        <v>315</v>
      </c>
      <c r="B148" s="1" t="s">
        <v>316</v>
      </c>
      <c r="C148" s="332" t="s">
        <v>317</v>
      </c>
      <c r="D148" s="1" t="s">
        <v>19</v>
      </c>
      <c r="E148" s="1" t="s">
        <v>115</v>
      </c>
      <c r="F148" s="56">
        <v>1</v>
      </c>
      <c r="G148" s="56">
        <v>54.64</v>
      </c>
      <c r="H148" s="121">
        <f t="shared" si="43"/>
        <v>69.584040000000002</v>
      </c>
      <c r="I148" s="125">
        <f t="shared" si="44"/>
        <v>69.584040000000002</v>
      </c>
      <c r="J148" s="291"/>
      <c r="K148" s="317">
        <f t="shared" si="45"/>
        <v>0</v>
      </c>
      <c r="L148" s="125"/>
      <c r="M148" s="317">
        <f t="shared" si="46"/>
        <v>0</v>
      </c>
      <c r="N148" s="317">
        <f t="shared" si="47"/>
        <v>0</v>
      </c>
      <c r="O148" s="311">
        <f t="shared" si="48"/>
        <v>0</v>
      </c>
      <c r="P148" s="343"/>
      <c r="Q148" s="343"/>
    </row>
    <row r="149" spans="1:17" ht="51">
      <c r="A149" s="140" t="s">
        <v>318</v>
      </c>
      <c r="B149" s="1" t="s">
        <v>319</v>
      </c>
      <c r="C149" s="332" t="s">
        <v>320</v>
      </c>
      <c r="D149" s="1" t="s">
        <v>19</v>
      </c>
      <c r="E149" s="1" t="s">
        <v>115</v>
      </c>
      <c r="F149" s="56">
        <v>6</v>
      </c>
      <c r="G149" s="56">
        <v>85.63</v>
      </c>
      <c r="H149" s="121">
        <f t="shared" si="43"/>
        <v>109.04980500000001</v>
      </c>
      <c r="I149" s="125">
        <f t="shared" si="44"/>
        <v>654.29883000000007</v>
      </c>
      <c r="J149" s="291"/>
      <c r="K149" s="317">
        <f t="shared" si="45"/>
        <v>0</v>
      </c>
      <c r="L149" s="125"/>
      <c r="M149" s="317">
        <f t="shared" si="46"/>
        <v>0</v>
      </c>
      <c r="N149" s="317">
        <f t="shared" si="47"/>
        <v>0</v>
      </c>
      <c r="O149" s="311">
        <f t="shared" si="48"/>
        <v>0</v>
      </c>
      <c r="P149" s="343"/>
      <c r="Q149" s="343"/>
    </row>
    <row r="150" spans="1:17" ht="51">
      <c r="A150" s="140" t="s">
        <v>321</v>
      </c>
      <c r="B150" s="1" t="s">
        <v>322</v>
      </c>
      <c r="C150" s="332" t="s">
        <v>323</v>
      </c>
      <c r="D150" s="1" t="s">
        <v>19</v>
      </c>
      <c r="E150" s="1" t="s">
        <v>115</v>
      </c>
      <c r="F150" s="56">
        <v>81</v>
      </c>
      <c r="G150" s="56">
        <v>117.08</v>
      </c>
      <c r="H150" s="121">
        <f t="shared" si="43"/>
        <v>149.10138000000001</v>
      </c>
      <c r="I150" s="125">
        <f t="shared" si="44"/>
        <v>12077.21178</v>
      </c>
      <c r="J150" s="291"/>
      <c r="K150" s="317">
        <f t="shared" si="45"/>
        <v>0</v>
      </c>
      <c r="L150" s="125"/>
      <c r="M150" s="317">
        <f t="shared" si="46"/>
        <v>0</v>
      </c>
      <c r="N150" s="317">
        <f t="shared" si="47"/>
        <v>0</v>
      </c>
      <c r="O150" s="311">
        <f t="shared" si="48"/>
        <v>0</v>
      </c>
      <c r="P150" s="343"/>
      <c r="Q150" s="343"/>
    </row>
    <row r="151" spans="1:17" ht="51">
      <c r="A151" s="140" t="s">
        <v>324</v>
      </c>
      <c r="B151" s="1" t="s">
        <v>325</v>
      </c>
      <c r="C151" s="332" t="s">
        <v>326</v>
      </c>
      <c r="D151" s="1" t="s">
        <v>19</v>
      </c>
      <c r="E151" s="1" t="s">
        <v>20</v>
      </c>
      <c r="F151" s="56">
        <v>64.95</v>
      </c>
      <c r="G151" s="56">
        <v>13.87</v>
      </c>
      <c r="H151" s="121">
        <f t="shared" si="43"/>
        <v>17.663444999999999</v>
      </c>
      <c r="I151" s="125">
        <f t="shared" si="44"/>
        <v>1147.24075275</v>
      </c>
      <c r="J151" s="291"/>
      <c r="K151" s="317">
        <f t="shared" si="45"/>
        <v>0</v>
      </c>
      <c r="L151" s="125"/>
      <c r="M151" s="317">
        <f t="shared" si="46"/>
        <v>0</v>
      </c>
      <c r="N151" s="317">
        <f t="shared" si="47"/>
        <v>0</v>
      </c>
      <c r="O151" s="311">
        <f t="shared" si="48"/>
        <v>0</v>
      </c>
      <c r="P151" s="343"/>
      <c r="Q151" s="343"/>
    </row>
    <row r="152" spans="1:17" ht="51">
      <c r="A152" s="140" t="s">
        <v>327</v>
      </c>
      <c r="B152" s="1" t="s">
        <v>325</v>
      </c>
      <c r="C152" s="332" t="s">
        <v>326</v>
      </c>
      <c r="D152" s="1" t="s">
        <v>19</v>
      </c>
      <c r="E152" s="1" t="s">
        <v>20</v>
      </c>
      <c r="F152" s="56">
        <v>21.65</v>
      </c>
      <c r="G152" s="56">
        <v>13.87</v>
      </c>
      <c r="H152" s="121">
        <f t="shared" si="43"/>
        <v>17.663444999999999</v>
      </c>
      <c r="I152" s="125">
        <f t="shared" si="44"/>
        <v>382.41358424999999</v>
      </c>
      <c r="J152" s="291"/>
      <c r="K152" s="317">
        <f t="shared" si="45"/>
        <v>0</v>
      </c>
      <c r="L152" s="125"/>
      <c r="M152" s="317">
        <f t="shared" si="46"/>
        <v>0</v>
      </c>
      <c r="N152" s="317">
        <f t="shared" si="47"/>
        <v>0</v>
      </c>
      <c r="O152" s="311">
        <f t="shared" si="48"/>
        <v>0</v>
      </c>
      <c r="P152" s="343"/>
      <c r="Q152" s="343"/>
    </row>
    <row r="153" spans="1:17" ht="51">
      <c r="A153" s="140" t="s">
        <v>328</v>
      </c>
      <c r="B153" s="1" t="s">
        <v>325</v>
      </c>
      <c r="C153" s="332" t="s">
        <v>326</v>
      </c>
      <c r="D153" s="1" t="s">
        <v>19</v>
      </c>
      <c r="E153" s="1" t="s">
        <v>20</v>
      </c>
      <c r="F153" s="56">
        <v>30.65</v>
      </c>
      <c r="G153" s="56">
        <v>13.87</v>
      </c>
      <c r="H153" s="121">
        <f t="shared" si="43"/>
        <v>17.663444999999999</v>
      </c>
      <c r="I153" s="125">
        <f t="shared" si="44"/>
        <v>541.38458924999998</v>
      </c>
      <c r="J153" s="291"/>
      <c r="K153" s="317">
        <f t="shared" si="45"/>
        <v>0</v>
      </c>
      <c r="L153" s="125"/>
      <c r="M153" s="317">
        <f t="shared" si="46"/>
        <v>0</v>
      </c>
      <c r="N153" s="317">
        <f t="shared" si="47"/>
        <v>0</v>
      </c>
      <c r="O153" s="311">
        <f t="shared" si="48"/>
        <v>0</v>
      </c>
      <c r="P153" s="343"/>
      <c r="Q153" s="343"/>
    </row>
    <row r="154" spans="1:17" ht="38.25">
      <c r="A154" s="140" t="s">
        <v>329</v>
      </c>
      <c r="B154" s="1" t="s">
        <v>330</v>
      </c>
      <c r="C154" s="332" t="s">
        <v>331</v>
      </c>
      <c r="D154" s="1" t="s">
        <v>10</v>
      </c>
      <c r="E154" s="1" t="s">
        <v>15</v>
      </c>
      <c r="F154" s="56">
        <v>4</v>
      </c>
      <c r="G154" s="56">
        <v>137.51</v>
      </c>
      <c r="H154" s="121">
        <f t="shared" si="43"/>
        <v>175.11898500000001</v>
      </c>
      <c r="I154" s="125">
        <f t="shared" si="44"/>
        <v>700.47594000000004</v>
      </c>
      <c r="J154" s="291"/>
      <c r="K154" s="317">
        <f t="shared" si="45"/>
        <v>0</v>
      </c>
      <c r="L154" s="125"/>
      <c r="M154" s="317">
        <f t="shared" si="46"/>
        <v>0</v>
      </c>
      <c r="N154" s="317">
        <f t="shared" si="47"/>
        <v>0</v>
      </c>
      <c r="O154" s="311">
        <f t="shared" si="48"/>
        <v>0</v>
      </c>
      <c r="P154" s="343"/>
      <c r="Q154" s="343"/>
    </row>
    <row r="155" spans="1:17" ht="38.25">
      <c r="A155" s="140" t="s">
        <v>332</v>
      </c>
      <c r="B155" s="1" t="s">
        <v>333</v>
      </c>
      <c r="C155" s="332" t="s">
        <v>334</v>
      </c>
      <c r="D155" s="1" t="s">
        <v>19</v>
      </c>
      <c r="E155" s="1" t="s">
        <v>115</v>
      </c>
      <c r="F155" s="56">
        <v>15</v>
      </c>
      <c r="G155" s="56">
        <v>8.34</v>
      </c>
      <c r="H155" s="121">
        <f t="shared" si="43"/>
        <v>10.620990000000001</v>
      </c>
      <c r="I155" s="125">
        <f t="shared" si="44"/>
        <v>159.31485000000001</v>
      </c>
      <c r="J155" s="291"/>
      <c r="K155" s="317">
        <f t="shared" si="45"/>
        <v>0</v>
      </c>
      <c r="L155" s="125"/>
      <c r="M155" s="317">
        <f t="shared" si="46"/>
        <v>0</v>
      </c>
      <c r="N155" s="317">
        <f t="shared" si="47"/>
        <v>0</v>
      </c>
      <c r="O155" s="311">
        <f t="shared" si="48"/>
        <v>0</v>
      </c>
      <c r="P155" s="343"/>
      <c r="Q155" s="343"/>
    </row>
    <row r="156" spans="1:17" ht="38.25">
      <c r="A156" s="140" t="s">
        <v>335</v>
      </c>
      <c r="B156" s="1" t="s">
        <v>336</v>
      </c>
      <c r="C156" s="332" t="s">
        <v>337</v>
      </c>
      <c r="D156" s="1" t="s">
        <v>19</v>
      </c>
      <c r="E156" s="1" t="s">
        <v>115</v>
      </c>
      <c r="F156" s="56">
        <v>3</v>
      </c>
      <c r="G156" s="56">
        <v>7.22</v>
      </c>
      <c r="H156" s="121">
        <f t="shared" si="43"/>
        <v>9.1946700000000003</v>
      </c>
      <c r="I156" s="125">
        <f t="shared" si="44"/>
        <v>27.584009999999999</v>
      </c>
      <c r="J156" s="291"/>
      <c r="K156" s="317">
        <f t="shared" si="45"/>
        <v>0</v>
      </c>
      <c r="L156" s="125"/>
      <c r="M156" s="317">
        <f t="shared" si="46"/>
        <v>0</v>
      </c>
      <c r="N156" s="317">
        <f t="shared" si="47"/>
        <v>0</v>
      </c>
      <c r="O156" s="311">
        <f t="shared" si="48"/>
        <v>0</v>
      </c>
      <c r="P156" s="343"/>
      <c r="Q156" s="343"/>
    </row>
    <row r="157" spans="1:17" ht="38.25">
      <c r="A157" s="140" t="s">
        <v>338</v>
      </c>
      <c r="B157" s="1" t="s">
        <v>339</v>
      </c>
      <c r="C157" s="332" t="s">
        <v>340</v>
      </c>
      <c r="D157" s="1" t="s">
        <v>19</v>
      </c>
      <c r="E157" s="1" t="s">
        <v>115</v>
      </c>
      <c r="F157" s="56">
        <v>2</v>
      </c>
      <c r="G157" s="56">
        <v>57.46</v>
      </c>
      <c r="H157" s="121">
        <f t="shared" si="43"/>
        <v>73.17531000000001</v>
      </c>
      <c r="I157" s="125">
        <f t="shared" si="44"/>
        <v>146.35062000000002</v>
      </c>
      <c r="J157" s="291"/>
      <c r="K157" s="317">
        <f t="shared" si="45"/>
        <v>0</v>
      </c>
      <c r="L157" s="125"/>
      <c r="M157" s="317">
        <f t="shared" si="46"/>
        <v>0</v>
      </c>
      <c r="N157" s="317">
        <f t="shared" si="47"/>
        <v>0</v>
      </c>
      <c r="O157" s="311">
        <f t="shared" si="48"/>
        <v>0</v>
      </c>
      <c r="P157" s="343"/>
      <c r="Q157" s="343"/>
    </row>
    <row r="158" spans="1:17" ht="38.25">
      <c r="A158" s="140" t="s">
        <v>341</v>
      </c>
      <c r="B158" s="1" t="s">
        <v>339</v>
      </c>
      <c r="C158" s="332" t="s">
        <v>340</v>
      </c>
      <c r="D158" s="1" t="s">
        <v>19</v>
      </c>
      <c r="E158" s="1" t="s">
        <v>115</v>
      </c>
      <c r="F158" s="56">
        <v>2</v>
      </c>
      <c r="G158" s="56">
        <v>57.46</v>
      </c>
      <c r="H158" s="121">
        <f t="shared" si="43"/>
        <v>73.17531000000001</v>
      </c>
      <c r="I158" s="125">
        <f t="shared" si="44"/>
        <v>146.35062000000002</v>
      </c>
      <c r="J158" s="291"/>
      <c r="K158" s="317">
        <f t="shared" si="45"/>
        <v>0</v>
      </c>
      <c r="L158" s="125"/>
      <c r="M158" s="317">
        <f t="shared" si="46"/>
        <v>0</v>
      </c>
      <c r="N158" s="317">
        <f t="shared" si="47"/>
        <v>0</v>
      </c>
      <c r="O158" s="311">
        <f t="shared" si="48"/>
        <v>0</v>
      </c>
      <c r="P158" s="343"/>
      <c r="Q158" s="343"/>
    </row>
    <row r="159" spans="1:17" ht="38.25">
      <c r="A159" s="140" t="s">
        <v>342</v>
      </c>
      <c r="B159" s="1" t="s">
        <v>343</v>
      </c>
      <c r="C159" s="332" t="s">
        <v>344</v>
      </c>
      <c r="D159" s="1" t="s">
        <v>19</v>
      </c>
      <c r="E159" s="1" t="s">
        <v>20</v>
      </c>
      <c r="F159" s="56">
        <v>585.29999999999995</v>
      </c>
      <c r="G159" s="56">
        <v>5.22</v>
      </c>
      <c r="H159" s="121">
        <f t="shared" si="43"/>
        <v>6.6476699999999997</v>
      </c>
      <c r="I159" s="125">
        <f t="shared" si="44"/>
        <v>3890.8812509999993</v>
      </c>
      <c r="J159" s="291"/>
      <c r="K159" s="317">
        <f t="shared" si="45"/>
        <v>0</v>
      </c>
      <c r="L159" s="125"/>
      <c r="M159" s="317">
        <f t="shared" si="46"/>
        <v>0</v>
      </c>
      <c r="N159" s="317">
        <f t="shared" si="47"/>
        <v>0</v>
      </c>
      <c r="O159" s="311">
        <f t="shared" si="48"/>
        <v>0</v>
      </c>
      <c r="P159" s="343"/>
      <c r="Q159" s="343"/>
    </row>
    <row r="160" spans="1:17" ht="38.25">
      <c r="A160" s="140" t="s">
        <v>345</v>
      </c>
      <c r="B160" s="1" t="s">
        <v>346</v>
      </c>
      <c r="C160" s="332" t="s">
        <v>347</v>
      </c>
      <c r="D160" s="1" t="s">
        <v>19</v>
      </c>
      <c r="E160" s="1" t="s">
        <v>20</v>
      </c>
      <c r="F160" s="56">
        <v>451.74</v>
      </c>
      <c r="G160" s="56">
        <v>2.14</v>
      </c>
      <c r="H160" s="121">
        <f t="shared" si="43"/>
        <v>2.7252900000000002</v>
      </c>
      <c r="I160" s="125">
        <f t="shared" si="44"/>
        <v>1231.1225046000002</v>
      </c>
      <c r="J160" s="291"/>
      <c r="K160" s="317">
        <f t="shared" si="45"/>
        <v>0</v>
      </c>
      <c r="L160" s="125"/>
      <c r="M160" s="317">
        <f t="shared" si="46"/>
        <v>0</v>
      </c>
      <c r="N160" s="317">
        <f t="shared" si="47"/>
        <v>0</v>
      </c>
      <c r="O160" s="311">
        <f t="shared" si="48"/>
        <v>0</v>
      </c>
      <c r="P160" s="343"/>
      <c r="Q160" s="343"/>
    </row>
    <row r="161" spans="1:17" ht="25.5">
      <c r="A161" s="140" t="s">
        <v>348</v>
      </c>
      <c r="B161" s="1" t="s">
        <v>349</v>
      </c>
      <c r="C161" s="332" t="s">
        <v>350</v>
      </c>
      <c r="D161" s="1"/>
      <c r="E161" s="1" t="s">
        <v>351</v>
      </c>
      <c r="F161" s="56">
        <v>1</v>
      </c>
      <c r="G161" s="56">
        <v>180</v>
      </c>
      <c r="H161" s="121">
        <f t="shared" si="43"/>
        <v>229.23000000000002</v>
      </c>
      <c r="I161" s="125">
        <f t="shared" si="44"/>
        <v>229.23000000000002</v>
      </c>
      <c r="J161" s="291"/>
      <c r="K161" s="317">
        <f t="shared" si="45"/>
        <v>0</v>
      </c>
      <c r="L161" s="125"/>
      <c r="M161" s="317">
        <f t="shared" si="46"/>
        <v>0</v>
      </c>
      <c r="N161" s="317">
        <f t="shared" si="47"/>
        <v>0</v>
      </c>
      <c r="O161" s="311">
        <f t="shared" si="48"/>
        <v>0</v>
      </c>
      <c r="P161" s="343"/>
      <c r="Q161" s="343"/>
    </row>
    <row r="162" spans="1:17" ht="38.25">
      <c r="A162" s="140" t="s">
        <v>352</v>
      </c>
      <c r="B162" s="1" t="s">
        <v>353</v>
      </c>
      <c r="C162" s="332" t="s">
        <v>354</v>
      </c>
      <c r="D162" s="1" t="s">
        <v>19</v>
      </c>
      <c r="E162" s="1" t="s">
        <v>115</v>
      </c>
      <c r="F162" s="56">
        <v>3</v>
      </c>
      <c r="G162" s="56">
        <v>31.04</v>
      </c>
      <c r="H162" s="121">
        <f t="shared" si="43"/>
        <v>39.529440000000001</v>
      </c>
      <c r="I162" s="125">
        <f t="shared" si="44"/>
        <v>118.58832000000001</v>
      </c>
      <c r="J162" s="291"/>
      <c r="K162" s="317">
        <f t="shared" si="45"/>
        <v>0</v>
      </c>
      <c r="L162" s="125"/>
      <c r="M162" s="317">
        <f t="shared" si="46"/>
        <v>0</v>
      </c>
      <c r="N162" s="317">
        <f t="shared" si="47"/>
        <v>0</v>
      </c>
      <c r="O162" s="311">
        <f t="shared" si="48"/>
        <v>0</v>
      </c>
      <c r="P162" s="343"/>
      <c r="Q162" s="343"/>
    </row>
    <row r="163" spans="1:17" ht="25.5">
      <c r="A163" s="140" t="s">
        <v>355</v>
      </c>
      <c r="B163" s="1" t="s">
        <v>349</v>
      </c>
      <c r="C163" s="332" t="s">
        <v>350</v>
      </c>
      <c r="D163" s="1"/>
      <c r="E163" s="1" t="s">
        <v>305</v>
      </c>
      <c r="F163" s="56">
        <v>3</v>
      </c>
      <c r="G163" s="56">
        <v>4.0199999999999996</v>
      </c>
      <c r="H163" s="121">
        <f t="shared" si="43"/>
        <v>5.1194699999999997</v>
      </c>
      <c r="I163" s="125">
        <f t="shared" si="44"/>
        <v>15.358409999999999</v>
      </c>
      <c r="J163" s="291"/>
      <c r="K163" s="317">
        <f t="shared" si="45"/>
        <v>0</v>
      </c>
      <c r="L163" s="125"/>
      <c r="M163" s="317">
        <f t="shared" si="46"/>
        <v>0</v>
      </c>
      <c r="N163" s="317">
        <f t="shared" si="47"/>
        <v>0</v>
      </c>
      <c r="O163" s="311">
        <f t="shared" si="48"/>
        <v>0</v>
      </c>
      <c r="P163" s="343"/>
      <c r="Q163" s="343"/>
    </row>
    <row r="164" spans="1:17">
      <c r="A164" s="140" t="s">
        <v>356</v>
      </c>
      <c r="B164" s="1" t="s">
        <v>357</v>
      </c>
      <c r="C164" s="332" t="s">
        <v>358</v>
      </c>
      <c r="D164" s="1" t="s">
        <v>10</v>
      </c>
      <c r="E164" s="1" t="s">
        <v>359</v>
      </c>
      <c r="F164" s="56">
        <v>0.5</v>
      </c>
      <c r="G164" s="56">
        <v>20.49</v>
      </c>
      <c r="H164" s="121">
        <f t="shared" si="43"/>
        <v>26.094014999999999</v>
      </c>
      <c r="I164" s="125">
        <f t="shared" si="44"/>
        <v>13.047007499999999</v>
      </c>
      <c r="J164" s="291"/>
      <c r="K164" s="317">
        <f t="shared" si="45"/>
        <v>0</v>
      </c>
      <c r="L164" s="125"/>
      <c r="M164" s="317">
        <f t="shared" si="46"/>
        <v>0</v>
      </c>
      <c r="N164" s="317">
        <f t="shared" si="47"/>
        <v>0</v>
      </c>
      <c r="O164" s="311">
        <f t="shared" si="48"/>
        <v>0</v>
      </c>
      <c r="P164" s="343"/>
      <c r="Q164" s="343"/>
    </row>
    <row r="165" spans="1:17" ht="25.5">
      <c r="A165" s="140" t="s">
        <v>360</v>
      </c>
      <c r="B165" s="1" t="s">
        <v>361</v>
      </c>
      <c r="C165" s="332" t="s">
        <v>362</v>
      </c>
      <c r="D165" s="1" t="s">
        <v>19</v>
      </c>
      <c r="E165" s="1" t="s">
        <v>115</v>
      </c>
      <c r="F165" s="56">
        <v>3</v>
      </c>
      <c r="G165" s="56">
        <v>47.34</v>
      </c>
      <c r="H165" s="121">
        <f t="shared" si="43"/>
        <v>60.287490000000005</v>
      </c>
      <c r="I165" s="125">
        <f t="shared" si="44"/>
        <v>180.86247000000003</v>
      </c>
      <c r="J165" s="291"/>
      <c r="K165" s="317">
        <f t="shared" si="45"/>
        <v>0</v>
      </c>
      <c r="L165" s="125"/>
      <c r="M165" s="317">
        <f t="shared" si="46"/>
        <v>0</v>
      </c>
      <c r="N165" s="317">
        <f t="shared" si="47"/>
        <v>0</v>
      </c>
      <c r="O165" s="311">
        <f t="shared" si="48"/>
        <v>0</v>
      </c>
      <c r="P165" s="343"/>
      <c r="Q165" s="343"/>
    </row>
    <row r="166" spans="1:17">
      <c r="A166" s="140" t="s">
        <v>363</v>
      </c>
      <c r="B166" s="1" t="s">
        <v>364</v>
      </c>
      <c r="C166" s="332" t="s">
        <v>365</v>
      </c>
      <c r="D166" s="1" t="s">
        <v>10</v>
      </c>
      <c r="E166" s="1" t="s">
        <v>250</v>
      </c>
      <c r="F166" s="56">
        <v>10</v>
      </c>
      <c r="G166" s="56">
        <v>9.59</v>
      </c>
      <c r="H166" s="121">
        <f t="shared" si="43"/>
        <v>12.212865000000001</v>
      </c>
      <c r="I166" s="125">
        <f t="shared" si="44"/>
        <v>122.12865000000001</v>
      </c>
      <c r="J166" s="291"/>
      <c r="K166" s="317">
        <f t="shared" si="45"/>
        <v>0</v>
      </c>
      <c r="L166" s="125"/>
      <c r="M166" s="317">
        <f t="shared" si="46"/>
        <v>0</v>
      </c>
      <c r="N166" s="317">
        <f t="shared" si="47"/>
        <v>0</v>
      </c>
      <c r="O166" s="311">
        <f t="shared" si="48"/>
        <v>0</v>
      </c>
      <c r="P166" s="343"/>
      <c r="Q166" s="343"/>
    </row>
    <row r="167" spans="1:17" ht="38.25">
      <c r="A167" s="140" t="s">
        <v>366</v>
      </c>
      <c r="B167" s="1" t="s">
        <v>367</v>
      </c>
      <c r="C167" s="332" t="s">
        <v>368</v>
      </c>
      <c r="D167" s="1" t="s">
        <v>19</v>
      </c>
      <c r="E167" s="1" t="s">
        <v>20</v>
      </c>
      <c r="F167" s="56">
        <v>585.29999999999995</v>
      </c>
      <c r="G167" s="56">
        <v>3.16</v>
      </c>
      <c r="H167" s="121">
        <f t="shared" si="43"/>
        <v>4.0242600000000008</v>
      </c>
      <c r="I167" s="125">
        <f t="shared" si="44"/>
        <v>2355.3993780000005</v>
      </c>
      <c r="J167" s="291"/>
      <c r="K167" s="317">
        <f t="shared" si="45"/>
        <v>0</v>
      </c>
      <c r="L167" s="125"/>
      <c r="M167" s="317">
        <f t="shared" si="46"/>
        <v>0</v>
      </c>
      <c r="N167" s="317">
        <f t="shared" si="47"/>
        <v>0</v>
      </c>
      <c r="O167" s="311">
        <f t="shared" si="48"/>
        <v>0</v>
      </c>
      <c r="P167" s="343"/>
      <c r="Q167" s="343"/>
    </row>
    <row r="168" spans="1:17" ht="38.25">
      <c r="A168" s="140" t="s">
        <v>369</v>
      </c>
      <c r="B168" s="1" t="s">
        <v>346</v>
      </c>
      <c r="C168" s="332" t="s">
        <v>347</v>
      </c>
      <c r="D168" s="1" t="s">
        <v>19</v>
      </c>
      <c r="E168" s="1" t="s">
        <v>20</v>
      </c>
      <c r="F168" s="56">
        <v>451.74</v>
      </c>
      <c r="G168" s="56">
        <v>2.14</v>
      </c>
      <c r="H168" s="121">
        <f t="shared" si="43"/>
        <v>2.7252900000000002</v>
      </c>
      <c r="I168" s="125">
        <f t="shared" si="44"/>
        <v>1231.1225046000002</v>
      </c>
      <c r="J168" s="291"/>
      <c r="K168" s="317">
        <f t="shared" si="45"/>
        <v>0</v>
      </c>
      <c r="L168" s="125"/>
      <c r="M168" s="317">
        <f t="shared" si="46"/>
        <v>0</v>
      </c>
      <c r="N168" s="317">
        <f t="shared" si="47"/>
        <v>0</v>
      </c>
      <c r="O168" s="311">
        <f t="shared" si="48"/>
        <v>0</v>
      </c>
      <c r="P168" s="343"/>
      <c r="Q168" s="343"/>
    </row>
    <row r="169" spans="1:17" ht="38.25">
      <c r="A169" s="140" t="s">
        <v>370</v>
      </c>
      <c r="B169" s="1" t="s">
        <v>367</v>
      </c>
      <c r="C169" s="332" t="s">
        <v>368</v>
      </c>
      <c r="D169" s="1" t="s">
        <v>19</v>
      </c>
      <c r="E169" s="1" t="s">
        <v>20</v>
      </c>
      <c r="F169" s="56">
        <v>275.5</v>
      </c>
      <c r="G169" s="56">
        <v>3.16</v>
      </c>
      <c r="H169" s="121">
        <f t="shared" si="43"/>
        <v>4.0242600000000008</v>
      </c>
      <c r="I169" s="125">
        <f t="shared" si="44"/>
        <v>1108.6836300000002</v>
      </c>
      <c r="J169" s="291"/>
      <c r="K169" s="317">
        <f t="shared" si="45"/>
        <v>0</v>
      </c>
      <c r="L169" s="125"/>
      <c r="M169" s="317">
        <f t="shared" si="46"/>
        <v>0</v>
      </c>
      <c r="N169" s="317">
        <f t="shared" si="47"/>
        <v>0</v>
      </c>
      <c r="O169" s="311">
        <f t="shared" si="48"/>
        <v>0</v>
      </c>
      <c r="P169" s="343"/>
      <c r="Q169" s="343"/>
    </row>
    <row r="170" spans="1:17" ht="38.25">
      <c r="A170" s="140" t="s">
        <v>371</v>
      </c>
      <c r="B170" s="1" t="s">
        <v>367</v>
      </c>
      <c r="C170" s="332" t="s">
        <v>368</v>
      </c>
      <c r="D170" s="1" t="s">
        <v>19</v>
      </c>
      <c r="E170" s="1" t="s">
        <v>20</v>
      </c>
      <c r="F170" s="56">
        <v>299.24</v>
      </c>
      <c r="G170" s="56">
        <v>3.16</v>
      </c>
      <c r="H170" s="121">
        <f t="shared" si="43"/>
        <v>4.0242600000000008</v>
      </c>
      <c r="I170" s="125">
        <f t="shared" si="44"/>
        <v>1204.2195624000003</v>
      </c>
      <c r="J170" s="291"/>
      <c r="K170" s="317">
        <f t="shared" si="45"/>
        <v>0</v>
      </c>
      <c r="L170" s="125"/>
      <c r="M170" s="317">
        <f t="shared" si="46"/>
        <v>0</v>
      </c>
      <c r="N170" s="317">
        <f t="shared" si="47"/>
        <v>0</v>
      </c>
      <c r="O170" s="311">
        <f t="shared" si="48"/>
        <v>0</v>
      </c>
      <c r="P170" s="343"/>
      <c r="Q170" s="343"/>
    </row>
    <row r="171" spans="1:17" ht="76.5">
      <c r="A171" s="140" t="s">
        <v>372</v>
      </c>
      <c r="B171" s="1" t="s">
        <v>373</v>
      </c>
      <c r="C171" s="332" t="s">
        <v>374</v>
      </c>
      <c r="D171" s="1" t="s">
        <v>19</v>
      </c>
      <c r="E171" s="1" t="s">
        <v>20</v>
      </c>
      <c r="F171" s="56">
        <v>63.81</v>
      </c>
      <c r="G171" s="56">
        <v>12.72</v>
      </c>
      <c r="H171" s="121">
        <f t="shared" si="43"/>
        <v>16.198920000000001</v>
      </c>
      <c r="I171" s="125">
        <f t="shared" si="44"/>
        <v>1033.6530852000001</v>
      </c>
      <c r="J171" s="291"/>
      <c r="K171" s="317">
        <f t="shared" si="45"/>
        <v>0</v>
      </c>
      <c r="L171" s="125"/>
      <c r="M171" s="317">
        <f t="shared" si="46"/>
        <v>0</v>
      </c>
      <c r="N171" s="317">
        <f t="shared" si="47"/>
        <v>0</v>
      </c>
      <c r="O171" s="311">
        <f t="shared" si="48"/>
        <v>0</v>
      </c>
      <c r="P171" s="343"/>
      <c r="Q171" s="343"/>
    </row>
    <row r="172" spans="1:17" ht="38.25">
      <c r="A172" s="140" t="s">
        <v>375</v>
      </c>
      <c r="B172" s="1" t="s">
        <v>373</v>
      </c>
      <c r="C172" s="332" t="s">
        <v>376</v>
      </c>
      <c r="D172" s="1" t="s">
        <v>19</v>
      </c>
      <c r="E172" s="1" t="s">
        <v>20</v>
      </c>
      <c r="F172" s="56">
        <v>21.27</v>
      </c>
      <c r="G172" s="56">
        <v>12.72</v>
      </c>
      <c r="H172" s="121">
        <f t="shared" si="43"/>
        <v>16.198920000000001</v>
      </c>
      <c r="I172" s="125">
        <f t="shared" si="44"/>
        <v>344.55102840000001</v>
      </c>
      <c r="J172" s="291"/>
      <c r="K172" s="317">
        <f t="shared" si="45"/>
        <v>0</v>
      </c>
      <c r="L172" s="125"/>
      <c r="M172" s="317">
        <f t="shared" si="46"/>
        <v>0</v>
      </c>
      <c r="N172" s="317">
        <f t="shared" si="47"/>
        <v>0</v>
      </c>
      <c r="O172" s="311">
        <f t="shared" si="48"/>
        <v>0</v>
      </c>
      <c r="P172" s="343"/>
      <c r="Q172" s="343"/>
    </row>
    <row r="173" spans="1:17" ht="38.25">
      <c r="A173" s="140" t="s">
        <v>377</v>
      </c>
      <c r="B173" s="1" t="s">
        <v>373</v>
      </c>
      <c r="C173" s="332" t="s">
        <v>376</v>
      </c>
      <c r="D173" s="1" t="s">
        <v>19</v>
      </c>
      <c r="E173" s="1" t="s">
        <v>20</v>
      </c>
      <c r="F173" s="56">
        <v>21.27</v>
      </c>
      <c r="G173" s="56">
        <v>12.72</v>
      </c>
      <c r="H173" s="121">
        <f t="shared" si="43"/>
        <v>16.198920000000001</v>
      </c>
      <c r="I173" s="125">
        <f t="shared" si="44"/>
        <v>344.55102840000001</v>
      </c>
      <c r="J173" s="291"/>
      <c r="K173" s="317">
        <f t="shared" si="45"/>
        <v>0</v>
      </c>
      <c r="L173" s="125"/>
      <c r="M173" s="317">
        <f t="shared" si="46"/>
        <v>0</v>
      </c>
      <c r="N173" s="317">
        <f t="shared" si="47"/>
        <v>0</v>
      </c>
      <c r="O173" s="311">
        <f t="shared" si="48"/>
        <v>0</v>
      </c>
      <c r="P173" s="343"/>
      <c r="Q173" s="343"/>
    </row>
    <row r="174" spans="1:17" ht="38.25">
      <c r="A174" s="140" t="s">
        <v>378</v>
      </c>
      <c r="B174" s="1" t="s">
        <v>313</v>
      </c>
      <c r="C174" s="332" t="s">
        <v>314</v>
      </c>
      <c r="D174" s="1" t="s">
        <v>19</v>
      </c>
      <c r="E174" s="1" t="s">
        <v>115</v>
      </c>
      <c r="F174" s="56">
        <v>15</v>
      </c>
      <c r="G174" s="56">
        <v>30.42</v>
      </c>
      <c r="H174" s="121">
        <f t="shared" si="43"/>
        <v>38.739870000000003</v>
      </c>
      <c r="I174" s="125">
        <f t="shared" si="44"/>
        <v>581.09805000000006</v>
      </c>
      <c r="J174" s="291"/>
      <c r="K174" s="317">
        <f t="shared" si="45"/>
        <v>0</v>
      </c>
      <c r="L174" s="125"/>
      <c r="M174" s="317">
        <f t="shared" si="46"/>
        <v>0</v>
      </c>
      <c r="N174" s="317">
        <f t="shared" si="47"/>
        <v>0</v>
      </c>
      <c r="O174" s="311">
        <f t="shared" si="48"/>
        <v>0</v>
      </c>
      <c r="P174" s="343"/>
      <c r="Q174" s="343"/>
    </row>
    <row r="175" spans="1:17" ht="38.25">
      <c r="A175" s="140" t="s">
        <v>379</v>
      </c>
      <c r="B175" s="1" t="s">
        <v>380</v>
      </c>
      <c r="C175" s="332" t="s">
        <v>381</v>
      </c>
      <c r="D175" s="1" t="s">
        <v>19</v>
      </c>
      <c r="E175" s="1" t="s">
        <v>115</v>
      </c>
      <c r="F175" s="56">
        <v>24</v>
      </c>
      <c r="G175" s="56">
        <v>25.12</v>
      </c>
      <c r="H175" s="121">
        <f t="shared" si="43"/>
        <v>31.990320000000004</v>
      </c>
      <c r="I175" s="125">
        <f t="shared" si="44"/>
        <v>767.76768000000015</v>
      </c>
      <c r="J175" s="291"/>
      <c r="K175" s="317">
        <f t="shared" si="45"/>
        <v>0</v>
      </c>
      <c r="L175" s="125"/>
      <c r="M175" s="317">
        <f t="shared" si="46"/>
        <v>0</v>
      </c>
      <c r="N175" s="317">
        <f t="shared" si="47"/>
        <v>0</v>
      </c>
      <c r="O175" s="311">
        <f t="shared" si="48"/>
        <v>0</v>
      </c>
      <c r="P175" s="343"/>
      <c r="Q175" s="343"/>
    </row>
    <row r="176" spans="1:17">
      <c r="A176" s="140"/>
      <c r="B176" s="2"/>
      <c r="C176" s="333"/>
      <c r="D176" s="2"/>
      <c r="E176" s="2"/>
      <c r="F176" s="57"/>
      <c r="G176" s="57"/>
      <c r="H176" s="122"/>
      <c r="I176" s="127">
        <f>SUM(I129:I175)</f>
        <v>41213.271887999996</v>
      </c>
      <c r="J176" s="127">
        <f t="shared" ref="J176:K176" si="49">SUM(J129:J175)</f>
        <v>0</v>
      </c>
      <c r="K176" s="318">
        <f t="shared" si="49"/>
        <v>0</v>
      </c>
      <c r="L176" s="127"/>
      <c r="M176" s="317">
        <f t="shared" si="46"/>
        <v>0</v>
      </c>
      <c r="N176" s="317">
        <f t="shared" si="47"/>
        <v>0</v>
      </c>
      <c r="O176" s="311">
        <f t="shared" si="48"/>
        <v>0</v>
      </c>
      <c r="P176" s="343"/>
      <c r="Q176" s="343"/>
    </row>
    <row r="177" spans="1:17" s="144" customFormat="1">
      <c r="A177" s="140"/>
      <c r="B177" s="162"/>
      <c r="C177" s="334"/>
      <c r="D177" s="141"/>
      <c r="E177" s="141"/>
      <c r="F177" s="142"/>
      <c r="G177" s="142"/>
      <c r="H177" s="143"/>
      <c r="I177" s="164"/>
      <c r="J177" s="293"/>
      <c r="K177" s="317"/>
      <c r="L177" s="164"/>
      <c r="M177" s="317"/>
      <c r="N177" s="317"/>
      <c r="O177" s="311"/>
      <c r="P177" s="343"/>
      <c r="Q177" s="343"/>
    </row>
    <row r="178" spans="1:17" ht="20.100000000000001" customHeight="1">
      <c r="A178" s="230" t="s">
        <v>382</v>
      </c>
      <c r="B178" s="367" t="s">
        <v>383</v>
      </c>
      <c r="C178" s="368"/>
      <c r="D178" s="146"/>
      <c r="E178" s="146"/>
      <c r="F178" s="146"/>
      <c r="G178" s="146"/>
      <c r="H178" s="146"/>
      <c r="I178" s="366"/>
      <c r="J178" s="146"/>
      <c r="K178" s="146"/>
      <c r="L178" s="146"/>
      <c r="M178" s="146"/>
      <c r="N178" s="146"/>
      <c r="O178" s="311"/>
      <c r="P178" s="343"/>
      <c r="Q178" s="343"/>
    </row>
    <row r="179" spans="1:17" ht="51">
      <c r="A179" s="140" t="s">
        <v>384</v>
      </c>
      <c r="B179" s="1" t="s">
        <v>385</v>
      </c>
      <c r="C179" s="332" t="s">
        <v>386</v>
      </c>
      <c r="D179" s="1" t="s">
        <v>19</v>
      </c>
      <c r="E179" s="1" t="s">
        <v>115</v>
      </c>
      <c r="F179" s="56">
        <v>6</v>
      </c>
      <c r="G179" s="56">
        <v>23.62</v>
      </c>
      <c r="H179" s="121">
        <f t="shared" ref="H179:H238" si="50">G179*$Q$10</f>
        <v>30.080070000000003</v>
      </c>
      <c r="I179" s="125">
        <f t="shared" ref="I179:I210" si="51">H179*F179</f>
        <v>180.48042000000001</v>
      </c>
      <c r="J179" s="291"/>
      <c r="K179" s="317">
        <f t="shared" si="45"/>
        <v>0</v>
      </c>
      <c r="L179" s="125"/>
      <c r="M179" s="317">
        <f t="shared" si="46"/>
        <v>0</v>
      </c>
      <c r="N179" s="317">
        <f t="shared" si="47"/>
        <v>0</v>
      </c>
      <c r="O179" s="311">
        <f t="shared" si="48"/>
        <v>0</v>
      </c>
      <c r="P179" s="343"/>
      <c r="Q179" s="343"/>
    </row>
    <row r="180" spans="1:17" s="144" customFormat="1" ht="25.5">
      <c r="A180" s="140" t="s">
        <v>387</v>
      </c>
      <c r="B180" s="141" t="s">
        <v>388</v>
      </c>
      <c r="C180" s="338" t="s">
        <v>389</v>
      </c>
      <c r="D180" s="141" t="s">
        <v>19</v>
      </c>
      <c r="E180" s="141" t="s">
        <v>115</v>
      </c>
      <c r="F180" s="142">
        <v>0</v>
      </c>
      <c r="G180" s="142">
        <v>24.17</v>
      </c>
      <c r="H180" s="143">
        <f t="shared" si="50"/>
        <v>30.780495000000005</v>
      </c>
      <c r="I180" s="177">
        <f t="shared" si="51"/>
        <v>0</v>
      </c>
      <c r="J180" s="295"/>
      <c r="K180" s="317">
        <f t="shared" si="45"/>
        <v>0</v>
      </c>
      <c r="L180" s="177"/>
      <c r="M180" s="317">
        <f t="shared" si="46"/>
        <v>0</v>
      </c>
      <c r="N180" s="317">
        <f t="shared" si="47"/>
        <v>0</v>
      </c>
      <c r="O180" s="311"/>
      <c r="P180" s="343"/>
      <c r="Q180" s="343"/>
    </row>
    <row r="181" spans="1:17" ht="51">
      <c r="A181" s="140" t="s">
        <v>390</v>
      </c>
      <c r="B181" s="1" t="s">
        <v>391</v>
      </c>
      <c r="C181" s="332" t="s">
        <v>392</v>
      </c>
      <c r="D181" s="1" t="s">
        <v>19</v>
      </c>
      <c r="E181" s="1" t="s">
        <v>115</v>
      </c>
      <c r="F181" s="56">
        <v>6</v>
      </c>
      <c r="G181" s="56">
        <v>7.69</v>
      </c>
      <c r="H181" s="121">
        <f t="shared" si="50"/>
        <v>9.7932150000000018</v>
      </c>
      <c r="I181" s="125">
        <f t="shared" si="51"/>
        <v>58.759290000000007</v>
      </c>
      <c r="J181" s="291"/>
      <c r="K181" s="317">
        <f t="shared" si="45"/>
        <v>0</v>
      </c>
      <c r="L181" s="125"/>
      <c r="M181" s="317">
        <f t="shared" si="46"/>
        <v>0</v>
      </c>
      <c r="N181" s="317">
        <f t="shared" si="47"/>
        <v>0</v>
      </c>
      <c r="O181" s="311">
        <f t="shared" si="48"/>
        <v>0</v>
      </c>
      <c r="P181" s="343"/>
      <c r="Q181" s="343"/>
    </row>
    <row r="182" spans="1:17" ht="51">
      <c r="A182" s="140" t="s">
        <v>393</v>
      </c>
      <c r="B182" s="1" t="s">
        <v>394</v>
      </c>
      <c r="C182" s="332" t="s">
        <v>395</v>
      </c>
      <c r="D182" s="1" t="s">
        <v>19</v>
      </c>
      <c r="E182" s="1" t="s">
        <v>115</v>
      </c>
      <c r="F182" s="56">
        <v>12</v>
      </c>
      <c r="G182" s="56">
        <v>422.31</v>
      </c>
      <c r="H182" s="121">
        <f t="shared" si="50"/>
        <v>537.81178499999999</v>
      </c>
      <c r="I182" s="125">
        <f t="shared" si="51"/>
        <v>6453.7414200000003</v>
      </c>
      <c r="J182" s="291"/>
      <c r="K182" s="317">
        <f t="shared" si="45"/>
        <v>0</v>
      </c>
      <c r="L182" s="125"/>
      <c r="M182" s="317">
        <f t="shared" si="46"/>
        <v>0</v>
      </c>
      <c r="N182" s="317">
        <f t="shared" si="47"/>
        <v>0</v>
      </c>
      <c r="O182" s="311">
        <f t="shared" si="48"/>
        <v>0</v>
      </c>
      <c r="P182" s="343"/>
      <c r="Q182" s="343"/>
    </row>
    <row r="183" spans="1:17" ht="25.5">
      <c r="A183" s="140" t="s">
        <v>396</v>
      </c>
      <c r="B183" s="1" t="s">
        <v>397</v>
      </c>
      <c r="C183" s="332" t="s">
        <v>398</v>
      </c>
      <c r="D183" s="1" t="s">
        <v>19</v>
      </c>
      <c r="E183" s="1" t="s">
        <v>115</v>
      </c>
      <c r="F183" s="56">
        <v>2</v>
      </c>
      <c r="G183" s="56">
        <v>5.42</v>
      </c>
      <c r="H183" s="121">
        <f t="shared" si="50"/>
        <v>6.9023700000000003</v>
      </c>
      <c r="I183" s="125">
        <f t="shared" si="51"/>
        <v>13.804740000000001</v>
      </c>
      <c r="J183" s="291"/>
      <c r="K183" s="317">
        <f t="shared" si="45"/>
        <v>0</v>
      </c>
      <c r="L183" s="125"/>
      <c r="M183" s="317">
        <f t="shared" si="46"/>
        <v>0</v>
      </c>
      <c r="N183" s="317">
        <f t="shared" si="47"/>
        <v>0</v>
      </c>
      <c r="O183" s="311">
        <f t="shared" si="48"/>
        <v>0</v>
      </c>
      <c r="P183" s="343"/>
      <c r="Q183" s="343"/>
    </row>
    <row r="184" spans="1:17" ht="25.5">
      <c r="A184" s="140" t="s">
        <v>399</v>
      </c>
      <c r="B184" s="1" t="s">
        <v>400</v>
      </c>
      <c r="C184" s="332" t="s">
        <v>401</v>
      </c>
      <c r="D184" s="1" t="s">
        <v>19</v>
      </c>
      <c r="E184" s="1" t="s">
        <v>115</v>
      </c>
      <c r="F184" s="56">
        <v>1</v>
      </c>
      <c r="G184" s="56">
        <v>0.43</v>
      </c>
      <c r="H184" s="121">
        <f t="shared" si="50"/>
        <v>0.54760500000000001</v>
      </c>
      <c r="I184" s="125">
        <f t="shared" si="51"/>
        <v>0.54760500000000001</v>
      </c>
      <c r="J184" s="291"/>
      <c r="K184" s="317">
        <f t="shared" si="45"/>
        <v>0</v>
      </c>
      <c r="L184" s="125"/>
      <c r="M184" s="317">
        <f t="shared" si="46"/>
        <v>0</v>
      </c>
      <c r="N184" s="317">
        <f t="shared" si="47"/>
        <v>0</v>
      </c>
      <c r="O184" s="311">
        <f t="shared" si="48"/>
        <v>0</v>
      </c>
      <c r="P184" s="343"/>
      <c r="Q184" s="343"/>
    </row>
    <row r="185" spans="1:17" ht="25.5">
      <c r="A185" s="140" t="s">
        <v>402</v>
      </c>
      <c r="B185" s="1" t="s">
        <v>403</v>
      </c>
      <c r="C185" s="332" t="s">
        <v>404</v>
      </c>
      <c r="D185" s="1" t="s">
        <v>19</v>
      </c>
      <c r="E185" s="1" t="s">
        <v>115</v>
      </c>
      <c r="F185" s="56">
        <v>1</v>
      </c>
      <c r="G185" s="56">
        <v>4.17</v>
      </c>
      <c r="H185" s="121">
        <f t="shared" si="50"/>
        <v>5.3104950000000004</v>
      </c>
      <c r="I185" s="125">
        <f t="shared" si="51"/>
        <v>5.3104950000000004</v>
      </c>
      <c r="J185" s="291"/>
      <c r="K185" s="317">
        <f t="shared" si="45"/>
        <v>0</v>
      </c>
      <c r="L185" s="125"/>
      <c r="M185" s="317">
        <f t="shared" si="46"/>
        <v>0</v>
      </c>
      <c r="N185" s="317">
        <f t="shared" si="47"/>
        <v>0</v>
      </c>
      <c r="O185" s="311">
        <f t="shared" si="48"/>
        <v>0</v>
      </c>
      <c r="P185" s="343"/>
      <c r="Q185" s="343"/>
    </row>
    <row r="186" spans="1:17" ht="25.5">
      <c r="A186" s="140" t="s">
        <v>405</v>
      </c>
      <c r="B186" s="1" t="s">
        <v>406</v>
      </c>
      <c r="C186" s="332" t="s">
        <v>407</v>
      </c>
      <c r="D186" s="1" t="s">
        <v>19</v>
      </c>
      <c r="E186" s="1" t="s">
        <v>115</v>
      </c>
      <c r="F186" s="56">
        <v>11</v>
      </c>
      <c r="G186" s="56">
        <v>5.29</v>
      </c>
      <c r="H186" s="121">
        <f t="shared" si="50"/>
        <v>6.7368150000000009</v>
      </c>
      <c r="I186" s="125">
        <f t="shared" si="51"/>
        <v>74.104965000000007</v>
      </c>
      <c r="J186" s="291"/>
      <c r="K186" s="317">
        <f t="shared" si="45"/>
        <v>0</v>
      </c>
      <c r="L186" s="125"/>
      <c r="M186" s="317">
        <f t="shared" si="46"/>
        <v>0</v>
      </c>
      <c r="N186" s="317">
        <f t="shared" si="47"/>
        <v>0</v>
      </c>
      <c r="O186" s="311">
        <f t="shared" si="48"/>
        <v>0</v>
      </c>
      <c r="P186" s="343"/>
      <c r="Q186" s="343"/>
    </row>
    <row r="187" spans="1:17" ht="38.25">
      <c r="A187" s="140" t="s">
        <v>408</v>
      </c>
      <c r="B187" s="1" t="s">
        <v>409</v>
      </c>
      <c r="C187" s="332" t="s">
        <v>410</v>
      </c>
      <c r="D187" s="1" t="s">
        <v>19</v>
      </c>
      <c r="E187" s="1" t="s">
        <v>115</v>
      </c>
      <c r="F187" s="56">
        <v>64</v>
      </c>
      <c r="G187" s="56">
        <v>5.89</v>
      </c>
      <c r="H187" s="121">
        <f t="shared" si="50"/>
        <v>7.500915</v>
      </c>
      <c r="I187" s="125">
        <f t="shared" si="51"/>
        <v>480.05856</v>
      </c>
      <c r="J187" s="291"/>
      <c r="K187" s="317">
        <f t="shared" si="45"/>
        <v>0</v>
      </c>
      <c r="L187" s="125"/>
      <c r="M187" s="317">
        <f t="shared" si="46"/>
        <v>0</v>
      </c>
      <c r="N187" s="317">
        <f t="shared" si="47"/>
        <v>0</v>
      </c>
      <c r="O187" s="311">
        <f t="shared" si="48"/>
        <v>0</v>
      </c>
      <c r="P187" s="343"/>
      <c r="Q187" s="343"/>
    </row>
    <row r="188" spans="1:17" ht="38.25">
      <c r="A188" s="140" t="s">
        <v>411</v>
      </c>
      <c r="B188" s="1" t="s">
        <v>412</v>
      </c>
      <c r="C188" s="332" t="s">
        <v>413</v>
      </c>
      <c r="D188" s="1" t="s">
        <v>19</v>
      </c>
      <c r="E188" s="1" t="s">
        <v>115</v>
      </c>
      <c r="F188" s="56">
        <v>5</v>
      </c>
      <c r="G188" s="56">
        <v>10.46</v>
      </c>
      <c r="H188" s="121">
        <f t="shared" si="50"/>
        <v>13.320810000000002</v>
      </c>
      <c r="I188" s="125">
        <f t="shared" si="51"/>
        <v>66.604050000000001</v>
      </c>
      <c r="J188" s="291"/>
      <c r="K188" s="317">
        <f t="shared" si="45"/>
        <v>0</v>
      </c>
      <c r="L188" s="125"/>
      <c r="M188" s="317">
        <f t="shared" si="46"/>
        <v>0</v>
      </c>
      <c r="N188" s="317">
        <f t="shared" si="47"/>
        <v>0</v>
      </c>
      <c r="O188" s="311">
        <f t="shared" si="48"/>
        <v>0</v>
      </c>
      <c r="P188" s="343"/>
      <c r="Q188" s="343"/>
    </row>
    <row r="189" spans="1:17" ht="38.25">
      <c r="A189" s="140" t="s">
        <v>414</v>
      </c>
      <c r="B189" s="1" t="s">
        <v>415</v>
      </c>
      <c r="C189" s="332" t="s">
        <v>416</v>
      </c>
      <c r="D189" s="1" t="s">
        <v>19</v>
      </c>
      <c r="E189" s="1" t="s">
        <v>115</v>
      </c>
      <c r="F189" s="56">
        <v>20</v>
      </c>
      <c r="G189" s="56">
        <v>12.41</v>
      </c>
      <c r="H189" s="121">
        <f t="shared" si="50"/>
        <v>15.804135</v>
      </c>
      <c r="I189" s="125">
        <f t="shared" si="51"/>
        <v>316.08269999999999</v>
      </c>
      <c r="J189" s="291"/>
      <c r="K189" s="317">
        <f t="shared" si="45"/>
        <v>0</v>
      </c>
      <c r="L189" s="125"/>
      <c r="M189" s="317">
        <f t="shared" si="46"/>
        <v>0</v>
      </c>
      <c r="N189" s="317">
        <f t="shared" si="47"/>
        <v>0</v>
      </c>
      <c r="O189" s="311">
        <f t="shared" si="48"/>
        <v>0</v>
      </c>
      <c r="P189" s="343"/>
      <c r="Q189" s="343"/>
    </row>
    <row r="190" spans="1:17" ht="38.25">
      <c r="A190" s="140" t="s">
        <v>417</v>
      </c>
      <c r="B190" s="1" t="s">
        <v>418</v>
      </c>
      <c r="C190" s="332" t="s">
        <v>419</v>
      </c>
      <c r="D190" s="1" t="s">
        <v>19</v>
      </c>
      <c r="E190" s="1" t="s">
        <v>115</v>
      </c>
      <c r="F190" s="56">
        <v>1</v>
      </c>
      <c r="G190" s="56">
        <v>8.6199999999999992</v>
      </c>
      <c r="H190" s="121">
        <f t="shared" si="50"/>
        <v>10.97757</v>
      </c>
      <c r="I190" s="125">
        <f t="shared" si="51"/>
        <v>10.97757</v>
      </c>
      <c r="J190" s="291"/>
      <c r="K190" s="317">
        <f t="shared" si="45"/>
        <v>0</v>
      </c>
      <c r="L190" s="125"/>
      <c r="M190" s="317">
        <f t="shared" si="46"/>
        <v>0</v>
      </c>
      <c r="N190" s="317">
        <f t="shared" si="47"/>
        <v>0</v>
      </c>
      <c r="O190" s="311">
        <f t="shared" si="48"/>
        <v>0</v>
      </c>
      <c r="P190" s="343"/>
      <c r="Q190" s="343"/>
    </row>
    <row r="191" spans="1:17" ht="38.25">
      <c r="A191" s="140" t="s">
        <v>420</v>
      </c>
      <c r="B191" s="1" t="s">
        <v>421</v>
      </c>
      <c r="C191" s="332" t="s">
        <v>422</v>
      </c>
      <c r="D191" s="1" t="s">
        <v>19</v>
      </c>
      <c r="E191" s="1" t="s">
        <v>115</v>
      </c>
      <c r="F191" s="56">
        <v>2</v>
      </c>
      <c r="G191" s="56">
        <v>15.64</v>
      </c>
      <c r="H191" s="121">
        <f t="shared" si="50"/>
        <v>19.917540000000002</v>
      </c>
      <c r="I191" s="125">
        <f t="shared" si="51"/>
        <v>39.835080000000005</v>
      </c>
      <c r="J191" s="291"/>
      <c r="K191" s="317">
        <f t="shared" si="45"/>
        <v>0</v>
      </c>
      <c r="L191" s="125"/>
      <c r="M191" s="317">
        <f t="shared" si="46"/>
        <v>0</v>
      </c>
      <c r="N191" s="317">
        <f t="shared" si="47"/>
        <v>0</v>
      </c>
      <c r="O191" s="311">
        <f t="shared" si="48"/>
        <v>0</v>
      </c>
      <c r="P191" s="343"/>
      <c r="Q191" s="343"/>
    </row>
    <row r="192" spans="1:17" ht="38.25">
      <c r="A192" s="140" t="s">
        <v>423</v>
      </c>
      <c r="B192" s="1" t="s">
        <v>424</v>
      </c>
      <c r="C192" s="332" t="s">
        <v>425</v>
      </c>
      <c r="D192" s="1" t="s">
        <v>19</v>
      </c>
      <c r="E192" s="1" t="s">
        <v>115</v>
      </c>
      <c r="F192" s="56">
        <v>2</v>
      </c>
      <c r="G192" s="56">
        <v>6.91</v>
      </c>
      <c r="H192" s="121">
        <f t="shared" si="50"/>
        <v>8.7998850000000015</v>
      </c>
      <c r="I192" s="125">
        <f t="shared" si="51"/>
        <v>17.599770000000003</v>
      </c>
      <c r="J192" s="291"/>
      <c r="K192" s="317">
        <f t="shared" si="45"/>
        <v>0</v>
      </c>
      <c r="L192" s="125"/>
      <c r="M192" s="317">
        <f t="shared" si="46"/>
        <v>0</v>
      </c>
      <c r="N192" s="317">
        <f t="shared" si="47"/>
        <v>0</v>
      </c>
      <c r="O192" s="311">
        <f t="shared" si="48"/>
        <v>0</v>
      </c>
      <c r="P192" s="343"/>
      <c r="Q192" s="343"/>
    </row>
    <row r="193" spans="1:17" ht="38.25">
      <c r="A193" s="140" t="s">
        <v>426</v>
      </c>
      <c r="B193" s="1" t="s">
        <v>427</v>
      </c>
      <c r="C193" s="332" t="s">
        <v>428</v>
      </c>
      <c r="D193" s="1" t="s">
        <v>19</v>
      </c>
      <c r="E193" s="1" t="s">
        <v>115</v>
      </c>
      <c r="F193" s="56">
        <v>22</v>
      </c>
      <c r="G193" s="56">
        <v>8.26</v>
      </c>
      <c r="H193" s="121">
        <f t="shared" si="50"/>
        <v>10.51911</v>
      </c>
      <c r="I193" s="125">
        <f t="shared" si="51"/>
        <v>231.42041999999998</v>
      </c>
      <c r="J193" s="291"/>
      <c r="K193" s="317">
        <f t="shared" si="45"/>
        <v>0</v>
      </c>
      <c r="L193" s="125"/>
      <c r="M193" s="317">
        <f t="shared" si="46"/>
        <v>0</v>
      </c>
      <c r="N193" s="317">
        <f t="shared" si="47"/>
        <v>0</v>
      </c>
      <c r="O193" s="311">
        <f t="shared" si="48"/>
        <v>0</v>
      </c>
      <c r="P193" s="343"/>
      <c r="Q193" s="343"/>
    </row>
    <row r="194" spans="1:17" ht="38.25">
      <c r="A194" s="140" t="s">
        <v>429</v>
      </c>
      <c r="B194" s="1" t="s">
        <v>430</v>
      </c>
      <c r="C194" s="332" t="s">
        <v>431</v>
      </c>
      <c r="D194" s="1" t="s">
        <v>19</v>
      </c>
      <c r="E194" s="1" t="s">
        <v>115</v>
      </c>
      <c r="F194" s="56">
        <v>1</v>
      </c>
      <c r="G194" s="56">
        <v>16.8</v>
      </c>
      <c r="H194" s="121">
        <f t="shared" si="50"/>
        <v>21.394800000000004</v>
      </c>
      <c r="I194" s="125">
        <f t="shared" si="51"/>
        <v>21.394800000000004</v>
      </c>
      <c r="J194" s="291"/>
      <c r="K194" s="317">
        <f t="shared" si="45"/>
        <v>0</v>
      </c>
      <c r="L194" s="125"/>
      <c r="M194" s="317">
        <f t="shared" si="46"/>
        <v>0</v>
      </c>
      <c r="N194" s="317">
        <f t="shared" si="47"/>
        <v>0</v>
      </c>
      <c r="O194" s="311">
        <f t="shared" si="48"/>
        <v>0</v>
      </c>
      <c r="P194" s="343"/>
      <c r="Q194" s="343"/>
    </row>
    <row r="195" spans="1:17" ht="51">
      <c r="A195" s="140" t="s">
        <v>432</v>
      </c>
      <c r="B195" s="1" t="s">
        <v>433</v>
      </c>
      <c r="C195" s="332" t="s">
        <v>434</v>
      </c>
      <c r="D195" s="1" t="s">
        <v>19</v>
      </c>
      <c r="E195" s="1" t="s">
        <v>115</v>
      </c>
      <c r="F195" s="56">
        <v>17</v>
      </c>
      <c r="G195" s="56">
        <v>18.010000000000002</v>
      </c>
      <c r="H195" s="121">
        <f t="shared" si="50"/>
        <v>22.935735000000005</v>
      </c>
      <c r="I195" s="125">
        <f t="shared" si="51"/>
        <v>389.9074950000001</v>
      </c>
      <c r="J195" s="291"/>
      <c r="K195" s="317">
        <f t="shared" si="45"/>
        <v>0</v>
      </c>
      <c r="L195" s="125"/>
      <c r="M195" s="317">
        <f t="shared" si="46"/>
        <v>0</v>
      </c>
      <c r="N195" s="317">
        <f t="shared" si="47"/>
        <v>0</v>
      </c>
      <c r="O195" s="311">
        <f t="shared" si="48"/>
        <v>0</v>
      </c>
      <c r="P195" s="343"/>
      <c r="Q195" s="343"/>
    </row>
    <row r="196" spans="1:17" ht="38.25">
      <c r="A196" s="140" t="s">
        <v>435</v>
      </c>
      <c r="B196" s="1" t="s">
        <v>436</v>
      </c>
      <c r="C196" s="332" t="s">
        <v>437</v>
      </c>
      <c r="D196" s="1" t="s">
        <v>19</v>
      </c>
      <c r="E196" s="1" t="s">
        <v>20</v>
      </c>
      <c r="F196" s="56">
        <v>63.76</v>
      </c>
      <c r="G196" s="56">
        <v>6.01</v>
      </c>
      <c r="H196" s="121">
        <f t="shared" si="50"/>
        <v>7.6537350000000002</v>
      </c>
      <c r="I196" s="125">
        <f t="shared" si="51"/>
        <v>488.00214360000001</v>
      </c>
      <c r="J196" s="291"/>
      <c r="K196" s="317">
        <f t="shared" si="45"/>
        <v>0</v>
      </c>
      <c r="L196" s="125"/>
      <c r="M196" s="317">
        <f t="shared" si="46"/>
        <v>0</v>
      </c>
      <c r="N196" s="317">
        <f t="shared" si="47"/>
        <v>0</v>
      </c>
      <c r="O196" s="311">
        <f t="shared" si="48"/>
        <v>0</v>
      </c>
      <c r="P196" s="343"/>
      <c r="Q196" s="343"/>
    </row>
    <row r="197" spans="1:17" ht="38.25">
      <c r="A197" s="140" t="s">
        <v>438</v>
      </c>
      <c r="B197" s="1" t="s">
        <v>439</v>
      </c>
      <c r="C197" s="332" t="s">
        <v>440</v>
      </c>
      <c r="D197" s="1" t="s">
        <v>19</v>
      </c>
      <c r="E197" s="1" t="s">
        <v>20</v>
      </c>
      <c r="F197" s="56">
        <v>148.68</v>
      </c>
      <c r="G197" s="56">
        <v>4.4000000000000004</v>
      </c>
      <c r="H197" s="121">
        <f t="shared" si="50"/>
        <v>5.6034000000000006</v>
      </c>
      <c r="I197" s="125">
        <f t="shared" si="51"/>
        <v>833.11351200000013</v>
      </c>
      <c r="J197" s="291"/>
      <c r="K197" s="317">
        <f t="shared" si="45"/>
        <v>0</v>
      </c>
      <c r="L197" s="125"/>
      <c r="M197" s="317">
        <f t="shared" si="46"/>
        <v>0</v>
      </c>
      <c r="N197" s="317">
        <f t="shared" si="47"/>
        <v>0</v>
      </c>
      <c r="O197" s="311">
        <f t="shared" si="48"/>
        <v>0</v>
      </c>
      <c r="P197" s="343"/>
      <c r="Q197" s="343"/>
    </row>
    <row r="198" spans="1:17" ht="38.25">
      <c r="A198" s="140" t="s">
        <v>441</v>
      </c>
      <c r="B198" s="1" t="s">
        <v>442</v>
      </c>
      <c r="C198" s="332" t="s">
        <v>443</v>
      </c>
      <c r="D198" s="1" t="s">
        <v>19</v>
      </c>
      <c r="E198" s="1" t="s">
        <v>20</v>
      </c>
      <c r="F198" s="56">
        <v>28.03</v>
      </c>
      <c r="G198" s="56">
        <v>15.6</v>
      </c>
      <c r="H198" s="121">
        <f t="shared" si="50"/>
        <v>19.866600000000002</v>
      </c>
      <c r="I198" s="125">
        <f t="shared" si="51"/>
        <v>556.86079800000005</v>
      </c>
      <c r="J198" s="291"/>
      <c r="K198" s="317">
        <f t="shared" si="45"/>
        <v>0</v>
      </c>
      <c r="L198" s="125"/>
      <c r="M198" s="317">
        <f t="shared" si="46"/>
        <v>0</v>
      </c>
      <c r="N198" s="317">
        <f t="shared" si="47"/>
        <v>0</v>
      </c>
      <c r="O198" s="311">
        <f t="shared" si="48"/>
        <v>0</v>
      </c>
      <c r="P198" s="343"/>
      <c r="Q198" s="343"/>
    </row>
    <row r="199" spans="1:17" ht="51">
      <c r="A199" s="140" t="s">
        <v>444</v>
      </c>
      <c r="B199" s="1" t="s">
        <v>445</v>
      </c>
      <c r="C199" s="332" t="s">
        <v>446</v>
      </c>
      <c r="D199" s="1" t="s">
        <v>19</v>
      </c>
      <c r="E199" s="1" t="s">
        <v>20</v>
      </c>
      <c r="F199" s="56">
        <v>65.42</v>
      </c>
      <c r="G199" s="56">
        <v>14.3</v>
      </c>
      <c r="H199" s="121">
        <f t="shared" si="50"/>
        <v>18.211050000000004</v>
      </c>
      <c r="I199" s="125">
        <f t="shared" si="51"/>
        <v>1191.3668910000004</v>
      </c>
      <c r="J199" s="291"/>
      <c r="K199" s="317">
        <f t="shared" si="45"/>
        <v>0</v>
      </c>
      <c r="L199" s="125"/>
      <c r="M199" s="317">
        <f t="shared" si="46"/>
        <v>0</v>
      </c>
      <c r="N199" s="317">
        <f t="shared" si="47"/>
        <v>0</v>
      </c>
      <c r="O199" s="311">
        <f t="shared" si="48"/>
        <v>0</v>
      </c>
      <c r="P199" s="343"/>
      <c r="Q199" s="343"/>
    </row>
    <row r="200" spans="1:17" ht="38.25">
      <c r="A200" s="140" t="s">
        <v>447</v>
      </c>
      <c r="B200" s="1" t="s">
        <v>448</v>
      </c>
      <c r="C200" s="332" t="s">
        <v>449</v>
      </c>
      <c r="D200" s="1" t="s">
        <v>19</v>
      </c>
      <c r="E200" s="1" t="s">
        <v>20</v>
      </c>
      <c r="F200" s="56">
        <v>38.299999999999997</v>
      </c>
      <c r="G200" s="56">
        <v>10.55</v>
      </c>
      <c r="H200" s="121">
        <f t="shared" si="50"/>
        <v>13.435425000000002</v>
      </c>
      <c r="I200" s="125">
        <f t="shared" si="51"/>
        <v>514.57677750000005</v>
      </c>
      <c r="J200" s="291"/>
      <c r="K200" s="317">
        <f t="shared" si="45"/>
        <v>0</v>
      </c>
      <c r="L200" s="125"/>
      <c r="M200" s="317">
        <f t="shared" si="46"/>
        <v>0</v>
      </c>
      <c r="N200" s="317">
        <f t="shared" si="47"/>
        <v>0</v>
      </c>
      <c r="O200" s="311">
        <f t="shared" si="48"/>
        <v>0</v>
      </c>
      <c r="P200" s="343"/>
      <c r="Q200" s="343"/>
    </row>
    <row r="201" spans="1:17" ht="51">
      <c r="A201" s="140" t="s">
        <v>450</v>
      </c>
      <c r="B201" s="1" t="s">
        <v>451</v>
      </c>
      <c r="C201" s="332" t="s">
        <v>452</v>
      </c>
      <c r="D201" s="1" t="s">
        <v>19</v>
      </c>
      <c r="E201" s="1" t="s">
        <v>20</v>
      </c>
      <c r="F201" s="56">
        <v>30</v>
      </c>
      <c r="G201" s="56">
        <v>20.3</v>
      </c>
      <c r="H201" s="121">
        <f t="shared" si="50"/>
        <v>25.852050000000002</v>
      </c>
      <c r="I201" s="125">
        <f t="shared" si="51"/>
        <v>775.56150000000002</v>
      </c>
      <c r="J201" s="291"/>
      <c r="K201" s="317">
        <f t="shared" si="45"/>
        <v>0</v>
      </c>
      <c r="L201" s="125"/>
      <c r="M201" s="317">
        <f t="shared" si="46"/>
        <v>0</v>
      </c>
      <c r="N201" s="317">
        <f t="shared" si="47"/>
        <v>0</v>
      </c>
      <c r="O201" s="311">
        <f t="shared" si="48"/>
        <v>0</v>
      </c>
      <c r="P201" s="343"/>
      <c r="Q201" s="343"/>
    </row>
    <row r="202" spans="1:17" ht="51">
      <c r="A202" s="140" t="s">
        <v>453</v>
      </c>
      <c r="B202" s="1" t="s">
        <v>454</v>
      </c>
      <c r="C202" s="332" t="s">
        <v>455</v>
      </c>
      <c r="D202" s="1" t="s">
        <v>19</v>
      </c>
      <c r="E202" s="1" t="s">
        <v>115</v>
      </c>
      <c r="F202" s="56">
        <v>10</v>
      </c>
      <c r="G202" s="56">
        <v>329.84</v>
      </c>
      <c r="H202" s="121">
        <f t="shared" si="50"/>
        <v>420.05124000000001</v>
      </c>
      <c r="I202" s="125">
        <f t="shared" si="51"/>
        <v>4200.5123999999996</v>
      </c>
      <c r="J202" s="291"/>
      <c r="K202" s="317">
        <f t="shared" si="45"/>
        <v>0</v>
      </c>
      <c r="L202" s="125"/>
      <c r="M202" s="317">
        <f t="shared" si="46"/>
        <v>0</v>
      </c>
      <c r="N202" s="317">
        <f t="shared" si="47"/>
        <v>0</v>
      </c>
      <c r="O202" s="311">
        <f t="shared" si="48"/>
        <v>0</v>
      </c>
      <c r="P202" s="343"/>
      <c r="Q202" s="343"/>
    </row>
    <row r="203" spans="1:17" ht="25.5">
      <c r="A203" s="140" t="s">
        <v>456</v>
      </c>
      <c r="B203" s="1" t="s">
        <v>457</v>
      </c>
      <c r="C203" s="332" t="s">
        <v>458</v>
      </c>
      <c r="D203" s="1" t="s">
        <v>19</v>
      </c>
      <c r="E203" s="1" t="s">
        <v>115</v>
      </c>
      <c r="F203" s="56">
        <v>10</v>
      </c>
      <c r="G203" s="56">
        <v>28.68</v>
      </c>
      <c r="H203" s="121">
        <f t="shared" si="50"/>
        <v>36.523980000000002</v>
      </c>
      <c r="I203" s="125">
        <f t="shared" si="51"/>
        <v>365.2398</v>
      </c>
      <c r="J203" s="291"/>
      <c r="K203" s="317">
        <f t="shared" ref="K203:K264" si="52">J203*H203</f>
        <v>0</v>
      </c>
      <c r="L203" s="125"/>
      <c r="M203" s="317">
        <f t="shared" ref="M203:M264" si="53">L203*H203</f>
        <v>0</v>
      </c>
      <c r="N203" s="317">
        <f t="shared" ref="N203:N264" si="54">M203+K203</f>
        <v>0</v>
      </c>
      <c r="O203" s="311">
        <f t="shared" ref="O203:O264" si="55">N203/I203</f>
        <v>0</v>
      </c>
      <c r="P203" s="343"/>
      <c r="Q203" s="343"/>
    </row>
    <row r="204" spans="1:17" ht="25.5">
      <c r="A204" s="140" t="s">
        <v>459</v>
      </c>
      <c r="B204" s="1" t="s">
        <v>460</v>
      </c>
      <c r="C204" s="332" t="s">
        <v>461</v>
      </c>
      <c r="D204" s="1" t="s">
        <v>19</v>
      </c>
      <c r="E204" s="1" t="s">
        <v>115</v>
      </c>
      <c r="F204" s="56">
        <v>10</v>
      </c>
      <c r="G204" s="56">
        <v>86.47</v>
      </c>
      <c r="H204" s="121">
        <f t="shared" si="50"/>
        <v>110.119545</v>
      </c>
      <c r="I204" s="125">
        <f t="shared" si="51"/>
        <v>1101.1954499999999</v>
      </c>
      <c r="J204" s="291"/>
      <c r="K204" s="317">
        <f t="shared" si="52"/>
        <v>0</v>
      </c>
      <c r="L204" s="125"/>
      <c r="M204" s="317">
        <f t="shared" si="53"/>
        <v>0</v>
      </c>
      <c r="N204" s="317">
        <f t="shared" si="54"/>
        <v>0</v>
      </c>
      <c r="O204" s="311">
        <f t="shared" si="55"/>
        <v>0</v>
      </c>
      <c r="P204" s="343"/>
      <c r="Q204" s="343"/>
    </row>
    <row r="205" spans="1:17" ht="38.25">
      <c r="A205" s="140" t="s">
        <v>462</v>
      </c>
      <c r="B205" s="1" t="s">
        <v>463</v>
      </c>
      <c r="C205" s="332" t="s">
        <v>464</v>
      </c>
      <c r="D205" s="1" t="s">
        <v>19</v>
      </c>
      <c r="E205" s="1" t="s">
        <v>115</v>
      </c>
      <c r="F205" s="56">
        <v>2</v>
      </c>
      <c r="G205" s="56">
        <v>6.61</v>
      </c>
      <c r="H205" s="121">
        <f t="shared" si="50"/>
        <v>8.4178350000000002</v>
      </c>
      <c r="I205" s="125">
        <f t="shared" si="51"/>
        <v>16.83567</v>
      </c>
      <c r="J205" s="291"/>
      <c r="K205" s="317">
        <f t="shared" si="52"/>
        <v>0</v>
      </c>
      <c r="L205" s="125"/>
      <c r="M205" s="317">
        <f t="shared" si="53"/>
        <v>0</v>
      </c>
      <c r="N205" s="317">
        <f t="shared" si="54"/>
        <v>0</v>
      </c>
      <c r="O205" s="311">
        <f t="shared" si="55"/>
        <v>0</v>
      </c>
      <c r="P205" s="343"/>
      <c r="Q205" s="343"/>
    </row>
    <row r="206" spans="1:17" ht="38.25">
      <c r="A206" s="140" t="s">
        <v>465</v>
      </c>
      <c r="B206" s="1" t="s">
        <v>466</v>
      </c>
      <c r="C206" s="332" t="s">
        <v>467</v>
      </c>
      <c r="D206" s="1" t="s">
        <v>19</v>
      </c>
      <c r="E206" s="1" t="s">
        <v>115</v>
      </c>
      <c r="F206" s="56">
        <v>3</v>
      </c>
      <c r="G206" s="56">
        <v>451.43</v>
      </c>
      <c r="H206" s="121">
        <f t="shared" si="50"/>
        <v>574.89610500000003</v>
      </c>
      <c r="I206" s="125">
        <f t="shared" si="51"/>
        <v>1724.6883150000001</v>
      </c>
      <c r="J206" s="291"/>
      <c r="K206" s="317">
        <f t="shared" si="52"/>
        <v>0</v>
      </c>
      <c r="L206" s="125"/>
      <c r="M206" s="317">
        <f t="shared" si="53"/>
        <v>0</v>
      </c>
      <c r="N206" s="317">
        <f t="shared" si="54"/>
        <v>0</v>
      </c>
      <c r="O206" s="311">
        <f t="shared" si="55"/>
        <v>0</v>
      </c>
      <c r="P206" s="343"/>
      <c r="Q206" s="343"/>
    </row>
    <row r="207" spans="1:17" ht="25.5">
      <c r="A207" s="140" t="s">
        <v>468</v>
      </c>
      <c r="B207" s="1" t="s">
        <v>469</v>
      </c>
      <c r="C207" s="332" t="s">
        <v>470</v>
      </c>
      <c r="D207" s="1" t="s">
        <v>19</v>
      </c>
      <c r="E207" s="1" t="s">
        <v>115</v>
      </c>
      <c r="F207" s="56">
        <v>4</v>
      </c>
      <c r="G207" s="56">
        <v>20.2</v>
      </c>
      <c r="H207" s="121">
        <f t="shared" si="50"/>
        <v>25.724700000000002</v>
      </c>
      <c r="I207" s="125">
        <f t="shared" si="51"/>
        <v>102.89880000000001</v>
      </c>
      <c r="J207" s="291"/>
      <c r="K207" s="317">
        <f t="shared" si="52"/>
        <v>0</v>
      </c>
      <c r="L207" s="125"/>
      <c r="M207" s="317">
        <f t="shared" si="53"/>
        <v>0</v>
      </c>
      <c r="N207" s="317">
        <f t="shared" si="54"/>
        <v>0</v>
      </c>
      <c r="O207" s="311">
        <f t="shared" si="55"/>
        <v>0</v>
      </c>
      <c r="P207" s="343"/>
      <c r="Q207" s="343"/>
    </row>
    <row r="208" spans="1:17" ht="51">
      <c r="A208" s="140" t="s">
        <v>471</v>
      </c>
      <c r="B208" s="1" t="s">
        <v>472</v>
      </c>
      <c r="C208" s="332" t="s">
        <v>473</v>
      </c>
      <c r="D208" s="1" t="s">
        <v>19</v>
      </c>
      <c r="E208" s="1" t="s">
        <v>115</v>
      </c>
      <c r="F208" s="56">
        <v>1</v>
      </c>
      <c r="G208" s="56">
        <v>136.12</v>
      </c>
      <c r="H208" s="121">
        <f t="shared" si="50"/>
        <v>173.34882000000002</v>
      </c>
      <c r="I208" s="125">
        <f t="shared" si="51"/>
        <v>173.34882000000002</v>
      </c>
      <c r="J208" s="291"/>
      <c r="K208" s="317">
        <f t="shared" si="52"/>
        <v>0</v>
      </c>
      <c r="L208" s="125"/>
      <c r="M208" s="317">
        <f t="shared" si="53"/>
        <v>0</v>
      </c>
      <c r="N208" s="317">
        <f t="shared" si="54"/>
        <v>0</v>
      </c>
      <c r="O208" s="311">
        <f t="shared" si="55"/>
        <v>0</v>
      </c>
      <c r="P208" s="343"/>
      <c r="Q208" s="343"/>
    </row>
    <row r="209" spans="1:17" ht="51">
      <c r="A209" s="140" t="s">
        <v>474</v>
      </c>
      <c r="B209" s="1" t="s">
        <v>475</v>
      </c>
      <c r="C209" s="332" t="s">
        <v>476</v>
      </c>
      <c r="D209" s="1" t="s">
        <v>19</v>
      </c>
      <c r="E209" s="1" t="s">
        <v>115</v>
      </c>
      <c r="F209" s="56">
        <v>4</v>
      </c>
      <c r="G209" s="56">
        <v>187.71</v>
      </c>
      <c r="H209" s="121">
        <f t="shared" si="50"/>
        <v>239.04868500000003</v>
      </c>
      <c r="I209" s="125">
        <f t="shared" si="51"/>
        <v>956.19474000000014</v>
      </c>
      <c r="J209" s="291"/>
      <c r="K209" s="317">
        <f t="shared" si="52"/>
        <v>0</v>
      </c>
      <c r="L209" s="125"/>
      <c r="M209" s="317">
        <f t="shared" si="53"/>
        <v>0</v>
      </c>
      <c r="N209" s="317">
        <f t="shared" si="54"/>
        <v>0</v>
      </c>
      <c r="O209" s="311">
        <f t="shared" si="55"/>
        <v>0</v>
      </c>
      <c r="P209" s="343"/>
      <c r="Q209" s="343"/>
    </row>
    <row r="210" spans="1:17" ht="38.25">
      <c r="A210" s="140" t="s">
        <v>477</v>
      </c>
      <c r="B210" s="1" t="s">
        <v>478</v>
      </c>
      <c r="C210" s="332" t="s">
        <v>479</v>
      </c>
      <c r="D210" s="1" t="s">
        <v>19</v>
      </c>
      <c r="E210" s="1" t="s">
        <v>115</v>
      </c>
      <c r="F210" s="56">
        <v>4</v>
      </c>
      <c r="G210" s="56">
        <v>64.790000000000006</v>
      </c>
      <c r="H210" s="121">
        <f t="shared" si="50"/>
        <v>82.510065000000012</v>
      </c>
      <c r="I210" s="125">
        <f t="shared" si="51"/>
        <v>330.04026000000005</v>
      </c>
      <c r="J210" s="291"/>
      <c r="K210" s="317">
        <f t="shared" si="52"/>
        <v>0</v>
      </c>
      <c r="L210" s="125"/>
      <c r="M210" s="317">
        <f t="shared" si="53"/>
        <v>0</v>
      </c>
      <c r="N210" s="317">
        <f t="shared" si="54"/>
        <v>0</v>
      </c>
      <c r="O210" s="311">
        <f t="shared" si="55"/>
        <v>0</v>
      </c>
      <c r="P210" s="343"/>
      <c r="Q210" s="343"/>
    </row>
    <row r="211" spans="1:17" ht="51">
      <c r="A211" s="140" t="s">
        <v>480</v>
      </c>
      <c r="B211" s="1" t="s">
        <v>481</v>
      </c>
      <c r="C211" s="332" t="s">
        <v>482</v>
      </c>
      <c r="D211" s="1" t="s">
        <v>19</v>
      </c>
      <c r="E211" s="1" t="s">
        <v>115</v>
      </c>
      <c r="F211" s="56">
        <v>8</v>
      </c>
      <c r="G211" s="56">
        <v>148.03</v>
      </c>
      <c r="H211" s="121">
        <f t="shared" si="50"/>
        <v>188.51620500000001</v>
      </c>
      <c r="I211" s="125">
        <f t="shared" ref="I211:I238" si="56">H211*F211</f>
        <v>1508.1296400000001</v>
      </c>
      <c r="J211" s="291"/>
      <c r="K211" s="317">
        <f t="shared" si="52"/>
        <v>0</v>
      </c>
      <c r="L211" s="125"/>
      <c r="M211" s="317">
        <f t="shared" si="53"/>
        <v>0</v>
      </c>
      <c r="N211" s="317">
        <f t="shared" si="54"/>
        <v>0</v>
      </c>
      <c r="O211" s="311">
        <f t="shared" si="55"/>
        <v>0</v>
      </c>
      <c r="P211" s="343"/>
      <c r="Q211" s="343"/>
    </row>
    <row r="212" spans="1:17" ht="38.25">
      <c r="A212" s="140" t="s">
        <v>483</v>
      </c>
      <c r="B212" s="1" t="s">
        <v>484</v>
      </c>
      <c r="C212" s="332" t="s">
        <v>485</v>
      </c>
      <c r="D212" s="1" t="s">
        <v>19</v>
      </c>
      <c r="E212" s="1" t="s">
        <v>115</v>
      </c>
      <c r="F212" s="56">
        <v>8</v>
      </c>
      <c r="G212" s="56">
        <v>55.37</v>
      </c>
      <c r="H212" s="121">
        <f t="shared" si="50"/>
        <v>70.513694999999998</v>
      </c>
      <c r="I212" s="125">
        <f t="shared" si="56"/>
        <v>564.10955999999999</v>
      </c>
      <c r="J212" s="291"/>
      <c r="K212" s="317">
        <f t="shared" si="52"/>
        <v>0</v>
      </c>
      <c r="L212" s="125"/>
      <c r="M212" s="317">
        <f t="shared" si="53"/>
        <v>0</v>
      </c>
      <c r="N212" s="317">
        <f t="shared" si="54"/>
        <v>0</v>
      </c>
      <c r="O212" s="311">
        <f t="shared" si="55"/>
        <v>0</v>
      </c>
      <c r="P212" s="343"/>
      <c r="Q212" s="343"/>
    </row>
    <row r="213" spans="1:17" ht="38.25">
      <c r="A213" s="140" t="s">
        <v>486</v>
      </c>
      <c r="B213" s="1" t="s">
        <v>487</v>
      </c>
      <c r="C213" s="332" t="s">
        <v>488</v>
      </c>
      <c r="D213" s="1" t="s">
        <v>19</v>
      </c>
      <c r="E213" s="1" t="s">
        <v>115</v>
      </c>
      <c r="F213" s="56">
        <v>1</v>
      </c>
      <c r="G213" s="56">
        <v>26.81</v>
      </c>
      <c r="H213" s="121">
        <f t="shared" si="50"/>
        <v>34.142535000000002</v>
      </c>
      <c r="I213" s="125">
        <f t="shared" si="56"/>
        <v>34.142535000000002</v>
      </c>
      <c r="J213" s="291"/>
      <c r="K213" s="317">
        <f t="shared" si="52"/>
        <v>0</v>
      </c>
      <c r="L213" s="125"/>
      <c r="M213" s="317">
        <f t="shared" si="53"/>
        <v>0</v>
      </c>
      <c r="N213" s="317">
        <f t="shared" si="54"/>
        <v>0</v>
      </c>
      <c r="O213" s="311">
        <f t="shared" si="55"/>
        <v>0</v>
      </c>
      <c r="P213" s="343"/>
      <c r="Q213" s="343"/>
    </row>
    <row r="214" spans="1:17" ht="38.25">
      <c r="A214" s="140" t="s">
        <v>489</v>
      </c>
      <c r="B214" s="1" t="s">
        <v>490</v>
      </c>
      <c r="C214" s="332" t="s">
        <v>491</v>
      </c>
      <c r="D214" s="1" t="s">
        <v>19</v>
      </c>
      <c r="E214" s="1" t="s">
        <v>115</v>
      </c>
      <c r="F214" s="56">
        <v>2</v>
      </c>
      <c r="G214" s="56">
        <v>190.7</v>
      </c>
      <c r="H214" s="121">
        <f t="shared" si="50"/>
        <v>242.85645</v>
      </c>
      <c r="I214" s="125">
        <f t="shared" si="56"/>
        <v>485.71289999999999</v>
      </c>
      <c r="J214" s="291"/>
      <c r="K214" s="317">
        <f t="shared" si="52"/>
        <v>0</v>
      </c>
      <c r="L214" s="125"/>
      <c r="M214" s="317">
        <f t="shared" si="53"/>
        <v>0</v>
      </c>
      <c r="N214" s="317">
        <f t="shared" si="54"/>
        <v>0</v>
      </c>
      <c r="O214" s="311">
        <f t="shared" si="55"/>
        <v>0</v>
      </c>
      <c r="P214" s="343"/>
      <c r="Q214" s="343"/>
    </row>
    <row r="215" spans="1:17" ht="38.25">
      <c r="A215" s="140" t="s">
        <v>492</v>
      </c>
      <c r="B215" s="1" t="s">
        <v>493</v>
      </c>
      <c r="C215" s="332" t="s">
        <v>494</v>
      </c>
      <c r="D215" s="1" t="s">
        <v>19</v>
      </c>
      <c r="E215" s="1" t="s">
        <v>115</v>
      </c>
      <c r="F215" s="56">
        <v>8</v>
      </c>
      <c r="G215" s="56">
        <v>177.5</v>
      </c>
      <c r="H215" s="121">
        <f t="shared" si="50"/>
        <v>226.04625000000001</v>
      </c>
      <c r="I215" s="125">
        <f t="shared" si="56"/>
        <v>1808.3700000000001</v>
      </c>
      <c r="J215" s="291"/>
      <c r="K215" s="317">
        <f t="shared" si="52"/>
        <v>0</v>
      </c>
      <c r="L215" s="125"/>
      <c r="M215" s="317">
        <f t="shared" si="53"/>
        <v>0</v>
      </c>
      <c r="N215" s="317">
        <f t="shared" si="54"/>
        <v>0</v>
      </c>
      <c r="O215" s="311">
        <f t="shared" si="55"/>
        <v>0</v>
      </c>
      <c r="P215" s="343"/>
      <c r="Q215" s="343"/>
    </row>
    <row r="216" spans="1:17" ht="76.5">
      <c r="A216" s="140" t="s">
        <v>495</v>
      </c>
      <c r="B216" s="1" t="s">
        <v>496</v>
      </c>
      <c r="C216" s="332" t="s">
        <v>497</v>
      </c>
      <c r="D216" s="1" t="s">
        <v>19</v>
      </c>
      <c r="E216" s="1" t="s">
        <v>115</v>
      </c>
      <c r="F216" s="56">
        <v>2</v>
      </c>
      <c r="G216" s="56">
        <v>165.39</v>
      </c>
      <c r="H216" s="121">
        <f t="shared" si="50"/>
        <v>210.624165</v>
      </c>
      <c r="I216" s="125">
        <f t="shared" si="56"/>
        <v>421.24833000000001</v>
      </c>
      <c r="J216" s="291"/>
      <c r="K216" s="317">
        <f t="shared" si="52"/>
        <v>0</v>
      </c>
      <c r="L216" s="125"/>
      <c r="M216" s="317">
        <f t="shared" si="53"/>
        <v>0</v>
      </c>
      <c r="N216" s="317">
        <f t="shared" si="54"/>
        <v>0</v>
      </c>
      <c r="O216" s="311">
        <f t="shared" si="55"/>
        <v>0</v>
      </c>
      <c r="P216" s="343"/>
      <c r="Q216" s="343"/>
    </row>
    <row r="217" spans="1:17" ht="25.5">
      <c r="A217" s="140" t="s">
        <v>498</v>
      </c>
      <c r="B217" s="1" t="s">
        <v>499</v>
      </c>
      <c r="C217" s="332" t="s">
        <v>500</v>
      </c>
      <c r="D217" s="1" t="s">
        <v>19</v>
      </c>
      <c r="E217" s="1" t="s">
        <v>115</v>
      </c>
      <c r="F217" s="56">
        <v>10</v>
      </c>
      <c r="G217" s="56">
        <v>22.08</v>
      </c>
      <c r="H217" s="121">
        <f t="shared" si="50"/>
        <v>28.118880000000001</v>
      </c>
      <c r="I217" s="125">
        <f t="shared" si="56"/>
        <v>281.18880000000001</v>
      </c>
      <c r="J217" s="291"/>
      <c r="K217" s="317">
        <f t="shared" si="52"/>
        <v>0</v>
      </c>
      <c r="L217" s="125"/>
      <c r="M217" s="317">
        <f t="shared" si="53"/>
        <v>0</v>
      </c>
      <c r="N217" s="317">
        <f t="shared" si="54"/>
        <v>0</v>
      </c>
      <c r="O217" s="311">
        <f t="shared" si="55"/>
        <v>0</v>
      </c>
      <c r="P217" s="343"/>
      <c r="Q217" s="343"/>
    </row>
    <row r="218" spans="1:17" ht="25.5">
      <c r="A218" s="140" t="s">
        <v>501</v>
      </c>
      <c r="B218" s="1" t="s">
        <v>502</v>
      </c>
      <c r="C218" s="332" t="s">
        <v>503</v>
      </c>
      <c r="D218" s="1" t="s">
        <v>19</v>
      </c>
      <c r="E218" s="1" t="s">
        <v>115</v>
      </c>
      <c r="F218" s="56">
        <v>2</v>
      </c>
      <c r="G218" s="56">
        <v>117.18</v>
      </c>
      <c r="H218" s="121">
        <f t="shared" si="50"/>
        <v>149.22873000000001</v>
      </c>
      <c r="I218" s="125">
        <f t="shared" si="56"/>
        <v>298.45746000000003</v>
      </c>
      <c r="J218" s="291"/>
      <c r="K218" s="317">
        <f t="shared" si="52"/>
        <v>0</v>
      </c>
      <c r="L218" s="125"/>
      <c r="M218" s="317">
        <f t="shared" si="53"/>
        <v>0</v>
      </c>
      <c r="N218" s="317">
        <f t="shared" si="54"/>
        <v>0</v>
      </c>
      <c r="O218" s="311">
        <f t="shared" si="55"/>
        <v>0</v>
      </c>
      <c r="P218" s="343"/>
      <c r="Q218" s="343"/>
    </row>
    <row r="219" spans="1:17" ht="25.5">
      <c r="A219" s="140" t="s">
        <v>504</v>
      </c>
      <c r="B219" s="1" t="s">
        <v>505</v>
      </c>
      <c r="C219" s="332" t="s">
        <v>506</v>
      </c>
      <c r="D219" s="1" t="s">
        <v>19</v>
      </c>
      <c r="E219" s="1" t="s">
        <v>115</v>
      </c>
      <c r="F219" s="56">
        <v>1</v>
      </c>
      <c r="G219" s="56">
        <v>84.73</v>
      </c>
      <c r="H219" s="121">
        <f t="shared" si="50"/>
        <v>107.90365500000001</v>
      </c>
      <c r="I219" s="125">
        <f t="shared" si="56"/>
        <v>107.90365500000001</v>
      </c>
      <c r="J219" s="291"/>
      <c r="K219" s="317">
        <f t="shared" si="52"/>
        <v>0</v>
      </c>
      <c r="L219" s="125"/>
      <c r="M219" s="317">
        <f t="shared" si="53"/>
        <v>0</v>
      </c>
      <c r="N219" s="317">
        <f t="shared" si="54"/>
        <v>0</v>
      </c>
      <c r="O219" s="311">
        <f t="shared" si="55"/>
        <v>0</v>
      </c>
      <c r="P219" s="343"/>
      <c r="Q219" s="343"/>
    </row>
    <row r="220" spans="1:17" ht="25.5">
      <c r="A220" s="140" t="s">
        <v>507</v>
      </c>
      <c r="B220" s="1" t="s">
        <v>508</v>
      </c>
      <c r="C220" s="332" t="s">
        <v>509</v>
      </c>
      <c r="D220" s="1" t="s">
        <v>19</v>
      </c>
      <c r="E220" s="1" t="s">
        <v>115</v>
      </c>
      <c r="F220" s="56">
        <v>1</v>
      </c>
      <c r="G220" s="56">
        <v>28.98</v>
      </c>
      <c r="H220" s="121">
        <f t="shared" si="50"/>
        <v>36.906030000000001</v>
      </c>
      <c r="I220" s="125">
        <f t="shared" si="56"/>
        <v>36.906030000000001</v>
      </c>
      <c r="J220" s="291"/>
      <c r="K220" s="317">
        <f t="shared" si="52"/>
        <v>0</v>
      </c>
      <c r="L220" s="125"/>
      <c r="M220" s="317">
        <f t="shared" si="53"/>
        <v>0</v>
      </c>
      <c r="N220" s="317">
        <f t="shared" si="54"/>
        <v>0</v>
      </c>
      <c r="O220" s="311">
        <f t="shared" si="55"/>
        <v>0</v>
      </c>
      <c r="P220" s="343"/>
      <c r="Q220" s="343"/>
    </row>
    <row r="221" spans="1:17" ht="25.5">
      <c r="A221" s="140" t="s">
        <v>510</v>
      </c>
      <c r="B221" s="1" t="s">
        <v>511</v>
      </c>
      <c r="C221" s="332" t="s">
        <v>512</v>
      </c>
      <c r="D221" s="1" t="s">
        <v>19</v>
      </c>
      <c r="E221" s="1" t="s">
        <v>115</v>
      </c>
      <c r="F221" s="56">
        <v>13</v>
      </c>
      <c r="G221" s="56">
        <v>31.62</v>
      </c>
      <c r="H221" s="121">
        <f t="shared" si="50"/>
        <v>40.268070000000002</v>
      </c>
      <c r="I221" s="125">
        <f t="shared" si="56"/>
        <v>523.48491000000001</v>
      </c>
      <c r="J221" s="291"/>
      <c r="K221" s="317">
        <f t="shared" si="52"/>
        <v>0</v>
      </c>
      <c r="L221" s="125"/>
      <c r="M221" s="317">
        <f t="shared" si="53"/>
        <v>0</v>
      </c>
      <c r="N221" s="317">
        <f t="shared" si="54"/>
        <v>0</v>
      </c>
      <c r="O221" s="311">
        <f t="shared" si="55"/>
        <v>0</v>
      </c>
      <c r="P221" s="343"/>
      <c r="Q221" s="343"/>
    </row>
    <row r="222" spans="1:17" ht="51">
      <c r="A222" s="140" t="s">
        <v>513</v>
      </c>
      <c r="B222" s="1" t="s">
        <v>514</v>
      </c>
      <c r="C222" s="332" t="s">
        <v>515</v>
      </c>
      <c r="D222" s="1" t="s">
        <v>19</v>
      </c>
      <c r="E222" s="1" t="s">
        <v>115</v>
      </c>
      <c r="F222" s="56">
        <v>2</v>
      </c>
      <c r="G222" s="56">
        <v>71.67</v>
      </c>
      <c r="H222" s="121">
        <f t="shared" si="50"/>
        <v>91.27174500000001</v>
      </c>
      <c r="I222" s="125">
        <f t="shared" si="56"/>
        <v>182.54349000000002</v>
      </c>
      <c r="J222" s="291"/>
      <c r="K222" s="317">
        <f t="shared" si="52"/>
        <v>0</v>
      </c>
      <c r="L222" s="125"/>
      <c r="M222" s="317">
        <f t="shared" si="53"/>
        <v>0</v>
      </c>
      <c r="N222" s="317">
        <f t="shared" si="54"/>
        <v>0</v>
      </c>
      <c r="O222" s="311">
        <f t="shared" si="55"/>
        <v>0</v>
      </c>
      <c r="P222" s="343"/>
      <c r="Q222" s="343"/>
    </row>
    <row r="223" spans="1:17" ht="38.25">
      <c r="A223" s="140" t="s">
        <v>516</v>
      </c>
      <c r="B223" s="1" t="s">
        <v>517</v>
      </c>
      <c r="C223" s="332" t="s">
        <v>518</v>
      </c>
      <c r="D223" s="1" t="s">
        <v>19</v>
      </c>
      <c r="E223" s="1" t="s">
        <v>115</v>
      </c>
      <c r="F223" s="56">
        <v>20</v>
      </c>
      <c r="G223" s="56">
        <v>27.64</v>
      </c>
      <c r="H223" s="121">
        <f t="shared" si="50"/>
        <v>35.199540000000006</v>
      </c>
      <c r="I223" s="125">
        <f t="shared" si="56"/>
        <v>703.99080000000015</v>
      </c>
      <c r="J223" s="291"/>
      <c r="K223" s="317">
        <f t="shared" si="52"/>
        <v>0</v>
      </c>
      <c r="L223" s="125"/>
      <c r="M223" s="317">
        <f t="shared" si="53"/>
        <v>0</v>
      </c>
      <c r="N223" s="317">
        <f t="shared" si="54"/>
        <v>0</v>
      </c>
      <c r="O223" s="311">
        <f t="shared" si="55"/>
        <v>0</v>
      </c>
      <c r="P223" s="343"/>
      <c r="Q223" s="343"/>
    </row>
    <row r="224" spans="1:17" ht="51">
      <c r="A224" s="140" t="s">
        <v>519</v>
      </c>
      <c r="B224" s="1" t="s">
        <v>520</v>
      </c>
      <c r="C224" s="332" t="s">
        <v>521</v>
      </c>
      <c r="D224" s="1" t="s">
        <v>19</v>
      </c>
      <c r="E224" s="1" t="s">
        <v>115</v>
      </c>
      <c r="F224" s="56">
        <v>12</v>
      </c>
      <c r="G224" s="56">
        <v>5.69</v>
      </c>
      <c r="H224" s="121">
        <f t="shared" si="50"/>
        <v>7.2462150000000012</v>
      </c>
      <c r="I224" s="125">
        <f t="shared" si="56"/>
        <v>86.954580000000021</v>
      </c>
      <c r="J224" s="291"/>
      <c r="K224" s="317">
        <f t="shared" si="52"/>
        <v>0</v>
      </c>
      <c r="L224" s="125"/>
      <c r="M224" s="317">
        <f t="shared" si="53"/>
        <v>0</v>
      </c>
      <c r="N224" s="317">
        <f t="shared" si="54"/>
        <v>0</v>
      </c>
      <c r="O224" s="311">
        <f t="shared" si="55"/>
        <v>0</v>
      </c>
      <c r="P224" s="343"/>
      <c r="Q224" s="343"/>
    </row>
    <row r="225" spans="1:17" ht="51">
      <c r="A225" s="140" t="s">
        <v>522</v>
      </c>
      <c r="B225" s="1" t="s">
        <v>523</v>
      </c>
      <c r="C225" s="332" t="s">
        <v>524</v>
      </c>
      <c r="D225" s="1" t="s">
        <v>19</v>
      </c>
      <c r="E225" s="1" t="s">
        <v>115</v>
      </c>
      <c r="F225" s="56">
        <v>5</v>
      </c>
      <c r="G225" s="56">
        <v>14.24</v>
      </c>
      <c r="H225" s="121">
        <f t="shared" si="50"/>
        <v>18.134640000000001</v>
      </c>
      <c r="I225" s="125">
        <f t="shared" si="56"/>
        <v>90.673200000000008</v>
      </c>
      <c r="J225" s="291"/>
      <c r="K225" s="317">
        <f t="shared" si="52"/>
        <v>0</v>
      </c>
      <c r="L225" s="125"/>
      <c r="M225" s="317">
        <f t="shared" si="53"/>
        <v>0</v>
      </c>
      <c r="N225" s="317">
        <f t="shared" si="54"/>
        <v>0</v>
      </c>
      <c r="O225" s="311">
        <f t="shared" si="55"/>
        <v>0</v>
      </c>
      <c r="P225" s="343"/>
      <c r="Q225" s="343"/>
    </row>
    <row r="226" spans="1:17" ht="51">
      <c r="A226" s="140" t="s">
        <v>525</v>
      </c>
      <c r="B226" s="1" t="s">
        <v>526</v>
      </c>
      <c r="C226" s="332" t="s">
        <v>527</v>
      </c>
      <c r="D226" s="1" t="s">
        <v>19</v>
      </c>
      <c r="E226" s="1" t="s">
        <v>115</v>
      </c>
      <c r="F226" s="56">
        <v>36</v>
      </c>
      <c r="G226" s="56">
        <v>7.4</v>
      </c>
      <c r="H226" s="121">
        <f t="shared" si="50"/>
        <v>9.4239000000000015</v>
      </c>
      <c r="I226" s="125">
        <f t="shared" si="56"/>
        <v>339.26040000000006</v>
      </c>
      <c r="J226" s="291"/>
      <c r="K226" s="317">
        <f t="shared" si="52"/>
        <v>0</v>
      </c>
      <c r="L226" s="125"/>
      <c r="M226" s="317">
        <f t="shared" si="53"/>
        <v>0</v>
      </c>
      <c r="N226" s="317">
        <f t="shared" si="54"/>
        <v>0</v>
      </c>
      <c r="O226" s="311">
        <f t="shared" si="55"/>
        <v>0</v>
      </c>
      <c r="P226" s="343"/>
      <c r="Q226" s="343"/>
    </row>
    <row r="227" spans="1:17" ht="51">
      <c r="A227" s="140" t="s">
        <v>528</v>
      </c>
      <c r="B227" s="1" t="s">
        <v>529</v>
      </c>
      <c r="C227" s="332" t="s">
        <v>530</v>
      </c>
      <c r="D227" s="1" t="s">
        <v>19</v>
      </c>
      <c r="E227" s="1" t="s">
        <v>115</v>
      </c>
      <c r="F227" s="56">
        <v>14</v>
      </c>
      <c r="G227" s="56">
        <v>5.12</v>
      </c>
      <c r="H227" s="121">
        <f t="shared" si="50"/>
        <v>6.5203200000000008</v>
      </c>
      <c r="I227" s="125">
        <f t="shared" si="56"/>
        <v>91.284480000000016</v>
      </c>
      <c r="J227" s="291"/>
      <c r="K227" s="317">
        <f t="shared" si="52"/>
        <v>0</v>
      </c>
      <c r="L227" s="125"/>
      <c r="M227" s="317">
        <f t="shared" si="53"/>
        <v>0</v>
      </c>
      <c r="N227" s="317">
        <f t="shared" si="54"/>
        <v>0</v>
      </c>
      <c r="O227" s="311">
        <f t="shared" si="55"/>
        <v>0</v>
      </c>
      <c r="P227" s="343"/>
      <c r="Q227" s="343"/>
    </row>
    <row r="228" spans="1:17" ht="51">
      <c r="A228" s="140" t="s">
        <v>531</v>
      </c>
      <c r="B228" s="1" t="s">
        <v>532</v>
      </c>
      <c r="C228" s="332" t="s">
        <v>533</v>
      </c>
      <c r="D228" s="1" t="s">
        <v>19</v>
      </c>
      <c r="E228" s="1" t="s">
        <v>115</v>
      </c>
      <c r="F228" s="56">
        <v>10</v>
      </c>
      <c r="G228" s="56">
        <v>18.22</v>
      </c>
      <c r="H228" s="121">
        <f t="shared" si="50"/>
        <v>23.20317</v>
      </c>
      <c r="I228" s="125">
        <f t="shared" si="56"/>
        <v>232.0317</v>
      </c>
      <c r="J228" s="291"/>
      <c r="K228" s="317">
        <f t="shared" si="52"/>
        <v>0</v>
      </c>
      <c r="L228" s="125"/>
      <c r="M228" s="317">
        <f t="shared" si="53"/>
        <v>0</v>
      </c>
      <c r="N228" s="317">
        <f t="shared" si="54"/>
        <v>0</v>
      </c>
      <c r="O228" s="311">
        <f t="shared" si="55"/>
        <v>0</v>
      </c>
      <c r="P228" s="343"/>
      <c r="Q228" s="343"/>
    </row>
    <row r="229" spans="1:17" ht="51">
      <c r="A229" s="140" t="s">
        <v>534</v>
      </c>
      <c r="B229" s="1" t="s">
        <v>535</v>
      </c>
      <c r="C229" s="332" t="s">
        <v>536</v>
      </c>
      <c r="D229" s="1" t="s">
        <v>19</v>
      </c>
      <c r="E229" s="1" t="s">
        <v>115</v>
      </c>
      <c r="F229" s="56">
        <v>1</v>
      </c>
      <c r="G229" s="56">
        <v>13.18</v>
      </c>
      <c r="H229" s="121">
        <f t="shared" si="50"/>
        <v>16.78473</v>
      </c>
      <c r="I229" s="125">
        <f t="shared" si="56"/>
        <v>16.78473</v>
      </c>
      <c r="J229" s="291"/>
      <c r="K229" s="317">
        <f t="shared" si="52"/>
        <v>0</v>
      </c>
      <c r="L229" s="125"/>
      <c r="M229" s="317">
        <f t="shared" si="53"/>
        <v>0</v>
      </c>
      <c r="N229" s="317">
        <f t="shared" si="54"/>
        <v>0</v>
      </c>
      <c r="O229" s="311">
        <f t="shared" si="55"/>
        <v>0</v>
      </c>
      <c r="P229" s="343"/>
      <c r="Q229" s="343"/>
    </row>
    <row r="230" spans="1:17" ht="25.5">
      <c r="A230" s="140" t="s">
        <v>537</v>
      </c>
      <c r="B230" s="1" t="s">
        <v>538</v>
      </c>
      <c r="C230" s="332" t="s">
        <v>539</v>
      </c>
      <c r="D230" s="1" t="s">
        <v>19</v>
      </c>
      <c r="E230" s="1" t="s">
        <v>115</v>
      </c>
      <c r="F230" s="56">
        <v>8</v>
      </c>
      <c r="G230" s="56">
        <v>15.03</v>
      </c>
      <c r="H230" s="121">
        <f t="shared" si="50"/>
        <v>19.140705000000001</v>
      </c>
      <c r="I230" s="125">
        <f t="shared" si="56"/>
        <v>153.12564</v>
      </c>
      <c r="J230" s="291"/>
      <c r="K230" s="317">
        <f t="shared" si="52"/>
        <v>0</v>
      </c>
      <c r="L230" s="125"/>
      <c r="M230" s="317">
        <f t="shared" si="53"/>
        <v>0</v>
      </c>
      <c r="N230" s="317">
        <f t="shared" si="54"/>
        <v>0</v>
      </c>
      <c r="O230" s="311">
        <f t="shared" si="55"/>
        <v>0</v>
      </c>
      <c r="P230" s="343"/>
      <c r="Q230" s="343"/>
    </row>
    <row r="231" spans="1:17" ht="25.5">
      <c r="A231" s="140" t="s">
        <v>540</v>
      </c>
      <c r="B231" s="1" t="s">
        <v>541</v>
      </c>
      <c r="C231" s="332" t="s">
        <v>542</v>
      </c>
      <c r="D231" s="1" t="s">
        <v>19</v>
      </c>
      <c r="E231" s="1" t="s">
        <v>115</v>
      </c>
      <c r="F231" s="56">
        <v>1</v>
      </c>
      <c r="G231" s="56">
        <v>21.66</v>
      </c>
      <c r="H231" s="121">
        <f t="shared" si="50"/>
        <v>27.584010000000003</v>
      </c>
      <c r="I231" s="125">
        <f t="shared" si="56"/>
        <v>27.584010000000003</v>
      </c>
      <c r="J231" s="291"/>
      <c r="K231" s="317">
        <f t="shared" si="52"/>
        <v>0</v>
      </c>
      <c r="L231" s="125"/>
      <c r="M231" s="317">
        <f t="shared" si="53"/>
        <v>0</v>
      </c>
      <c r="N231" s="317">
        <f t="shared" si="54"/>
        <v>0</v>
      </c>
      <c r="O231" s="311">
        <f t="shared" si="55"/>
        <v>0</v>
      </c>
      <c r="P231" s="343"/>
      <c r="Q231" s="343"/>
    </row>
    <row r="232" spans="1:17" ht="63.75">
      <c r="A232" s="140" t="s">
        <v>543</v>
      </c>
      <c r="B232" s="1" t="s">
        <v>544</v>
      </c>
      <c r="C232" s="332" t="s">
        <v>545</v>
      </c>
      <c r="D232" s="1" t="s">
        <v>19</v>
      </c>
      <c r="E232" s="1" t="s">
        <v>115</v>
      </c>
      <c r="F232" s="56">
        <v>5</v>
      </c>
      <c r="G232" s="56">
        <v>35.950000000000003</v>
      </c>
      <c r="H232" s="121">
        <f t="shared" si="50"/>
        <v>45.782325000000007</v>
      </c>
      <c r="I232" s="125">
        <f t="shared" si="56"/>
        <v>228.91162500000004</v>
      </c>
      <c r="J232" s="291"/>
      <c r="K232" s="317">
        <f t="shared" si="52"/>
        <v>0</v>
      </c>
      <c r="L232" s="125"/>
      <c r="M232" s="317">
        <f t="shared" si="53"/>
        <v>0</v>
      </c>
      <c r="N232" s="317">
        <f t="shared" si="54"/>
        <v>0</v>
      </c>
      <c r="O232" s="311">
        <f t="shared" si="55"/>
        <v>0</v>
      </c>
      <c r="P232" s="343"/>
      <c r="Q232" s="343"/>
    </row>
    <row r="233" spans="1:17" ht="51">
      <c r="A233" s="140" t="s">
        <v>546</v>
      </c>
      <c r="B233" s="1" t="s">
        <v>547</v>
      </c>
      <c r="C233" s="332" t="s">
        <v>548</v>
      </c>
      <c r="D233" s="1" t="s">
        <v>19</v>
      </c>
      <c r="E233" s="1" t="s">
        <v>115</v>
      </c>
      <c r="F233" s="56">
        <v>20</v>
      </c>
      <c r="G233" s="56">
        <v>5.17</v>
      </c>
      <c r="H233" s="121">
        <f t="shared" si="50"/>
        <v>6.5839950000000007</v>
      </c>
      <c r="I233" s="125">
        <f t="shared" si="56"/>
        <v>131.6799</v>
      </c>
      <c r="J233" s="291"/>
      <c r="K233" s="317">
        <f t="shared" si="52"/>
        <v>0</v>
      </c>
      <c r="L233" s="125"/>
      <c r="M233" s="317">
        <f t="shared" si="53"/>
        <v>0</v>
      </c>
      <c r="N233" s="317">
        <f t="shared" si="54"/>
        <v>0</v>
      </c>
      <c r="O233" s="311">
        <f t="shared" si="55"/>
        <v>0</v>
      </c>
      <c r="P233" s="343"/>
      <c r="Q233" s="343"/>
    </row>
    <row r="234" spans="1:17" ht="51">
      <c r="A234" s="140" t="s">
        <v>549</v>
      </c>
      <c r="B234" s="1" t="s">
        <v>550</v>
      </c>
      <c r="C234" s="332" t="s">
        <v>551</v>
      </c>
      <c r="D234" s="1" t="s">
        <v>19</v>
      </c>
      <c r="E234" s="1" t="s">
        <v>115</v>
      </c>
      <c r="F234" s="56">
        <v>4</v>
      </c>
      <c r="G234" s="56">
        <v>9.14</v>
      </c>
      <c r="H234" s="121">
        <f t="shared" si="50"/>
        <v>11.639790000000001</v>
      </c>
      <c r="I234" s="125">
        <f t="shared" si="56"/>
        <v>46.559160000000006</v>
      </c>
      <c r="J234" s="291"/>
      <c r="K234" s="317">
        <f t="shared" si="52"/>
        <v>0</v>
      </c>
      <c r="L234" s="125"/>
      <c r="M234" s="317">
        <f t="shared" si="53"/>
        <v>0</v>
      </c>
      <c r="N234" s="317">
        <f t="shared" si="54"/>
        <v>0</v>
      </c>
      <c r="O234" s="311">
        <f t="shared" si="55"/>
        <v>0</v>
      </c>
      <c r="P234" s="343"/>
      <c r="Q234" s="343"/>
    </row>
    <row r="235" spans="1:17" ht="51">
      <c r="A235" s="140" t="s">
        <v>552</v>
      </c>
      <c r="B235" s="1" t="s">
        <v>553</v>
      </c>
      <c r="C235" s="332" t="s">
        <v>554</v>
      </c>
      <c r="D235" s="1" t="s">
        <v>19</v>
      </c>
      <c r="E235" s="1" t="s">
        <v>115</v>
      </c>
      <c r="F235" s="56">
        <v>17</v>
      </c>
      <c r="G235" s="56">
        <v>13.97</v>
      </c>
      <c r="H235" s="121">
        <f t="shared" si="50"/>
        <v>17.790795000000003</v>
      </c>
      <c r="I235" s="125">
        <f t="shared" si="56"/>
        <v>302.44351500000005</v>
      </c>
      <c r="J235" s="291"/>
      <c r="K235" s="317">
        <f t="shared" si="52"/>
        <v>0</v>
      </c>
      <c r="L235" s="125"/>
      <c r="M235" s="317">
        <f t="shared" si="53"/>
        <v>0</v>
      </c>
      <c r="N235" s="317">
        <f t="shared" si="54"/>
        <v>0</v>
      </c>
      <c r="O235" s="311">
        <f t="shared" si="55"/>
        <v>0</v>
      </c>
      <c r="P235" s="343"/>
      <c r="Q235" s="343"/>
    </row>
    <row r="236" spans="1:17" ht="51">
      <c r="A236" s="140" t="s">
        <v>555</v>
      </c>
      <c r="B236" s="1" t="s">
        <v>556</v>
      </c>
      <c r="C236" s="332" t="s">
        <v>557</v>
      </c>
      <c r="D236" s="1" t="s">
        <v>19</v>
      </c>
      <c r="E236" s="1" t="s">
        <v>115</v>
      </c>
      <c r="F236" s="56">
        <v>11</v>
      </c>
      <c r="G236" s="56">
        <v>11.55</v>
      </c>
      <c r="H236" s="121">
        <f t="shared" si="50"/>
        <v>14.708925000000002</v>
      </c>
      <c r="I236" s="125">
        <f t="shared" si="56"/>
        <v>161.79817500000001</v>
      </c>
      <c r="J236" s="291"/>
      <c r="K236" s="317">
        <f t="shared" si="52"/>
        <v>0</v>
      </c>
      <c r="L236" s="125"/>
      <c r="M236" s="317">
        <f t="shared" si="53"/>
        <v>0</v>
      </c>
      <c r="N236" s="317">
        <f t="shared" si="54"/>
        <v>0</v>
      </c>
      <c r="O236" s="311">
        <f t="shared" si="55"/>
        <v>0</v>
      </c>
      <c r="P236" s="343"/>
      <c r="Q236" s="343"/>
    </row>
    <row r="237" spans="1:17" ht="25.5">
      <c r="A237" s="140" t="s">
        <v>558</v>
      </c>
      <c r="B237" s="1" t="s">
        <v>559</v>
      </c>
      <c r="C237" s="332" t="s">
        <v>560</v>
      </c>
      <c r="D237" s="1" t="s">
        <v>19</v>
      </c>
      <c r="E237" s="1" t="s">
        <v>115</v>
      </c>
      <c r="F237" s="56">
        <v>1</v>
      </c>
      <c r="G237" s="56">
        <v>12.86</v>
      </c>
      <c r="H237" s="121">
        <f t="shared" si="50"/>
        <v>16.377210000000002</v>
      </c>
      <c r="I237" s="125">
        <f t="shared" si="56"/>
        <v>16.377210000000002</v>
      </c>
      <c r="J237" s="291"/>
      <c r="K237" s="317">
        <f t="shared" si="52"/>
        <v>0</v>
      </c>
      <c r="L237" s="125"/>
      <c r="M237" s="317">
        <f t="shared" si="53"/>
        <v>0</v>
      </c>
      <c r="N237" s="317">
        <f t="shared" si="54"/>
        <v>0</v>
      </c>
      <c r="O237" s="311">
        <f t="shared" si="55"/>
        <v>0</v>
      </c>
      <c r="P237" s="343"/>
      <c r="Q237" s="343"/>
    </row>
    <row r="238" spans="1:17" ht="25.5">
      <c r="A238" s="140" t="s">
        <v>561</v>
      </c>
      <c r="B238" s="1" t="s">
        <v>562</v>
      </c>
      <c r="C238" s="332" t="s">
        <v>563</v>
      </c>
      <c r="D238" s="1" t="s">
        <v>19</v>
      </c>
      <c r="E238" s="1" t="s">
        <v>115</v>
      </c>
      <c r="F238" s="56">
        <v>4</v>
      </c>
      <c r="G238" s="56">
        <v>14.75</v>
      </c>
      <c r="H238" s="121">
        <f t="shared" si="50"/>
        <v>18.784125</v>
      </c>
      <c r="I238" s="125">
        <f t="shared" si="56"/>
        <v>75.136499999999998</v>
      </c>
      <c r="J238" s="291"/>
      <c r="K238" s="317">
        <f t="shared" si="52"/>
        <v>0</v>
      </c>
      <c r="L238" s="125"/>
      <c r="M238" s="317">
        <f t="shared" si="53"/>
        <v>0</v>
      </c>
      <c r="N238" s="317">
        <f t="shared" si="54"/>
        <v>0</v>
      </c>
      <c r="O238" s="311">
        <f t="shared" si="55"/>
        <v>0</v>
      </c>
      <c r="P238" s="343"/>
      <c r="Q238" s="343"/>
    </row>
    <row r="239" spans="1:17">
      <c r="A239" s="140"/>
      <c r="B239" s="2"/>
      <c r="C239" s="333"/>
      <c r="D239" s="2"/>
      <c r="E239" s="2"/>
      <c r="F239" s="57"/>
      <c r="G239" s="57"/>
      <c r="H239" s="122"/>
      <c r="I239" s="127">
        <f>SUM(I179:I238)</f>
        <v>30647.858192099982</v>
      </c>
      <c r="J239" s="127">
        <f t="shared" ref="J239:K239" si="57">SUM(J179:J238)</f>
        <v>0</v>
      </c>
      <c r="K239" s="318">
        <f t="shared" si="57"/>
        <v>0</v>
      </c>
      <c r="L239" s="127"/>
      <c r="M239" s="317">
        <f t="shared" si="53"/>
        <v>0</v>
      </c>
      <c r="N239" s="317">
        <f t="shared" si="54"/>
        <v>0</v>
      </c>
      <c r="O239" s="311">
        <f t="shared" si="55"/>
        <v>0</v>
      </c>
      <c r="P239" s="343"/>
      <c r="Q239" s="343"/>
    </row>
    <row r="240" spans="1:17" s="144" customFormat="1">
      <c r="A240" s="140"/>
      <c r="B240" s="162"/>
      <c r="C240" s="334"/>
      <c r="D240" s="141"/>
      <c r="E240" s="141"/>
      <c r="F240" s="142"/>
      <c r="G240" s="142"/>
      <c r="H240" s="143"/>
      <c r="I240" s="164"/>
      <c r="J240" s="293"/>
      <c r="K240" s="317">
        <f t="shared" si="52"/>
        <v>0</v>
      </c>
      <c r="L240" s="164"/>
      <c r="M240" s="317">
        <f t="shared" si="53"/>
        <v>0</v>
      </c>
      <c r="N240" s="317">
        <f t="shared" si="54"/>
        <v>0</v>
      </c>
      <c r="O240" s="311"/>
      <c r="P240" s="343"/>
      <c r="Q240" s="343"/>
    </row>
    <row r="241" spans="1:18" ht="20.100000000000001" customHeight="1">
      <c r="A241" s="230" t="s">
        <v>564</v>
      </c>
      <c r="B241" s="367" t="s">
        <v>565</v>
      </c>
      <c r="C241" s="368"/>
      <c r="D241" s="146"/>
      <c r="E241" s="146"/>
      <c r="F241" s="146"/>
      <c r="G241" s="146"/>
      <c r="H241" s="146"/>
      <c r="I241" s="366"/>
      <c r="J241" s="146"/>
      <c r="K241" s="146"/>
      <c r="L241" s="146"/>
      <c r="M241" s="146"/>
      <c r="N241" s="146"/>
      <c r="O241" s="311"/>
      <c r="P241" s="343"/>
      <c r="Q241" s="343"/>
    </row>
    <row r="242" spans="1:18" ht="25.5">
      <c r="A242" s="140" t="s">
        <v>566</v>
      </c>
      <c r="B242" s="1" t="s">
        <v>567</v>
      </c>
      <c r="C242" s="332" t="s">
        <v>568</v>
      </c>
      <c r="D242" s="1" t="s">
        <v>19</v>
      </c>
      <c r="E242" s="1" t="s">
        <v>67</v>
      </c>
      <c r="F242" s="56">
        <v>2197.91</v>
      </c>
      <c r="G242" s="56">
        <v>2.1800000000000002</v>
      </c>
      <c r="H242" s="121">
        <f t="shared" ref="H242:H250" si="58">G242*$Q$10</f>
        <v>2.7762300000000004</v>
      </c>
      <c r="I242" s="125">
        <f t="shared" ref="I242:I250" si="59">H242*F242</f>
        <v>6101.9036793000005</v>
      </c>
      <c r="J242" s="291"/>
      <c r="K242" s="317">
        <f t="shared" si="52"/>
        <v>0</v>
      </c>
      <c r="L242" s="125"/>
      <c r="M242" s="317">
        <f t="shared" si="53"/>
        <v>0</v>
      </c>
      <c r="N242" s="317">
        <f t="shared" si="54"/>
        <v>0</v>
      </c>
      <c r="O242" s="311">
        <f t="shared" si="55"/>
        <v>0</v>
      </c>
      <c r="P242" s="343"/>
      <c r="Q242" s="343"/>
    </row>
    <row r="243" spans="1:18" ht="25.5">
      <c r="A243" s="140" t="s">
        <v>569</v>
      </c>
      <c r="B243" s="1" t="s">
        <v>570</v>
      </c>
      <c r="C243" s="332" t="s">
        <v>571</v>
      </c>
      <c r="D243" s="1" t="s">
        <v>19</v>
      </c>
      <c r="E243" s="1" t="s">
        <v>67</v>
      </c>
      <c r="F243" s="56">
        <v>653.14</v>
      </c>
      <c r="G243" s="56">
        <v>1.89</v>
      </c>
      <c r="H243" s="121">
        <f t="shared" si="58"/>
        <v>2.4069150000000001</v>
      </c>
      <c r="I243" s="125">
        <f t="shared" si="59"/>
        <v>1572.0524631000001</v>
      </c>
      <c r="J243" s="291"/>
      <c r="K243" s="317">
        <f t="shared" si="52"/>
        <v>0</v>
      </c>
      <c r="L243" s="125"/>
      <c r="M243" s="317">
        <f t="shared" si="53"/>
        <v>0</v>
      </c>
      <c r="N243" s="317">
        <f t="shared" si="54"/>
        <v>0</v>
      </c>
      <c r="O243" s="311">
        <f t="shared" si="55"/>
        <v>0</v>
      </c>
      <c r="P243" s="343"/>
      <c r="Q243" s="343"/>
    </row>
    <row r="244" spans="1:18" ht="25.5">
      <c r="A244" s="140" t="s">
        <v>572</v>
      </c>
      <c r="B244" s="1" t="s">
        <v>573</v>
      </c>
      <c r="C244" s="332" t="s">
        <v>574</v>
      </c>
      <c r="D244" s="1" t="s">
        <v>19</v>
      </c>
      <c r="E244" s="1" t="s">
        <v>67</v>
      </c>
      <c r="F244" s="56">
        <v>653.14</v>
      </c>
      <c r="G244" s="56">
        <v>13.66</v>
      </c>
      <c r="H244" s="121">
        <f t="shared" si="58"/>
        <v>17.39601</v>
      </c>
      <c r="I244" s="125">
        <f t="shared" si="59"/>
        <v>11362.029971399999</v>
      </c>
      <c r="J244" s="291"/>
      <c r="K244" s="317">
        <f t="shared" si="52"/>
        <v>0</v>
      </c>
      <c r="L244" s="125"/>
      <c r="M244" s="317">
        <f t="shared" si="53"/>
        <v>0</v>
      </c>
      <c r="N244" s="317">
        <f t="shared" si="54"/>
        <v>0</v>
      </c>
      <c r="O244" s="311">
        <f t="shared" si="55"/>
        <v>0</v>
      </c>
      <c r="P244" s="343"/>
      <c r="Q244" s="343"/>
    </row>
    <row r="245" spans="1:18" ht="39.75" customHeight="1">
      <c r="A245" s="140" t="s">
        <v>575</v>
      </c>
      <c r="B245" s="1" t="s">
        <v>576</v>
      </c>
      <c r="C245" s="332" t="s">
        <v>577</v>
      </c>
      <c r="D245" s="1" t="s">
        <v>10</v>
      </c>
      <c r="E245" s="1" t="s">
        <v>11</v>
      </c>
      <c r="F245" s="56">
        <v>1933.7</v>
      </c>
      <c r="G245" s="56">
        <v>13.49</v>
      </c>
      <c r="H245" s="121">
        <f t="shared" si="58"/>
        <v>17.179515000000002</v>
      </c>
      <c r="I245" s="125">
        <f t="shared" si="59"/>
        <v>33220.028155500004</v>
      </c>
      <c r="J245" s="291"/>
      <c r="K245" s="317">
        <f t="shared" si="52"/>
        <v>0</v>
      </c>
      <c r="L245" s="125"/>
      <c r="M245" s="317">
        <f t="shared" si="53"/>
        <v>0</v>
      </c>
      <c r="N245" s="317">
        <f t="shared" si="54"/>
        <v>0</v>
      </c>
      <c r="O245" s="311">
        <f t="shared" si="55"/>
        <v>0</v>
      </c>
      <c r="P245" s="343"/>
      <c r="Q245" s="343"/>
    </row>
    <row r="246" spans="1:18" ht="25.5">
      <c r="A246" s="140" t="s">
        <v>578</v>
      </c>
      <c r="B246" s="1" t="s">
        <v>579</v>
      </c>
      <c r="C246" s="332" t="s">
        <v>580</v>
      </c>
      <c r="D246" s="1" t="s">
        <v>19</v>
      </c>
      <c r="E246" s="1" t="s">
        <v>67</v>
      </c>
      <c r="F246" s="56">
        <v>2197.91</v>
      </c>
      <c r="G246" s="56">
        <v>9.89</v>
      </c>
      <c r="H246" s="121">
        <f t="shared" si="58"/>
        <v>12.594915000000002</v>
      </c>
      <c r="I246" s="125">
        <f t="shared" si="59"/>
        <v>27682.489627650004</v>
      </c>
      <c r="J246" s="291"/>
      <c r="K246" s="317">
        <f t="shared" si="52"/>
        <v>0</v>
      </c>
      <c r="L246" s="125"/>
      <c r="M246" s="317">
        <f t="shared" si="53"/>
        <v>0</v>
      </c>
      <c r="N246" s="317">
        <f t="shared" si="54"/>
        <v>0</v>
      </c>
      <c r="O246" s="311">
        <f t="shared" si="55"/>
        <v>0</v>
      </c>
      <c r="P246" s="343"/>
      <c r="Q246" s="343"/>
    </row>
    <row r="247" spans="1:18" ht="25.5">
      <c r="A247" s="140" t="s">
        <v>581</v>
      </c>
      <c r="B247" s="1" t="s">
        <v>582</v>
      </c>
      <c r="C247" s="332" t="s">
        <v>583</v>
      </c>
      <c r="D247" s="1" t="s">
        <v>19</v>
      </c>
      <c r="E247" s="1" t="s">
        <v>67</v>
      </c>
      <c r="F247" s="56">
        <v>653.14</v>
      </c>
      <c r="G247" s="56">
        <v>11.23</v>
      </c>
      <c r="H247" s="121">
        <f t="shared" si="58"/>
        <v>14.301405000000001</v>
      </c>
      <c r="I247" s="125">
        <f t="shared" si="59"/>
        <v>9340.8196617000012</v>
      </c>
      <c r="J247" s="291"/>
      <c r="K247" s="317">
        <f t="shared" si="52"/>
        <v>0</v>
      </c>
      <c r="L247" s="125"/>
      <c r="M247" s="317">
        <f t="shared" si="53"/>
        <v>0</v>
      </c>
      <c r="N247" s="317">
        <f t="shared" si="54"/>
        <v>0</v>
      </c>
      <c r="O247" s="311">
        <f t="shared" si="55"/>
        <v>0</v>
      </c>
      <c r="P247" s="343"/>
      <c r="Q247" s="343"/>
    </row>
    <row r="248" spans="1:18" ht="38.25">
      <c r="A248" s="140" t="s">
        <v>584</v>
      </c>
      <c r="B248" s="1" t="s">
        <v>585</v>
      </c>
      <c r="C248" s="332" t="s">
        <v>586</v>
      </c>
      <c r="D248" s="1" t="s">
        <v>19</v>
      </c>
      <c r="E248" s="1" t="s">
        <v>67</v>
      </c>
      <c r="F248" s="56">
        <v>69.72</v>
      </c>
      <c r="G248" s="56">
        <v>9.9700000000000006</v>
      </c>
      <c r="H248" s="121">
        <f t="shared" si="58"/>
        <v>12.696795000000002</v>
      </c>
      <c r="I248" s="125">
        <f t="shared" si="59"/>
        <v>885.2205474000001</v>
      </c>
      <c r="J248" s="291"/>
      <c r="K248" s="317">
        <f t="shared" si="52"/>
        <v>0</v>
      </c>
      <c r="L248" s="125"/>
      <c r="M248" s="317">
        <f t="shared" si="53"/>
        <v>0</v>
      </c>
      <c r="N248" s="317">
        <f t="shared" si="54"/>
        <v>0</v>
      </c>
      <c r="O248" s="311">
        <f t="shared" si="55"/>
        <v>0</v>
      </c>
      <c r="P248" s="343"/>
      <c r="Q248" s="343"/>
    </row>
    <row r="249" spans="1:18" ht="63.75">
      <c r="A249" s="140" t="s">
        <v>587</v>
      </c>
      <c r="B249" s="1" t="s">
        <v>588</v>
      </c>
      <c r="C249" s="332" t="s">
        <v>589</v>
      </c>
      <c r="D249" s="1" t="s">
        <v>19</v>
      </c>
      <c r="E249" s="1" t="s">
        <v>67</v>
      </c>
      <c r="F249" s="56">
        <v>64.91</v>
      </c>
      <c r="G249" s="56">
        <v>8.27</v>
      </c>
      <c r="H249" s="121">
        <f t="shared" si="58"/>
        <v>10.531845000000001</v>
      </c>
      <c r="I249" s="125">
        <f t="shared" si="59"/>
        <v>683.62205895</v>
      </c>
      <c r="J249" s="291"/>
      <c r="K249" s="317">
        <f t="shared" si="52"/>
        <v>0</v>
      </c>
      <c r="L249" s="125"/>
      <c r="M249" s="317">
        <f t="shared" si="53"/>
        <v>0</v>
      </c>
      <c r="N249" s="317">
        <f t="shared" si="54"/>
        <v>0</v>
      </c>
      <c r="O249" s="311">
        <f t="shared" si="55"/>
        <v>0</v>
      </c>
      <c r="P249" s="343"/>
      <c r="Q249" s="343"/>
    </row>
    <row r="250" spans="1:18" ht="51">
      <c r="A250" s="140" t="s">
        <v>590</v>
      </c>
      <c r="B250" s="1" t="s">
        <v>591</v>
      </c>
      <c r="C250" s="332" t="s">
        <v>592</v>
      </c>
      <c r="D250" s="1" t="s">
        <v>19</v>
      </c>
      <c r="E250" s="1" t="s">
        <v>67</v>
      </c>
      <c r="F250" s="56">
        <v>64.91</v>
      </c>
      <c r="G250" s="56">
        <v>6.5</v>
      </c>
      <c r="H250" s="121">
        <f t="shared" si="58"/>
        <v>8.2777500000000011</v>
      </c>
      <c r="I250" s="125">
        <f t="shared" si="59"/>
        <v>537.30875250000008</v>
      </c>
      <c r="J250" s="291"/>
      <c r="K250" s="317">
        <f t="shared" si="52"/>
        <v>0</v>
      </c>
      <c r="L250" s="125"/>
      <c r="M250" s="317">
        <f t="shared" si="53"/>
        <v>0</v>
      </c>
      <c r="N250" s="317">
        <f t="shared" si="54"/>
        <v>0</v>
      </c>
      <c r="O250" s="311">
        <f t="shared" si="55"/>
        <v>0</v>
      </c>
      <c r="P250" s="343"/>
      <c r="Q250" s="343"/>
    </row>
    <row r="251" spans="1:18">
      <c r="A251" s="140"/>
      <c r="B251" s="2"/>
      <c r="C251" s="333"/>
      <c r="D251" s="2"/>
      <c r="E251" s="2"/>
      <c r="F251" s="57"/>
      <c r="G251" s="57"/>
      <c r="H251" s="122"/>
      <c r="I251" s="127">
        <f>SUM(I242:I250)</f>
        <v>91385.474917500003</v>
      </c>
      <c r="J251" s="127">
        <f t="shared" ref="J251:K251" si="60">SUM(J242:J250)</f>
        <v>0</v>
      </c>
      <c r="K251" s="318">
        <f t="shared" si="60"/>
        <v>0</v>
      </c>
      <c r="L251" s="127"/>
      <c r="M251" s="317">
        <f t="shared" si="53"/>
        <v>0</v>
      </c>
      <c r="N251" s="317">
        <f t="shared" si="54"/>
        <v>0</v>
      </c>
      <c r="O251" s="311">
        <f t="shared" si="55"/>
        <v>0</v>
      </c>
      <c r="P251" s="343"/>
      <c r="Q251" s="343"/>
    </row>
    <row r="252" spans="1:18" s="144" customFormat="1">
      <c r="A252" s="140"/>
      <c r="B252" s="162"/>
      <c r="C252" s="334"/>
      <c r="D252" s="141"/>
      <c r="E252" s="141"/>
      <c r="F252" s="142"/>
      <c r="G252" s="142"/>
      <c r="H252" s="143"/>
      <c r="I252" s="164"/>
      <c r="J252" s="293"/>
      <c r="K252" s="317">
        <f t="shared" si="52"/>
        <v>0</v>
      </c>
      <c r="L252" s="164"/>
      <c r="M252" s="317">
        <f t="shared" si="53"/>
        <v>0</v>
      </c>
      <c r="N252" s="317">
        <f t="shared" si="54"/>
        <v>0</v>
      </c>
      <c r="O252" s="311"/>
      <c r="P252" s="343"/>
      <c r="Q252" s="343"/>
    </row>
    <row r="253" spans="1:18" ht="20.100000000000001" customHeight="1">
      <c r="A253" s="230" t="s">
        <v>593</v>
      </c>
      <c r="B253" s="367" t="s">
        <v>594</v>
      </c>
      <c r="C253" s="368"/>
      <c r="D253" s="146"/>
      <c r="E253" s="146"/>
      <c r="F253" s="146"/>
      <c r="G253" s="146"/>
      <c r="H253" s="146"/>
      <c r="I253" s="366"/>
      <c r="J253" s="146"/>
      <c r="K253" s="146"/>
      <c r="L253" s="146"/>
      <c r="M253" s="146"/>
      <c r="N253" s="146"/>
      <c r="O253" s="311"/>
      <c r="P253" s="343"/>
      <c r="Q253" s="343"/>
    </row>
    <row r="254" spans="1:18">
      <c r="A254" s="140" t="s">
        <v>595</v>
      </c>
      <c r="B254" s="1" t="s">
        <v>596</v>
      </c>
      <c r="C254" s="332" t="s">
        <v>597</v>
      </c>
      <c r="D254" s="1" t="s">
        <v>10</v>
      </c>
      <c r="E254" s="1" t="s">
        <v>11</v>
      </c>
      <c r="F254" s="56">
        <v>1046.48</v>
      </c>
      <c r="G254" s="56">
        <v>1.86</v>
      </c>
      <c r="H254" s="121">
        <f>G254*$Q$10</f>
        <v>2.3687100000000001</v>
      </c>
      <c r="I254" s="125">
        <f t="shared" ref="I254:I264" si="61">H254*F254</f>
        <v>2478.8076408000002</v>
      </c>
      <c r="J254" s="291"/>
      <c r="K254" s="317">
        <f t="shared" si="52"/>
        <v>0</v>
      </c>
      <c r="L254" s="125"/>
      <c r="M254" s="317">
        <f t="shared" si="53"/>
        <v>0</v>
      </c>
      <c r="N254" s="317">
        <f t="shared" si="54"/>
        <v>0</v>
      </c>
      <c r="O254" s="311">
        <f t="shared" si="55"/>
        <v>0</v>
      </c>
      <c r="P254" s="343"/>
      <c r="Q254" s="343"/>
    </row>
    <row r="255" spans="1:18">
      <c r="A255" s="140" t="s">
        <v>598</v>
      </c>
      <c r="B255" s="1" t="s">
        <v>599</v>
      </c>
      <c r="C255" s="332" t="s">
        <v>600</v>
      </c>
      <c r="D255" s="1" t="s">
        <v>10</v>
      </c>
      <c r="E255" s="1" t="s">
        <v>131</v>
      </c>
      <c r="F255" s="56">
        <v>7</v>
      </c>
      <c r="G255" s="56">
        <v>466.47</v>
      </c>
      <c r="H255" s="121">
        <f>G255*$Q$10</f>
        <v>594.04954500000008</v>
      </c>
      <c r="I255" s="125">
        <f t="shared" si="61"/>
        <v>4158.3468150000008</v>
      </c>
      <c r="J255" s="291"/>
      <c r="K255" s="317">
        <f t="shared" si="52"/>
        <v>0</v>
      </c>
      <c r="L255" s="125"/>
      <c r="M255" s="317">
        <f t="shared" si="53"/>
        <v>0</v>
      </c>
      <c r="N255" s="317">
        <f t="shared" si="54"/>
        <v>0</v>
      </c>
      <c r="O255" s="311">
        <f t="shared" si="55"/>
        <v>0</v>
      </c>
      <c r="P255" s="343"/>
      <c r="Q255" s="343"/>
    </row>
    <row r="256" spans="1:18" s="137" customFormat="1" ht="76.5">
      <c r="A256" s="140" t="s">
        <v>807</v>
      </c>
      <c r="B256" s="133">
        <v>87503</v>
      </c>
      <c r="C256" s="339" t="s">
        <v>66</v>
      </c>
      <c r="D256" s="133" t="s">
        <v>19</v>
      </c>
      <c r="E256" s="133" t="s">
        <v>67</v>
      </c>
      <c r="F256" s="135">
        <v>26.54</v>
      </c>
      <c r="G256" s="135">
        <v>52.58</v>
      </c>
      <c r="H256" s="136">
        <f t="shared" ref="H256:H264" si="62">G256*$Q$10*$R$7</f>
        <v>58.255748099999998</v>
      </c>
      <c r="I256" s="125">
        <f t="shared" si="61"/>
        <v>1546.107554574</v>
      </c>
      <c r="J256" s="291"/>
      <c r="K256" s="317">
        <f t="shared" si="52"/>
        <v>0</v>
      </c>
      <c r="L256" s="125"/>
      <c r="M256" s="317">
        <f t="shared" si="53"/>
        <v>0</v>
      </c>
      <c r="N256" s="317">
        <f t="shared" si="54"/>
        <v>0</v>
      </c>
      <c r="O256" s="311">
        <f t="shared" si="55"/>
        <v>0</v>
      </c>
      <c r="P256" s="343"/>
      <c r="Q256" s="343"/>
      <c r="R256" s="144"/>
    </row>
    <row r="257" spans="1:18" s="137" customFormat="1" ht="38.25">
      <c r="A257" s="140" t="s">
        <v>808</v>
      </c>
      <c r="B257" s="133">
        <v>94319</v>
      </c>
      <c r="C257" s="339" t="s">
        <v>28</v>
      </c>
      <c r="D257" s="133" t="s">
        <v>19</v>
      </c>
      <c r="E257" s="133" t="s">
        <v>29</v>
      </c>
      <c r="F257" s="135">
        <v>30.48</v>
      </c>
      <c r="G257" s="135">
        <v>30.08</v>
      </c>
      <c r="H257" s="136">
        <f t="shared" si="62"/>
        <v>33.3269856</v>
      </c>
      <c r="I257" s="585">
        <f t="shared" si="61"/>
        <v>1015.8065210880001</v>
      </c>
      <c r="J257" s="291"/>
      <c r="K257" s="317">
        <f t="shared" si="52"/>
        <v>0</v>
      </c>
      <c r="L257" s="125"/>
      <c r="M257" s="317">
        <f t="shared" si="53"/>
        <v>0</v>
      </c>
      <c r="N257" s="317">
        <f t="shared" si="54"/>
        <v>0</v>
      </c>
      <c r="O257" s="311">
        <f t="shared" si="55"/>
        <v>0</v>
      </c>
      <c r="P257" s="343"/>
      <c r="Q257" s="343"/>
      <c r="R257" s="144"/>
    </row>
    <row r="258" spans="1:18" s="137" customFormat="1" ht="60">
      <c r="A258" s="140" t="s">
        <v>809</v>
      </c>
      <c r="B258" s="133">
        <v>94992</v>
      </c>
      <c r="C258" s="336" t="s">
        <v>875</v>
      </c>
      <c r="D258" s="133" t="s">
        <v>19</v>
      </c>
      <c r="E258" s="133" t="s">
        <v>67</v>
      </c>
      <c r="F258" s="135">
        <v>40.64</v>
      </c>
      <c r="G258" s="135">
        <v>65.216600999999997</v>
      </c>
      <c r="H258" s="136">
        <f t="shared" si="62"/>
        <v>72.25640699494501</v>
      </c>
      <c r="I258" s="125">
        <f t="shared" si="61"/>
        <v>2936.500380274565</v>
      </c>
      <c r="J258" s="291"/>
      <c r="K258" s="317">
        <f t="shared" si="52"/>
        <v>0</v>
      </c>
      <c r="L258" s="125"/>
      <c r="M258" s="317">
        <f t="shared" si="53"/>
        <v>0</v>
      </c>
      <c r="N258" s="317">
        <f t="shared" si="54"/>
        <v>0</v>
      </c>
      <c r="O258" s="311">
        <f t="shared" si="55"/>
        <v>0</v>
      </c>
      <c r="P258" s="343"/>
      <c r="Q258" s="343"/>
      <c r="R258" s="144"/>
    </row>
    <row r="259" spans="1:18" s="137" customFormat="1" ht="51">
      <c r="A259" s="140" t="s">
        <v>810</v>
      </c>
      <c r="B259" s="133">
        <v>87632</v>
      </c>
      <c r="C259" s="339" t="s">
        <v>151</v>
      </c>
      <c r="D259" s="133" t="s">
        <v>19</v>
      </c>
      <c r="E259" s="133" t="s">
        <v>67</v>
      </c>
      <c r="F259" s="135">
        <v>40.64</v>
      </c>
      <c r="G259" s="135">
        <v>27.26</v>
      </c>
      <c r="H259" s="136">
        <f t="shared" si="62"/>
        <v>30.202580700000006</v>
      </c>
      <c r="I259" s="585">
        <f t="shared" si="61"/>
        <v>1227.4328796480002</v>
      </c>
      <c r="J259" s="291"/>
      <c r="K259" s="317">
        <f t="shared" si="52"/>
        <v>0</v>
      </c>
      <c r="L259" s="125"/>
      <c r="M259" s="317">
        <f t="shared" si="53"/>
        <v>0</v>
      </c>
      <c r="N259" s="317">
        <f t="shared" si="54"/>
        <v>0</v>
      </c>
      <c r="O259" s="311">
        <f t="shared" si="55"/>
        <v>0</v>
      </c>
      <c r="P259" s="343"/>
      <c r="Q259" s="343"/>
      <c r="R259" s="144"/>
    </row>
    <row r="260" spans="1:18" s="137" customFormat="1" ht="51">
      <c r="A260" s="140" t="s">
        <v>811</v>
      </c>
      <c r="B260" s="133">
        <v>87879</v>
      </c>
      <c r="C260" s="339" t="s">
        <v>171</v>
      </c>
      <c r="D260" s="133" t="s">
        <v>19</v>
      </c>
      <c r="E260" s="133" t="s">
        <v>67</v>
      </c>
      <c r="F260" s="135">
        <v>18.989999999999998</v>
      </c>
      <c r="G260" s="135">
        <v>2.64</v>
      </c>
      <c r="H260" s="136">
        <f t="shared" si="62"/>
        <v>2.9249748000000002</v>
      </c>
      <c r="I260" s="125">
        <f t="shared" si="61"/>
        <v>55.545271452000001</v>
      </c>
      <c r="J260" s="291"/>
      <c r="K260" s="317">
        <f t="shared" si="52"/>
        <v>0</v>
      </c>
      <c r="L260" s="125"/>
      <c r="M260" s="317">
        <f t="shared" si="53"/>
        <v>0</v>
      </c>
      <c r="N260" s="317">
        <f t="shared" si="54"/>
        <v>0</v>
      </c>
      <c r="O260" s="311">
        <f t="shared" si="55"/>
        <v>0</v>
      </c>
      <c r="P260" s="343"/>
      <c r="Q260" s="343"/>
      <c r="R260" s="144"/>
    </row>
    <row r="261" spans="1:18" s="137" customFormat="1" ht="76.5">
      <c r="A261" s="140" t="s">
        <v>812</v>
      </c>
      <c r="B261" s="133">
        <v>87547</v>
      </c>
      <c r="C261" s="339" t="s">
        <v>174</v>
      </c>
      <c r="D261" s="133" t="s">
        <v>19</v>
      </c>
      <c r="E261" s="133" t="s">
        <v>67</v>
      </c>
      <c r="F261" s="135">
        <v>18.989999999999998</v>
      </c>
      <c r="G261" s="135">
        <v>14.42</v>
      </c>
      <c r="H261" s="136">
        <f t="shared" si="62"/>
        <v>15.976566900000002</v>
      </c>
      <c r="I261" s="125">
        <f t="shared" si="61"/>
        <v>303.39500543100002</v>
      </c>
      <c r="J261" s="291"/>
      <c r="K261" s="317">
        <f t="shared" si="52"/>
        <v>0</v>
      </c>
      <c r="L261" s="125"/>
      <c r="M261" s="317">
        <f t="shared" si="53"/>
        <v>0</v>
      </c>
      <c r="N261" s="317">
        <f t="shared" si="54"/>
        <v>0</v>
      </c>
      <c r="O261" s="311">
        <f t="shared" si="55"/>
        <v>0</v>
      </c>
      <c r="P261" s="343"/>
      <c r="Q261" s="343"/>
      <c r="R261" s="144"/>
    </row>
    <row r="262" spans="1:18" s="137" customFormat="1" ht="45.75" customHeight="1">
      <c r="A262" s="140" t="s">
        <v>813</v>
      </c>
      <c r="B262" s="133" t="s">
        <v>576</v>
      </c>
      <c r="C262" s="339" t="s">
        <v>577</v>
      </c>
      <c r="D262" s="133" t="s">
        <v>10</v>
      </c>
      <c r="E262" s="133" t="s">
        <v>11</v>
      </c>
      <c r="F262" s="135">
        <v>18.989999999999998</v>
      </c>
      <c r="G262" s="135">
        <v>13.49</v>
      </c>
      <c r="H262" s="136">
        <f t="shared" si="62"/>
        <v>14.946178050000002</v>
      </c>
      <c r="I262" s="125">
        <f t="shared" si="61"/>
        <v>283.82792116950003</v>
      </c>
      <c r="J262" s="291"/>
      <c r="K262" s="317">
        <f t="shared" si="52"/>
        <v>0</v>
      </c>
      <c r="L262" s="125"/>
      <c r="M262" s="317">
        <f t="shared" si="53"/>
        <v>0</v>
      </c>
      <c r="N262" s="317">
        <f t="shared" si="54"/>
        <v>0</v>
      </c>
      <c r="O262" s="311">
        <f t="shared" si="55"/>
        <v>0</v>
      </c>
      <c r="P262" s="343"/>
      <c r="Q262" s="343"/>
      <c r="R262" s="144"/>
    </row>
    <row r="263" spans="1:18" s="137" customFormat="1" ht="25.5">
      <c r="A263" s="140" t="s">
        <v>814</v>
      </c>
      <c r="B263" s="133">
        <v>88485</v>
      </c>
      <c r="C263" s="339" t="s">
        <v>571</v>
      </c>
      <c r="D263" s="133" t="s">
        <v>19</v>
      </c>
      <c r="E263" s="133" t="s">
        <v>67</v>
      </c>
      <c r="F263" s="135">
        <v>18.989999999999998</v>
      </c>
      <c r="G263" s="135">
        <v>1.89</v>
      </c>
      <c r="H263" s="136">
        <f t="shared" si="62"/>
        <v>2.09401605</v>
      </c>
      <c r="I263" s="125">
        <f t="shared" si="61"/>
        <v>39.765364789499998</v>
      </c>
      <c r="J263" s="291"/>
      <c r="K263" s="317">
        <f t="shared" si="52"/>
        <v>0</v>
      </c>
      <c r="L263" s="125"/>
      <c r="M263" s="317">
        <f t="shared" si="53"/>
        <v>0</v>
      </c>
      <c r="N263" s="317">
        <f t="shared" si="54"/>
        <v>0</v>
      </c>
      <c r="O263" s="311">
        <f t="shared" si="55"/>
        <v>0</v>
      </c>
      <c r="P263" s="343"/>
      <c r="Q263" s="343"/>
      <c r="R263" s="144"/>
    </row>
    <row r="264" spans="1:18" s="137" customFormat="1" ht="25.5">
      <c r="A264" s="140" t="s">
        <v>815</v>
      </c>
      <c r="B264" s="133">
        <v>88489</v>
      </c>
      <c r="C264" s="339" t="s">
        <v>580</v>
      </c>
      <c r="D264" s="133" t="s">
        <v>19</v>
      </c>
      <c r="E264" s="133" t="s">
        <v>67</v>
      </c>
      <c r="F264" s="135">
        <v>18.989999999999998</v>
      </c>
      <c r="G264" s="135">
        <v>9.89</v>
      </c>
      <c r="H264" s="136">
        <f t="shared" si="62"/>
        <v>10.957576050000002</v>
      </c>
      <c r="I264" s="125">
        <f t="shared" si="61"/>
        <v>208.08436918950002</v>
      </c>
      <c r="J264" s="291"/>
      <c r="K264" s="317">
        <f t="shared" si="52"/>
        <v>0</v>
      </c>
      <c r="L264" s="125"/>
      <c r="M264" s="317">
        <f t="shared" si="53"/>
        <v>0</v>
      </c>
      <c r="N264" s="317">
        <f t="shared" si="54"/>
        <v>0</v>
      </c>
      <c r="O264" s="311">
        <f t="shared" si="55"/>
        <v>0</v>
      </c>
      <c r="P264" s="343"/>
      <c r="Q264" s="343"/>
      <c r="R264" s="144"/>
    </row>
    <row r="265" spans="1:18" s="144" customFormat="1">
      <c r="A265" s="140"/>
      <c r="B265" s="141"/>
      <c r="C265" s="338"/>
      <c r="D265" s="141"/>
      <c r="E265" s="141"/>
      <c r="F265" s="142"/>
      <c r="G265" s="142"/>
      <c r="H265" s="143"/>
      <c r="I265" s="177"/>
      <c r="J265" s="295"/>
      <c r="K265" s="317"/>
      <c r="L265" s="177"/>
      <c r="M265" s="317"/>
      <c r="N265" s="317"/>
      <c r="O265" s="126"/>
      <c r="P265" s="343"/>
      <c r="Q265" s="343"/>
    </row>
    <row r="266" spans="1:18">
      <c r="A266" s="140"/>
      <c r="B266" s="2"/>
      <c r="C266" s="333"/>
      <c r="D266" s="2"/>
      <c r="E266" s="2"/>
      <c r="F266" s="57"/>
      <c r="G266" s="57"/>
      <c r="H266" s="122"/>
      <c r="I266" s="127">
        <f>SUM(I254:I264)</f>
        <v>14253.619723416068</v>
      </c>
      <c r="J266" s="292"/>
      <c r="K266" s="318">
        <f>SUM(K254:K264)</f>
        <v>0</v>
      </c>
      <c r="L266" s="127"/>
      <c r="M266" s="318">
        <f>SUM(M254:M265)</f>
        <v>0</v>
      </c>
      <c r="N266" s="318"/>
      <c r="O266" s="128"/>
      <c r="P266" s="355"/>
      <c r="Q266" s="343"/>
      <c r="R266" s="158"/>
    </row>
    <row r="267" spans="1:18" ht="19.5" thickBot="1">
      <c r="A267" s="231"/>
      <c r="B267" s="189"/>
      <c r="C267" s="189"/>
      <c r="D267" s="189"/>
      <c r="E267" s="189"/>
      <c r="F267" s="189"/>
      <c r="G267" s="189"/>
      <c r="H267" s="179"/>
      <c r="I267" s="180"/>
      <c r="J267" s="297"/>
      <c r="K267" s="323"/>
      <c r="L267" s="129"/>
      <c r="M267" s="319"/>
      <c r="N267" s="319"/>
      <c r="O267" s="129"/>
      <c r="P267" s="356"/>
      <c r="Q267" s="343"/>
    </row>
    <row r="268" spans="1:18" ht="19.5" thickBot="1">
      <c r="A268" s="232"/>
      <c r="B268" s="188"/>
      <c r="C268" s="188"/>
      <c r="D268" s="188"/>
      <c r="E268" s="188"/>
      <c r="F268" s="188"/>
      <c r="G268" s="188"/>
      <c r="H268" s="191"/>
      <c r="I268" s="586">
        <f>ROUND(SUM(I9:I266)/2,2)</f>
        <v>1388200.58</v>
      </c>
      <c r="J268" s="298"/>
      <c r="K268" s="194">
        <f>SUM(K9:K266)/2</f>
        <v>734122.57828981499</v>
      </c>
      <c r="L268" s="194"/>
      <c r="M268" s="314">
        <f>SUM(M9:M266)/2</f>
        <v>141494.39653072003</v>
      </c>
      <c r="N268" s="314">
        <f>SUM(N9:N266)/2</f>
        <v>875616.97482053505</v>
      </c>
      <c r="O268" s="326">
        <f>N268/I268</f>
        <v>0.63075681384640758</v>
      </c>
      <c r="P268" s="357"/>
      <c r="Q268" s="343"/>
    </row>
    <row r="269" spans="1:18" ht="38.25" thickBot="1">
      <c r="A269" s="232"/>
      <c r="B269" s="188"/>
      <c r="C269" s="188"/>
      <c r="D269" s="188"/>
      <c r="E269" s="188"/>
      <c r="F269" s="188"/>
      <c r="G269" s="188"/>
      <c r="H269" s="192"/>
      <c r="I269" s="303" t="s">
        <v>1064</v>
      </c>
      <c r="J269" s="299"/>
      <c r="K269" s="324" t="s">
        <v>1063</v>
      </c>
      <c r="L269" s="193"/>
      <c r="M269" s="351" t="s">
        <v>1047</v>
      </c>
      <c r="N269" s="352" t="s">
        <v>1072</v>
      </c>
      <c r="O269" s="243"/>
      <c r="P269" s="243"/>
      <c r="Q269" s="343"/>
    </row>
    <row r="270" spans="1:18" ht="15" customHeight="1" thickBot="1">
      <c r="A270" s="232"/>
      <c r="B270" s="188"/>
      <c r="C270" s="188"/>
      <c r="D270" s="188"/>
      <c r="E270" s="188"/>
      <c r="F270" s="188"/>
      <c r="G270" s="188"/>
      <c r="M270" s="342">
        <f>M268/I268</f>
        <v>0.10192647847094259</v>
      </c>
      <c r="Q270" s="343"/>
    </row>
    <row r="271" spans="1:18">
      <c r="M271" s="320"/>
      <c r="Q271" s="343"/>
    </row>
    <row r="272" spans="1:18" ht="21">
      <c r="C272" s="364" t="s">
        <v>1094</v>
      </c>
      <c r="M272" s="320"/>
      <c r="Q272" s="343"/>
    </row>
    <row r="273" spans="2:17" ht="21">
      <c r="C273" s="365" t="s">
        <v>1098</v>
      </c>
      <c r="M273" s="320"/>
      <c r="Q273" s="343"/>
    </row>
    <row r="274" spans="2:17" ht="21">
      <c r="C274" s="363"/>
      <c r="M274" s="320"/>
      <c r="Q274" s="343"/>
    </row>
    <row r="275" spans="2:17">
      <c r="M275" s="320"/>
      <c r="Q275" s="343"/>
    </row>
    <row r="276" spans="2:17">
      <c r="M276" s="320"/>
      <c r="Q276" s="343"/>
    </row>
    <row r="277" spans="2:17" ht="28.5">
      <c r="B277" t="s">
        <v>1095</v>
      </c>
      <c r="C277" s="362"/>
      <c r="M277" s="320"/>
      <c r="Q277" s="343"/>
    </row>
    <row r="278" spans="2:17">
      <c r="M278" s="320"/>
      <c r="Q278" s="343"/>
    </row>
    <row r="279" spans="2:17">
      <c r="M279" s="320"/>
      <c r="Q279" s="343"/>
    </row>
    <row r="280" spans="2:17">
      <c r="M280" s="320"/>
      <c r="Q280" s="343"/>
    </row>
    <row r="281" spans="2:17">
      <c r="C281" t="s">
        <v>1097</v>
      </c>
      <c r="M281" s="320"/>
      <c r="Q281" s="343"/>
    </row>
    <row r="282" spans="2:17">
      <c r="C282" t="s">
        <v>1096</v>
      </c>
      <c r="M282" s="320"/>
      <c r="Q282" s="343"/>
    </row>
    <row r="283" spans="2:17">
      <c r="M283" s="320"/>
      <c r="Q283" s="343"/>
    </row>
    <row r="284" spans="2:17">
      <c r="M284" s="320"/>
      <c r="Q284" s="343"/>
    </row>
    <row r="285" spans="2:17">
      <c r="M285" s="320"/>
      <c r="Q285" s="343"/>
    </row>
    <row r="286" spans="2:17">
      <c r="M286" s="320"/>
      <c r="Q286" s="343"/>
    </row>
    <row r="287" spans="2:17">
      <c r="M287" s="320"/>
      <c r="Q287" s="343"/>
    </row>
    <row r="288" spans="2:17">
      <c r="M288" s="320"/>
      <c r="Q288" s="343"/>
    </row>
    <row r="289" spans="13:17">
      <c r="M289" s="320"/>
      <c r="Q289" s="343"/>
    </row>
    <row r="290" spans="13:17">
      <c r="M290" s="320"/>
      <c r="Q290" s="343"/>
    </row>
    <row r="291" spans="13:17">
      <c r="M291" s="320"/>
      <c r="Q291" s="343"/>
    </row>
    <row r="292" spans="13:17">
      <c r="M292" s="320"/>
      <c r="Q292" s="343"/>
    </row>
    <row r="293" spans="13:17">
      <c r="M293" s="320"/>
      <c r="Q293" s="343"/>
    </row>
    <row r="294" spans="13:17">
      <c r="M294" s="320"/>
      <c r="Q294" s="343"/>
    </row>
    <row r="295" spans="13:17">
      <c r="M295" s="320"/>
      <c r="Q295" s="343"/>
    </row>
    <row r="296" spans="13:17">
      <c r="M296" s="320"/>
      <c r="Q296" s="343"/>
    </row>
    <row r="297" spans="13:17">
      <c r="M297" s="320"/>
      <c r="Q297" s="343"/>
    </row>
    <row r="298" spans="13:17">
      <c r="M298" s="320"/>
      <c r="Q298" s="343"/>
    </row>
    <row r="299" spans="13:17">
      <c r="M299" s="320"/>
      <c r="Q299" s="343"/>
    </row>
    <row r="300" spans="13:17">
      <c r="M300" s="320"/>
      <c r="Q300" s="343"/>
    </row>
    <row r="301" spans="13:17">
      <c r="M301" s="320"/>
      <c r="Q301" s="343"/>
    </row>
    <row r="302" spans="13:17">
      <c r="M302" s="320"/>
      <c r="Q302" s="343"/>
    </row>
    <row r="303" spans="13:17">
      <c r="M303" s="320"/>
      <c r="Q303" s="343"/>
    </row>
    <row r="304" spans="13:17">
      <c r="M304" s="320"/>
      <c r="Q304" s="343"/>
    </row>
    <row r="305" spans="13:17">
      <c r="M305" s="320"/>
      <c r="Q305" s="343"/>
    </row>
    <row r="306" spans="13:17">
      <c r="M306" s="320"/>
      <c r="Q306" s="343"/>
    </row>
    <row r="307" spans="13:17">
      <c r="M307" s="320"/>
      <c r="Q307" s="343"/>
    </row>
    <row r="308" spans="13:17">
      <c r="M308" s="320"/>
      <c r="Q308" s="343"/>
    </row>
    <row r="309" spans="13:17">
      <c r="M309" s="320"/>
      <c r="Q309" s="343"/>
    </row>
    <row r="310" spans="13:17">
      <c r="M310" s="320"/>
      <c r="Q310" s="343"/>
    </row>
    <row r="311" spans="13:17">
      <c r="M311" s="320"/>
      <c r="Q311" s="343"/>
    </row>
    <row r="312" spans="13:17">
      <c r="M312" s="320"/>
      <c r="Q312" s="343"/>
    </row>
    <row r="313" spans="13:17">
      <c r="M313" s="320"/>
      <c r="Q313" s="343"/>
    </row>
    <row r="314" spans="13:17">
      <c r="M314" s="320"/>
      <c r="Q314" s="343"/>
    </row>
    <row r="315" spans="13:17">
      <c r="M315" s="320"/>
      <c r="Q315" s="343"/>
    </row>
    <row r="316" spans="13:17">
      <c r="M316" s="320"/>
      <c r="Q316" s="343"/>
    </row>
    <row r="317" spans="13:17">
      <c r="M317" s="320"/>
      <c r="Q317" s="343"/>
    </row>
    <row r="318" spans="13:17">
      <c r="M318" s="320"/>
      <c r="Q318" s="343"/>
    </row>
    <row r="319" spans="13:17">
      <c r="M319" s="320"/>
      <c r="Q319" s="343"/>
    </row>
    <row r="320" spans="13:17">
      <c r="M320" s="320"/>
      <c r="Q320" s="343"/>
    </row>
    <row r="321" spans="13:17">
      <c r="M321" s="320"/>
      <c r="Q321" s="343"/>
    </row>
    <row r="322" spans="13:17">
      <c r="M322" s="320"/>
      <c r="Q322" s="343"/>
    </row>
    <row r="323" spans="13:17">
      <c r="M323" s="320"/>
      <c r="Q323" s="343"/>
    </row>
    <row r="324" spans="13:17">
      <c r="M324" s="320"/>
      <c r="Q324" s="343"/>
    </row>
    <row r="325" spans="13:17">
      <c r="M325" s="320"/>
      <c r="Q325" s="343"/>
    </row>
    <row r="326" spans="13:17">
      <c r="M326" s="320"/>
      <c r="Q326" s="343"/>
    </row>
    <row r="327" spans="13:17">
      <c r="M327" s="320"/>
      <c r="Q327" s="343"/>
    </row>
    <row r="328" spans="13:17">
      <c r="M328" s="320"/>
      <c r="Q328" s="343"/>
    </row>
    <row r="329" spans="13:17">
      <c r="M329" s="320"/>
      <c r="Q329" s="343"/>
    </row>
    <row r="330" spans="13:17">
      <c r="M330" s="320"/>
      <c r="Q330" s="343"/>
    </row>
    <row r="331" spans="13:17">
      <c r="M331" s="320"/>
      <c r="Q331" s="343"/>
    </row>
    <row r="332" spans="13:17">
      <c r="M332" s="320"/>
      <c r="Q332" s="343"/>
    </row>
    <row r="333" spans="13:17">
      <c r="M333" s="320"/>
      <c r="Q333" s="343"/>
    </row>
    <row r="334" spans="13:17">
      <c r="M334" s="320"/>
      <c r="Q334" s="343"/>
    </row>
    <row r="335" spans="13:17">
      <c r="M335" s="320"/>
      <c r="Q335" s="343"/>
    </row>
    <row r="336" spans="13:17">
      <c r="M336" s="320"/>
      <c r="Q336" s="343"/>
    </row>
    <row r="337" spans="13:17">
      <c r="M337" s="320"/>
      <c r="Q337" s="343"/>
    </row>
    <row r="338" spans="13:17">
      <c r="M338" s="320"/>
      <c r="Q338" s="343"/>
    </row>
    <row r="339" spans="13:17">
      <c r="M339" s="320"/>
      <c r="Q339" s="343"/>
    </row>
    <row r="340" spans="13:17">
      <c r="M340" s="320"/>
      <c r="Q340" s="343"/>
    </row>
    <row r="341" spans="13:17">
      <c r="M341" s="320"/>
      <c r="Q341" s="343"/>
    </row>
    <row r="342" spans="13:17">
      <c r="M342" s="320"/>
      <c r="Q342" s="343"/>
    </row>
    <row r="343" spans="13:17">
      <c r="M343" s="320"/>
      <c r="Q343" s="343"/>
    </row>
    <row r="344" spans="13:17">
      <c r="M344" s="320"/>
      <c r="Q344" s="343"/>
    </row>
    <row r="345" spans="13:17">
      <c r="M345" s="320"/>
      <c r="Q345" s="343"/>
    </row>
    <row r="346" spans="13:17">
      <c r="M346" s="320"/>
      <c r="Q346" s="343"/>
    </row>
    <row r="347" spans="13:17">
      <c r="M347" s="320"/>
      <c r="Q347" s="343"/>
    </row>
    <row r="348" spans="13:17">
      <c r="M348" s="320"/>
      <c r="Q348" s="343"/>
    </row>
    <row r="349" spans="13:17">
      <c r="M349" s="320"/>
      <c r="Q349" s="343"/>
    </row>
    <row r="350" spans="13:17">
      <c r="M350" s="320"/>
      <c r="Q350" s="343"/>
    </row>
    <row r="351" spans="13:17">
      <c r="M351" s="320"/>
      <c r="Q351" s="343"/>
    </row>
    <row r="352" spans="13:17">
      <c r="M352" s="320"/>
      <c r="Q352" s="343"/>
    </row>
    <row r="353" spans="13:17">
      <c r="M353" s="320"/>
      <c r="Q353" s="343"/>
    </row>
    <row r="354" spans="13:17">
      <c r="M354" s="320"/>
      <c r="Q354" s="343"/>
    </row>
    <row r="355" spans="13:17">
      <c r="M355" s="320"/>
      <c r="Q355" s="343"/>
    </row>
    <row r="356" spans="13:17">
      <c r="M356" s="320"/>
      <c r="Q356" s="343"/>
    </row>
    <row r="357" spans="13:17">
      <c r="M357" s="320"/>
      <c r="Q357" s="343"/>
    </row>
    <row r="358" spans="13:17">
      <c r="M358" s="320"/>
      <c r="Q358" s="343"/>
    </row>
    <row r="359" spans="13:17">
      <c r="M359" s="320"/>
      <c r="Q359" s="343"/>
    </row>
    <row r="360" spans="13:17">
      <c r="M360" s="320"/>
      <c r="Q360" s="343"/>
    </row>
    <row r="361" spans="13:17">
      <c r="M361" s="320"/>
      <c r="Q361" s="343"/>
    </row>
    <row r="362" spans="13:17">
      <c r="M362" s="320"/>
      <c r="Q362" s="343"/>
    </row>
    <row r="363" spans="13:17">
      <c r="M363" s="320"/>
      <c r="Q363" s="343"/>
    </row>
    <row r="364" spans="13:17">
      <c r="M364" s="320"/>
      <c r="Q364" s="343"/>
    </row>
    <row r="365" spans="13:17">
      <c r="M365" s="320"/>
      <c r="Q365" s="343"/>
    </row>
    <row r="366" spans="13:17">
      <c r="M366" s="320"/>
      <c r="Q366" s="343"/>
    </row>
    <row r="367" spans="13:17">
      <c r="M367" s="320"/>
      <c r="Q367" s="343"/>
    </row>
    <row r="368" spans="13:17">
      <c r="M368" s="320"/>
      <c r="Q368" s="343"/>
    </row>
    <row r="369" spans="13:17">
      <c r="M369" s="320"/>
      <c r="Q369" s="343"/>
    </row>
    <row r="370" spans="13:17">
      <c r="M370" s="320"/>
      <c r="Q370" s="343"/>
    </row>
    <row r="371" spans="13:17">
      <c r="M371" s="320"/>
      <c r="Q371" s="343"/>
    </row>
    <row r="372" spans="13:17">
      <c r="M372" s="320"/>
      <c r="Q372" s="343"/>
    </row>
    <row r="373" spans="13:17">
      <c r="M373" s="320"/>
      <c r="Q373" s="343"/>
    </row>
    <row r="374" spans="13:17">
      <c r="M374" s="320"/>
      <c r="Q374" s="343"/>
    </row>
    <row r="375" spans="13:17">
      <c r="M375" s="320"/>
      <c r="Q375" s="343"/>
    </row>
    <row r="376" spans="13:17">
      <c r="M376" s="320"/>
      <c r="Q376" s="343"/>
    </row>
    <row r="377" spans="13:17">
      <c r="M377" s="320"/>
      <c r="Q377" s="343"/>
    </row>
    <row r="378" spans="13:17">
      <c r="M378" s="320"/>
      <c r="Q378" s="343"/>
    </row>
    <row r="379" spans="13:17">
      <c r="M379" s="320"/>
      <c r="Q379" s="343"/>
    </row>
    <row r="380" spans="13:17">
      <c r="M380" s="320"/>
      <c r="Q380" s="343"/>
    </row>
    <row r="381" spans="13:17">
      <c r="M381" s="320"/>
      <c r="Q381" s="343"/>
    </row>
    <row r="382" spans="13:17">
      <c r="M382" s="320"/>
      <c r="Q382" s="343"/>
    </row>
    <row r="383" spans="13:17">
      <c r="M383" s="320"/>
      <c r="Q383" s="343"/>
    </row>
    <row r="384" spans="13:17">
      <c r="M384" s="320"/>
      <c r="Q384" s="343"/>
    </row>
    <row r="385" spans="13:17">
      <c r="M385" s="320"/>
      <c r="Q385" s="343"/>
    </row>
    <row r="386" spans="13:17">
      <c r="M386" s="320"/>
      <c r="Q386" s="343"/>
    </row>
    <row r="387" spans="13:17">
      <c r="M387" s="320"/>
      <c r="Q387" s="343"/>
    </row>
    <row r="388" spans="13:17">
      <c r="M388" s="320"/>
      <c r="Q388" s="343"/>
    </row>
    <row r="389" spans="13:17">
      <c r="M389" s="320"/>
      <c r="Q389" s="343"/>
    </row>
    <row r="390" spans="13:17">
      <c r="M390" s="320"/>
      <c r="Q390" s="343"/>
    </row>
    <row r="391" spans="13:17">
      <c r="M391" s="320"/>
      <c r="Q391" s="343"/>
    </row>
    <row r="392" spans="13:17">
      <c r="M392" s="320"/>
      <c r="Q392" s="343"/>
    </row>
    <row r="393" spans="13:17">
      <c r="M393" s="320"/>
      <c r="Q393" s="343"/>
    </row>
    <row r="394" spans="13:17">
      <c r="M394" s="320"/>
      <c r="Q394" s="343"/>
    </row>
    <row r="395" spans="13:17">
      <c r="M395" s="320"/>
      <c r="Q395" s="343"/>
    </row>
    <row r="396" spans="13:17">
      <c r="M396" s="320"/>
      <c r="Q396" s="343"/>
    </row>
    <row r="397" spans="13:17">
      <c r="M397" s="320"/>
      <c r="Q397" s="343"/>
    </row>
    <row r="398" spans="13:17">
      <c r="M398" s="320"/>
      <c r="Q398" s="343"/>
    </row>
    <row r="399" spans="13:17">
      <c r="M399" s="320"/>
      <c r="Q399" s="343"/>
    </row>
    <row r="400" spans="13:17">
      <c r="M400" s="320"/>
      <c r="Q400" s="343"/>
    </row>
    <row r="401" spans="13:17">
      <c r="M401" s="320"/>
      <c r="Q401" s="343"/>
    </row>
    <row r="402" spans="13:17">
      <c r="M402" s="320"/>
      <c r="Q402" s="343"/>
    </row>
    <row r="403" spans="13:17">
      <c r="M403" s="320"/>
      <c r="Q403" s="344"/>
    </row>
    <row r="404" spans="13:17">
      <c r="M404" s="320"/>
      <c r="Q404" s="344"/>
    </row>
    <row r="405" spans="13:17">
      <c r="M405" s="320"/>
      <c r="Q405" s="344"/>
    </row>
    <row r="406" spans="13:17">
      <c r="M406" s="320"/>
      <c r="Q406" s="344"/>
    </row>
    <row r="407" spans="13:17">
      <c r="M407" s="320"/>
      <c r="Q407" s="344"/>
    </row>
    <row r="408" spans="13:17">
      <c r="M408" s="320"/>
      <c r="Q408" s="344"/>
    </row>
    <row r="409" spans="13:17">
      <c r="M409" s="320"/>
      <c r="Q409" s="344"/>
    </row>
    <row r="410" spans="13:17">
      <c r="M410" s="320"/>
      <c r="Q410" s="344"/>
    </row>
    <row r="411" spans="13:17">
      <c r="M411" s="320"/>
      <c r="Q411" s="344"/>
    </row>
    <row r="412" spans="13:17">
      <c r="M412" s="320"/>
      <c r="Q412" s="344"/>
    </row>
    <row r="413" spans="13:17">
      <c r="M413" s="320"/>
      <c r="Q413" s="344"/>
    </row>
    <row r="414" spans="13:17">
      <c r="M414" s="320"/>
      <c r="Q414" s="344"/>
    </row>
    <row r="415" spans="13:17">
      <c r="M415" s="320"/>
      <c r="Q415" s="344"/>
    </row>
    <row r="416" spans="13:17">
      <c r="M416" s="320"/>
      <c r="Q416" s="344"/>
    </row>
    <row r="417" spans="13:17">
      <c r="M417" s="320"/>
      <c r="Q417" s="344"/>
    </row>
    <row r="418" spans="13:17">
      <c r="M418" s="320"/>
      <c r="Q418" s="344"/>
    </row>
    <row r="419" spans="13:17">
      <c r="M419" s="320"/>
      <c r="Q419" s="344"/>
    </row>
    <row r="420" spans="13:17">
      <c r="M420" s="320"/>
      <c r="Q420" s="344"/>
    </row>
    <row r="421" spans="13:17">
      <c r="M421" s="320"/>
      <c r="Q421" s="344"/>
    </row>
    <row r="422" spans="13:17">
      <c r="M422" s="320"/>
      <c r="Q422" s="344"/>
    </row>
    <row r="423" spans="13:17">
      <c r="M423" s="320"/>
      <c r="Q423" s="344"/>
    </row>
    <row r="424" spans="13:17">
      <c r="M424" s="320"/>
      <c r="Q424" s="344"/>
    </row>
    <row r="425" spans="13:17">
      <c r="M425" s="320"/>
      <c r="Q425" s="344"/>
    </row>
    <row r="426" spans="13:17">
      <c r="M426" s="320"/>
      <c r="Q426" s="344"/>
    </row>
    <row r="427" spans="13:17">
      <c r="M427" s="320"/>
      <c r="Q427" s="344"/>
    </row>
    <row r="428" spans="13:17">
      <c r="M428" s="320"/>
      <c r="Q428" s="344"/>
    </row>
    <row r="429" spans="13:17">
      <c r="M429" s="320"/>
      <c r="Q429" s="344"/>
    </row>
    <row r="430" spans="13:17">
      <c r="M430" s="320"/>
      <c r="Q430" s="344"/>
    </row>
    <row r="431" spans="13:17">
      <c r="M431" s="320"/>
      <c r="Q431" s="344"/>
    </row>
    <row r="432" spans="13:17">
      <c r="M432" s="320"/>
      <c r="Q432" s="344"/>
    </row>
    <row r="433" spans="13:17">
      <c r="M433" s="320"/>
      <c r="Q433" s="344"/>
    </row>
    <row r="434" spans="13:17">
      <c r="M434" s="320"/>
      <c r="Q434" s="344"/>
    </row>
    <row r="435" spans="13:17">
      <c r="M435" s="320"/>
      <c r="Q435" s="344"/>
    </row>
    <row r="436" spans="13:17">
      <c r="M436" s="320"/>
      <c r="Q436" s="344"/>
    </row>
    <row r="437" spans="13:17">
      <c r="M437" s="320"/>
      <c r="Q437" s="344"/>
    </row>
    <row r="438" spans="13:17">
      <c r="M438" s="320"/>
      <c r="Q438" s="344"/>
    </row>
    <row r="439" spans="13:17">
      <c r="M439" s="320"/>
      <c r="Q439" s="344"/>
    </row>
    <row r="440" spans="13:17">
      <c r="M440" s="320"/>
      <c r="Q440" s="344"/>
    </row>
    <row r="441" spans="13:17">
      <c r="M441" s="320"/>
      <c r="Q441" s="344"/>
    </row>
    <row r="442" spans="13:17">
      <c r="M442" s="320"/>
      <c r="Q442" s="344"/>
    </row>
  </sheetData>
  <mergeCells count="27">
    <mergeCell ref="E6:E7"/>
    <mergeCell ref="D1:P2"/>
    <mergeCell ref="D3:P3"/>
    <mergeCell ref="A4:P5"/>
    <mergeCell ref="F6:P6"/>
    <mergeCell ref="A1:C3"/>
    <mergeCell ref="A6:A7"/>
    <mergeCell ref="B6:B7"/>
    <mergeCell ref="C6:C7"/>
    <mergeCell ref="D6:D7"/>
    <mergeCell ref="B116:C116"/>
    <mergeCell ref="A8:M8"/>
    <mergeCell ref="B9:C9"/>
    <mergeCell ref="B16:C16"/>
    <mergeCell ref="B26:C26"/>
    <mergeCell ref="B38:C38"/>
    <mergeCell ref="B45:C45"/>
    <mergeCell ref="B57:C57"/>
    <mergeCell ref="B66:C66"/>
    <mergeCell ref="B79:C79"/>
    <mergeCell ref="B91:C91"/>
    <mergeCell ref="B99:C99"/>
    <mergeCell ref="B120:C120"/>
    <mergeCell ref="B128:C128"/>
    <mergeCell ref="B178:C178"/>
    <mergeCell ref="B241:C241"/>
    <mergeCell ref="B253:C253"/>
  </mergeCells>
  <conditionalFormatting sqref="L7:L13 L27:L35 L15 L39:L42 L46:L56 L67:L76 L100:L126 L269:L1048576 L17:L23 L58:L63 L80:L88 L92:L96 L254:L267 L242:L252 L179:L240 L129:L177">
    <cfRule type="cellIs" dxfId="7" priority="3" operator="greaterThan">
      <formula>0</formula>
    </cfRule>
  </conditionalFormatting>
  <conditionalFormatting sqref="M7:M15 M17:M23 M27:M36 M39:M43 M46:M56 M58:M64 M67:M77 M80:M89 M92:M97 M100:M126 M254:M1048576 M242:M252 M179:M240 M129:M177">
    <cfRule type="cellIs" dxfId="6" priority="2" operator="greaterThan">
      <formula>0</formula>
    </cfRule>
  </conditionalFormatting>
  <conditionalFormatting sqref="O10:P12 O17:O36 O39:O97 O100:O264 O13:O15">
    <cfRule type="cellIs" dxfId="5" priority="1" operator="greaterThan">
      <formula>1</formula>
    </cfRule>
  </conditionalFormatting>
  <pageMargins left="0.51181102362204722" right="0.51181102362204722" top="0.78740157480314965" bottom="0.78740157480314965" header="0.31496062992125984" footer="0.31496062992125984"/>
  <pageSetup paperSize="9" scale="43" fitToHeight="0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91EF-0C0E-4321-9AA7-F6AAC867DF9A}">
  <sheetPr>
    <tabColor rgb="FFFFFF00"/>
  </sheetPr>
  <dimension ref="A1:P242"/>
  <sheetViews>
    <sheetView view="pageBreakPreview" topLeftCell="A69" zoomScale="69" zoomScaleNormal="51" zoomScaleSheetLayoutView="69" workbookViewId="0">
      <selection activeCell="E69" sqref="E69"/>
    </sheetView>
  </sheetViews>
  <sheetFormatPr defaultRowHeight="15"/>
  <cols>
    <col min="2" max="2" width="51.4257812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>
      <c r="A1" s="432"/>
      <c r="B1" s="432"/>
      <c r="C1" s="435" t="s">
        <v>1077</v>
      </c>
      <c r="D1" s="436"/>
      <c r="E1" s="437"/>
      <c r="F1" s="49"/>
      <c r="G1" s="49"/>
      <c r="H1" s="49"/>
      <c r="I1" s="49"/>
      <c r="J1" s="49"/>
      <c r="K1" s="49"/>
      <c r="L1" s="49"/>
      <c r="M1" s="49"/>
      <c r="N1" s="444"/>
      <c r="O1" s="444"/>
      <c r="P1" s="444"/>
    </row>
    <row r="2" spans="1:16" ht="15" customHeight="1">
      <c r="A2" s="433"/>
      <c r="B2" s="433"/>
      <c r="C2" s="438"/>
      <c r="D2" s="439"/>
      <c r="E2" s="440"/>
      <c r="F2" s="49"/>
      <c r="G2" s="49"/>
      <c r="H2" s="49"/>
      <c r="I2" s="49"/>
      <c r="J2" s="49"/>
      <c r="K2" s="49"/>
      <c r="L2" s="49"/>
      <c r="M2" s="49"/>
      <c r="N2" s="444"/>
      <c r="O2" s="444"/>
      <c r="P2" s="444"/>
    </row>
    <row r="3" spans="1:16" ht="15" customHeight="1">
      <c r="A3" s="433"/>
      <c r="B3" s="433"/>
      <c r="C3" s="441"/>
      <c r="D3" s="442"/>
      <c r="E3" s="443"/>
      <c r="F3" s="49"/>
      <c r="G3" s="49"/>
      <c r="H3" s="49"/>
      <c r="I3" s="49"/>
      <c r="J3" s="49"/>
      <c r="K3" s="49"/>
      <c r="L3" s="49"/>
      <c r="M3" s="49"/>
      <c r="N3" s="236"/>
      <c r="O3" s="236"/>
      <c r="P3" s="236"/>
    </row>
    <row r="4" spans="1:16" ht="15" customHeight="1">
      <c r="A4" s="433"/>
      <c r="B4" s="433"/>
      <c r="C4" s="445" t="s">
        <v>602</v>
      </c>
      <c r="D4" s="445"/>
      <c r="E4" s="445"/>
      <c r="F4" s="50"/>
      <c r="G4" s="50"/>
      <c r="H4" s="50"/>
      <c r="I4" s="50"/>
      <c r="J4" s="50"/>
      <c r="K4" s="50"/>
      <c r="L4" s="50"/>
      <c r="M4" s="50"/>
      <c r="N4" s="446"/>
      <c r="O4" s="446"/>
      <c r="P4" s="446"/>
    </row>
    <row r="5" spans="1:16" ht="15" customHeight="1">
      <c r="A5" s="434"/>
      <c r="B5" s="434"/>
      <c r="C5" s="445"/>
      <c r="D5" s="445"/>
      <c r="E5" s="445"/>
      <c r="F5" s="50"/>
      <c r="G5" s="50"/>
      <c r="H5" s="50"/>
      <c r="I5" s="50"/>
      <c r="J5" s="50"/>
      <c r="K5" s="50"/>
      <c r="L5" s="50"/>
      <c r="M5" s="50"/>
      <c r="N5" s="237"/>
      <c r="O5" s="237"/>
      <c r="P5" s="237"/>
    </row>
    <row r="6" spans="1:16" ht="26.25">
      <c r="A6" s="447" t="s">
        <v>1078</v>
      </c>
      <c r="B6" s="448"/>
      <c r="C6" s="448"/>
      <c r="D6" s="448"/>
      <c r="E6" s="449"/>
    </row>
    <row r="7" spans="1:16">
      <c r="A7" s="450"/>
      <c r="B7" s="451"/>
      <c r="C7" s="451"/>
      <c r="D7" s="451"/>
      <c r="E7" s="452"/>
    </row>
    <row r="8" spans="1:16">
      <c r="A8" s="9" t="s">
        <v>0</v>
      </c>
      <c r="B8" s="10" t="s">
        <v>603</v>
      </c>
      <c r="C8" s="11" t="s">
        <v>604</v>
      </c>
      <c r="D8" s="9" t="s">
        <v>605</v>
      </c>
      <c r="E8" s="12" t="s">
        <v>606</v>
      </c>
    </row>
    <row r="9" spans="1:16">
      <c r="A9" s="450"/>
      <c r="B9" s="451"/>
      <c r="C9" s="451"/>
      <c r="D9" s="451"/>
      <c r="E9" s="452"/>
    </row>
    <row r="10" spans="1:16">
      <c r="A10" s="7">
        <f>'[2]1 MEDIÇÃO'!A9</f>
        <v>1</v>
      </c>
      <c r="B10" s="453" t="str">
        <f>'[3]MEDIÇÃO 07'!B8:P8</f>
        <v>SERVIÇOS PRELIMINARES</v>
      </c>
      <c r="C10" s="454"/>
      <c r="D10" s="454"/>
      <c r="E10" s="454"/>
    </row>
    <row r="11" spans="1:16">
      <c r="A11" s="8" t="str">
        <f>'[2]1 MEDIÇÃO'!A10</f>
        <v xml:space="preserve"> 1.1 </v>
      </c>
      <c r="B11" s="5" t="str">
        <f>'[3]MEDIÇÃO 07'!C9</f>
        <v>Placa de obra em chapa aço galvanizado, instalada</v>
      </c>
      <c r="C11" s="4" t="str">
        <f>'[3]MEDIÇÃO 07'!E9</f>
        <v>m2</v>
      </c>
      <c r="D11" s="6"/>
      <c r="E11" s="14"/>
    </row>
    <row r="12" spans="1:16" ht="30">
      <c r="A12" s="8" t="str">
        <f>'[2]1 MEDIÇÃO'!A11</f>
        <v xml:space="preserve"> 1.2 </v>
      </c>
      <c r="B12" s="5" t="str">
        <f>'[3]MEDIÇÃO 07'!C10</f>
        <v>Barracão para escritório de obra porte pequeno s=25,41m2 com materiais novos</v>
      </c>
      <c r="C12" s="4" t="str">
        <f>'[3]MEDIÇÃO 07'!E10</f>
        <v>un</v>
      </c>
      <c r="D12" s="6"/>
      <c r="E12" s="14"/>
    </row>
    <row r="13" spans="1:16" ht="45">
      <c r="A13" s="8" t="str">
        <f>'[2]1 MEDIÇÃO'!A12</f>
        <v xml:space="preserve"> 1.3 </v>
      </c>
      <c r="B13" s="5" t="str">
        <f>'[3]MEDIÇÃO 07'!C11</f>
        <v>LOCACAO CONVENCIONAL DE OBRA, UTILIZANDO GABARITO DE TÁBUAS CORRIDAS PONTALETADAS A CADA 2,00M -  2 UTILIZAÇÕES. AF_10/2018</v>
      </c>
      <c r="C13" s="4" t="str">
        <f>'[3]MEDIÇÃO 07'!E11</f>
        <v>M</v>
      </c>
      <c r="D13" s="4"/>
      <c r="E13" s="14"/>
    </row>
    <row r="14" spans="1:16" ht="45">
      <c r="A14" s="8" t="str">
        <f>'[2]1 MEDIÇÃO'!A13</f>
        <v xml:space="preserve"> 1.4 </v>
      </c>
      <c r="B14" s="5" t="str">
        <f>'[3]MEDIÇÃO 07'!C12</f>
        <v>Instalação provisória de energia elétrica, aerea, trifasica, em poste galvanizado, exclusive fornecimento do medidor</v>
      </c>
      <c r="C14" s="4" t="str">
        <f>'[3]MEDIÇÃO 07'!E12</f>
        <v>un</v>
      </c>
      <c r="D14" s="6"/>
      <c r="E14" s="14"/>
    </row>
    <row r="15" spans="1:16">
      <c r="A15" s="7" t="str">
        <f>'[3]MEDIÇÃO 07'!A14</f>
        <v>2</v>
      </c>
      <c r="B15" s="428" t="str">
        <f>'[3]MEDIÇÃO 07'!B14:P14</f>
        <v>MOVIMENTO DE TERRA</v>
      </c>
      <c r="C15" s="428"/>
      <c r="D15" s="428"/>
      <c r="E15" s="428"/>
    </row>
    <row r="16" spans="1:16" ht="162" customHeight="1">
      <c r="A16" s="4" t="str">
        <f>'[3]MEDIÇÃO 07'!A15</f>
        <v>2.1</v>
      </c>
      <c r="B16" s="13" t="str">
        <f>'[3]MEDIÇÃO 07'!C15</f>
        <v>ATERRO MANUAL DE VALAS COM SOLO ARGILO-ARENOSO E COMPACTAÇÃO MECANIZADA. AF_05/2016</v>
      </c>
      <c r="C16" s="15" t="str">
        <f>'[3]MEDIÇÃO 07'!E15</f>
        <v>M3</v>
      </c>
      <c r="D16" s="221" t="s">
        <v>1033</v>
      </c>
      <c r="E16" s="345">
        <v>258.8</v>
      </c>
    </row>
    <row r="17" spans="1:6" ht="330">
      <c r="A17" s="4" t="str">
        <f>'[3]MEDIÇÃO 07'!A16</f>
        <v>2.2</v>
      </c>
      <c r="B17" s="5" t="str">
        <f>'[3]MEDIÇÃO 07'!C16</f>
        <v>ESCAVAÇÃO MANUAL PARA BLOCO DE COROAMENTO OU SAPATA (INCLUINDO ESCAVAÇÃO PARA COLOCAÇÃO DE FÔRMAS). AF_06/2017</v>
      </c>
      <c r="C17" s="4" t="str">
        <f>'[3]MEDIÇÃO 07'!E16</f>
        <v>M3</v>
      </c>
      <c r="D17" s="132" t="s">
        <v>816</v>
      </c>
      <c r="E17" s="346">
        <f>27.3375+53.94+74.25+7.92+54.6+4.2075+22.95+64.8375+15.795+17.5275+5.8275+5.99625+7.245+7.4175+8.1+8.4525+18.7425-139.8</f>
        <v>265.34625</v>
      </c>
      <c r="F17">
        <f>2*2.45*2.55*1.5</f>
        <v>18.7425</v>
      </c>
    </row>
    <row r="18" spans="1:6" ht="30">
      <c r="A18" s="4" t="str">
        <f>'[3]MEDIÇÃO 07'!A17</f>
        <v>2.3</v>
      </c>
      <c r="B18" s="5" t="str">
        <f>'[3]MEDIÇÃO 07'!C17</f>
        <v>ATERRO MANUAL DE VALAS COM SOLO ARGILO-ARENOSO E COMPACTAÇÃO MECANIZADA. AF_05/2016</v>
      </c>
      <c r="C18" s="4" t="str">
        <f>'[3]MEDIÇÃO 07'!E17</f>
        <v>M3</v>
      </c>
      <c r="D18" s="132"/>
      <c r="E18" s="346"/>
    </row>
    <row r="19" spans="1:6" ht="300">
      <c r="A19" s="255" t="s">
        <v>795</v>
      </c>
      <c r="B19" s="256" t="s">
        <v>870</v>
      </c>
      <c r="C19" s="256" t="s">
        <v>29</v>
      </c>
      <c r="D19" s="132" t="s">
        <v>817</v>
      </c>
      <c r="E19" s="346">
        <f>3.0112+6.08+0.112+3.008+0.9504+3.72+1.5632+1.032+0.4+2.4704+1.5248+1.5248+0.512+0.512+1.2+1+1.3104+0.992+0.992+1.464+2.472+1.304+1.2896+1.2896+0.648+0.296+0.2584+0.2928+0.2584+1.304+1.28+1.28+2.744+2.744+1.28+1.28+1.328+1.824+0.288+0.48</f>
        <v>57.320000000000014</v>
      </c>
    </row>
    <row r="20" spans="1:6" ht="45">
      <c r="A20" s="255" t="s">
        <v>1034</v>
      </c>
      <c r="B20" s="256" t="s">
        <v>1035</v>
      </c>
      <c r="C20" s="256" t="s">
        <v>29</v>
      </c>
      <c r="D20" s="132" t="s">
        <v>818</v>
      </c>
      <c r="E20" s="346">
        <f>(405.15+57.32)*1.15</f>
        <v>531.84049999999991</v>
      </c>
    </row>
    <row r="21" spans="1:6" ht="60">
      <c r="A21" s="255" t="s">
        <v>796</v>
      </c>
      <c r="B21" s="256" t="s">
        <v>871</v>
      </c>
      <c r="C21" s="256" t="s">
        <v>20</v>
      </c>
      <c r="D21" s="132" t="s">
        <v>819</v>
      </c>
      <c r="E21" s="346">
        <f>10.1+10.06+10.07</f>
        <v>30.23</v>
      </c>
    </row>
    <row r="22" spans="1:6">
      <c r="A22" s="7" t="str">
        <f>'[3]MEDIÇÃO 07'!A22</f>
        <v>3</v>
      </c>
      <c r="B22" s="428" t="str">
        <f>'[3]MEDIÇÃO 07'!B22:P22</f>
        <v>FUNDAÇÃO</v>
      </c>
      <c r="C22" s="428"/>
      <c r="D22" s="428"/>
      <c r="E22" s="428"/>
    </row>
    <row r="23" spans="1:6" ht="330">
      <c r="A23" s="4" t="str">
        <f>'[3]MEDIÇÃO 07'!A23</f>
        <v>3.1</v>
      </c>
      <c r="B23" s="13" t="str">
        <f>'[3]MEDIÇÃO 07'!C23</f>
        <v>CONCRETO MAGRO PARA LASTRO, TRAÇO 1:4,5:4,5 (EM MASSA SECA DE CIMENTO/ AREIA MÉDIA/ BRITA 1) - PREPARO MECÂNICO COM BETONEIRA 400 L. AF_05/2021</v>
      </c>
      <c r="C23" s="15" t="str">
        <f>'[3]MEDIÇÃO 07'!E23</f>
        <v>M3</v>
      </c>
      <c r="D23" s="200" t="s">
        <v>1026</v>
      </c>
      <c r="E23" s="346">
        <v>25.36</v>
      </c>
      <c r="F23">
        <f>2*1.6*1.65*0.1</f>
        <v>0.52800000000000002</v>
      </c>
    </row>
    <row r="24" spans="1:6" ht="90">
      <c r="A24" s="4" t="str">
        <f>'[3]MEDIÇÃO 07'!A24</f>
        <v>3.2</v>
      </c>
      <c r="B24" s="13" t="str">
        <f>'[3]MEDIÇÃO 07'!C24</f>
        <v>Forma plana para fundações, em tábuas de pinho, 07 usos</v>
      </c>
      <c r="C24" s="15" t="str">
        <f>'[3]MEDIÇÃO 07'!E24</f>
        <v>m²</v>
      </c>
      <c r="D24" s="200" t="s">
        <v>1079</v>
      </c>
      <c r="E24" s="346">
        <f>514.13-470.8</f>
        <v>43.329999999999984</v>
      </c>
    </row>
    <row r="25" spans="1:6" ht="45">
      <c r="A25" s="4" t="str">
        <f>'[3]MEDIÇÃO 07'!A25</f>
        <v>3.3</v>
      </c>
      <c r="B25" s="13" t="str">
        <f>'[3]MEDIÇÃO 07'!C25</f>
        <v>ARMAÇÃO DE BLOCO, VIGA BALDRAME OU SAPATA UTILIZANDO AÇO CA-50 DE 6,3 MM - MONTAGEM. AF_06/2017</v>
      </c>
      <c r="C25" s="15" t="str">
        <f>'[3]MEDIÇÃO 07'!E25</f>
        <v>KG</v>
      </c>
      <c r="D25" s="21"/>
      <c r="E25" s="19"/>
    </row>
    <row r="26" spans="1:6" ht="120">
      <c r="A26" s="4" t="str">
        <f>'[3]MEDIÇÃO 07'!A26</f>
        <v>3.4</v>
      </c>
      <c r="B26" s="13" t="str">
        <f>'[3]MEDIÇÃO 07'!C26</f>
        <v>ARMAÇÃO DE BLOCO, VIGA BALDRAME OU SAPATA UTILIZANDO AÇO CA-50 DE 10 MM - MONTAGEM. AF_06/2017</v>
      </c>
      <c r="C26" s="15" t="str">
        <f>'[3]MEDIÇÃO 07'!E26</f>
        <v>KG</v>
      </c>
      <c r="D26" s="200" t="s">
        <v>1080</v>
      </c>
      <c r="E26" s="346">
        <v>894.11</v>
      </c>
    </row>
    <row r="27" spans="1:6" ht="45">
      <c r="A27" s="4" t="str">
        <f>'[3]MEDIÇÃO 07'!A27</f>
        <v>3.5</v>
      </c>
      <c r="B27" s="13" t="str">
        <f>'[3]MEDIÇÃO 07'!C27</f>
        <v>ARMAÇÃO DE BLOCO, VIGA BALDRAME OU SAPATA UTILIZANDO AÇO CA-50 DE 12,5 MM - MONTAGEM. AF_06/2017</v>
      </c>
      <c r="C27" s="15" t="str">
        <f>'[3]MEDIÇÃO 07'!E27</f>
        <v>KG</v>
      </c>
      <c r="D27" s="22"/>
      <c r="E27" s="19"/>
    </row>
    <row r="28" spans="1:6" ht="120">
      <c r="A28" s="4" t="str">
        <f>'[3]MEDIÇÃO 07'!A28</f>
        <v>3.6</v>
      </c>
      <c r="B28" s="13" t="str">
        <f>'[3]MEDIÇÃO 07'!C28</f>
        <v>ARMAÇÃO DE BLOCO, VIGA BALDRAME E SAPATA UTILIZANDO AÇO CA-60 DE 5 MM - MONTAGEM. AF_06/2017</v>
      </c>
      <c r="C28" s="15" t="str">
        <f>'[3]MEDIÇÃO 07'!E28</f>
        <v>KG</v>
      </c>
      <c r="D28" s="200" t="s">
        <v>1081</v>
      </c>
      <c r="E28" s="346">
        <v>89.07</v>
      </c>
      <c r="F28" s="55"/>
    </row>
    <row r="29" spans="1:6" ht="90">
      <c r="A29" s="4" t="str">
        <f>'[3]MEDIÇÃO 07'!A29</f>
        <v>3.7</v>
      </c>
      <c r="B29" s="13" t="str">
        <f>'[3]MEDIÇÃO 07'!C29</f>
        <v>CONCRETO FCK = 25MPA, TRAÇO 1:2,3:2,7 (EM MASSA SECA DE CIMENTO/ AREIA MÉDIA/ BRITA 1) - PREPARO MECÂNICO COM BETONEIRA 400 L. AF_05/2021</v>
      </c>
      <c r="C29" s="15" t="str">
        <f>'[3]MEDIÇÃO 07'!E29</f>
        <v>M3</v>
      </c>
      <c r="D29" s="200" t="s">
        <v>1082</v>
      </c>
      <c r="E29" s="346">
        <v>17.93</v>
      </c>
    </row>
    <row r="30" spans="1:6" ht="90">
      <c r="A30" s="4" t="str">
        <f>'[3]MEDIÇÃO 07'!A30</f>
        <v>3.8</v>
      </c>
      <c r="B30" s="13" t="str">
        <f>'[3]MEDIÇÃO 07'!C30</f>
        <v>LANÇAMENTO COM USO DE BOMBA, ADENSAMENTO E ACABAMENTO DE CONCRETO EM ESTRUTURAS. AF_12/2015</v>
      </c>
      <c r="C30" s="15" t="str">
        <f>'[3]MEDIÇÃO 07'!E30</f>
        <v>M3</v>
      </c>
      <c r="D30" s="200" t="s">
        <v>1082</v>
      </c>
      <c r="E30" s="346">
        <v>17.93</v>
      </c>
    </row>
    <row r="31" spans="1:6" ht="360">
      <c r="A31" s="4" t="str">
        <f>'[3]MEDIÇÃO 07'!A31</f>
        <v>3.9</v>
      </c>
      <c r="B31" s="347" t="s">
        <v>872</v>
      </c>
      <c r="C31" s="15" t="s">
        <v>67</v>
      </c>
      <c r="D31" s="115" t="s">
        <v>613</v>
      </c>
      <c r="E31" s="346">
        <f>17.805+2.55+2.55+2.445+4.8+1.53+29.7225+4.8+1.275+29.97+3.18+4.23+29.7225+6.195+1.275+29.97+7.965+14.5725+24.0375+14.4225+24.3675+24.3675+7.305</f>
        <v>289.0575</v>
      </c>
    </row>
    <row r="32" spans="1:6">
      <c r="A32" s="7" t="str">
        <f>'[3]MEDIÇÃO 07'!A33</f>
        <v>4</v>
      </c>
      <c r="B32" s="428" t="str">
        <f>'[3]MEDIÇÃO 07'!B33:P33</f>
        <v>ELEMENTO VAZADO</v>
      </c>
      <c r="C32" s="428"/>
      <c r="D32" s="428"/>
      <c r="E32" s="428"/>
    </row>
    <row r="33" spans="1:6" ht="75">
      <c r="A33" s="4" t="str">
        <f>'[3]MEDIÇÃO 07'!A34</f>
        <v>4.1</v>
      </c>
      <c r="B33" s="5" t="str">
        <f>'[3]MEDIÇÃO 07'!C34</f>
        <v>ALVENARIA DE VEDAÇÃO DE BLOCOS CERÂMICOS FURADOS NA HORIZONTAL DE 9X19X19CM (ESPESSURA 9CM) DE PAREDES COM ÁREA LÍQUIDA MAIOR OU IGUAL A 6M² SEM VÃOS E ARGAMASSA DE ASSENTAMENTO COM PREPARO EM BETONEIRA. AF_06/2014</v>
      </c>
      <c r="C33" s="4" t="str">
        <f>'[3]MEDIÇÃO 07'!E34</f>
        <v>M2</v>
      </c>
      <c r="D33" s="18"/>
      <c r="E33" s="19"/>
    </row>
    <row r="34" spans="1:6" ht="60">
      <c r="A34" s="4" t="str">
        <f>'[3]MEDIÇÃO 07'!A35</f>
        <v>4.2</v>
      </c>
      <c r="B34" s="5" t="str">
        <f>'[3]MEDIÇÃO 07'!C35</f>
        <v>ALVENARIA DE VEDAÇÃO COM ELEMENTO VAZADO DE CONCRETO (COBOGÓ) DE 7X50X50CM E ARGAMASSA DE ASSENTAMENTO COM PREPARO EM BETONEIRA. AF_05/2020</v>
      </c>
      <c r="C34" s="4" t="str">
        <f>'[3]MEDIÇÃO 07'!E35</f>
        <v>M2</v>
      </c>
      <c r="D34" s="18"/>
      <c r="E34" s="19"/>
    </row>
    <row r="35" spans="1:6" ht="75">
      <c r="A35" s="4" t="str">
        <f>'[3]MEDIÇÃO 07'!A36</f>
        <v>4.3</v>
      </c>
      <c r="B35" s="5" t="str">
        <f>'[3]MEDIÇÃO 07'!C36</f>
        <v>ALVENARIA DE VEDAÇÃO DE BLOCOS CERÂMICOS FURADOS NA HORIZONTAL DE 9X19X19CM (ESPESSURA 9CM) DE PAREDES COM ÁREA LÍQUIDA MAIOR OU IGUAL A 6M² SEM VÃOS E ARGAMASSA DE ASSENTAMENTO COM PREPARO EM BETONEIRA. AF_06/2014</v>
      </c>
      <c r="C35" s="4" t="str">
        <f>'[3]MEDIÇÃO 07'!E36</f>
        <v>M2</v>
      </c>
      <c r="D35" s="18"/>
      <c r="E35" s="19"/>
    </row>
    <row r="36" spans="1:6" ht="90">
      <c r="A36" s="4" t="str">
        <f>'[3]MEDIÇÃO 07'!A37</f>
        <v>4.4</v>
      </c>
      <c r="B36" s="5" t="str">
        <f>'[3]MEDIÇÃO 07'!C37</f>
        <v>(COMPOSIÇÃO REPRESENTATIVA) DO SERVIÇO DE ALVENARIA DE VEDAÇÃO DE BLOCOS VAZADOS DE CERÂMICA DE 14X9X19CM (ESPESSURA 14CM, BLOCO DEITADO), PARA EDIFICAÇÃO HABITACIONAL UNIFAMILIAR (CASA) E EDIFICAÇÃO PÚBLICA PADRÃO. AF_12/2014</v>
      </c>
      <c r="C36" s="4" t="str">
        <f>'[3]MEDIÇÃO 07'!E37</f>
        <v>M2</v>
      </c>
      <c r="D36" s="221"/>
      <c r="E36" s="235"/>
    </row>
    <row r="37" spans="1:6">
      <c r="A37" s="7" t="str">
        <f>'[3]MEDIÇÃO 07'!A39</f>
        <v>5</v>
      </c>
      <c r="B37" s="428" t="s">
        <v>1083</v>
      </c>
      <c r="C37" s="428"/>
      <c r="D37" s="428"/>
      <c r="E37" s="428"/>
    </row>
    <row r="38" spans="1:6" ht="360">
      <c r="A38" s="4" t="str">
        <f>'[3]MEDIÇÃO 07'!A40</f>
        <v>5.1</v>
      </c>
      <c r="B38" s="6" t="str">
        <f>'[3]MEDIÇÃO 07'!C40</f>
        <v>Forma plana para estruturas, em compensado plastificado de 12mm, 07 usos, inclusive escoramento - Revisada 07.2015</v>
      </c>
      <c r="C38" s="4" t="str">
        <f>'[3]MEDIÇÃO 07'!E40</f>
        <v>m2</v>
      </c>
      <c r="D38" s="200" t="s">
        <v>1084</v>
      </c>
      <c r="E38" s="346">
        <v>377</v>
      </c>
      <c r="F38">
        <f>(1*((0.174*3.2*2)+(0.324*3.2*2)))+(1*((0.224*3.2)+(0.324*3.2)))</f>
        <v>4.9408000000000003</v>
      </c>
    </row>
    <row r="39" spans="1:6" ht="60">
      <c r="A39" s="4" t="str">
        <f>'[3]MEDIÇÃO 07'!A41</f>
        <v>5.2</v>
      </c>
      <c r="B39" s="6" t="str">
        <f>'[3]MEDIÇÃO 07'!C41</f>
        <v>ARMAÇÃO DE PILAR OU VIGA DE UMA ESTRUTURA CONVENCIONAL DE CONCRETO ARMADO EM UMA EDIFICAÇÃO TÉRREA OU SOBRADO UTILIZANDO AÇO CA-50 DE 6,3 MM - MONTAGEM. AF_12/2015</v>
      </c>
      <c r="C39" s="4" t="str">
        <f>'[3]MEDIÇÃO 07'!E41</f>
        <v>KG</v>
      </c>
      <c r="D39" s="19"/>
      <c r="E39" s="4"/>
    </row>
    <row r="40" spans="1:6" ht="330">
      <c r="A40" s="4" t="str">
        <f>'[3]MEDIÇÃO 07'!A42</f>
        <v>5.3</v>
      </c>
      <c r="B40" s="6" t="str">
        <f>'[3]MEDIÇÃO 07'!C42</f>
        <v>ARMAÇÃO DE PILAR OU VIGA DE UMA ESTRUTURA CONVENCIONAL DE CONCRETO ARMADO EM UMA EDIFICAÇÃO TÉRREA OU SOBRADO UTILIZANDO AÇO CA-50 DE 10,0 MM - MONTAGEM. AF_12/2015</v>
      </c>
      <c r="C40" s="4" t="str">
        <f>'[3]MEDIÇÃO 07'!E42</f>
        <v>KG</v>
      </c>
      <c r="D40" s="200" t="s">
        <v>1085</v>
      </c>
      <c r="E40" s="346">
        <f>770.016</f>
        <v>770.01599999999996</v>
      </c>
    </row>
    <row r="41" spans="1:6" ht="180">
      <c r="A41" s="4" t="str">
        <f>'[3]MEDIÇÃO 07'!A43</f>
        <v>5.4</v>
      </c>
      <c r="B41" s="6" t="str">
        <f>'[3]MEDIÇÃO 07'!C43</f>
        <v>ARMAÇÃO DE PILAR OU VIGA DE UMA ESTRUTURA CONVENCIONAL DE CONCRETO ARMADO EM UMA EDIFICAÇÃO TÉRREA OU SOBRADO UTILIZANDO AÇO CA-50 DE 12,5 MM - MONTAGEM. AF_12/2015</v>
      </c>
      <c r="C41" s="4" t="str">
        <f>'[3]MEDIÇÃO 07'!E43</f>
        <v>KG</v>
      </c>
      <c r="D41" s="200" t="s">
        <v>1086</v>
      </c>
      <c r="E41" s="346">
        <v>277.79000000000002</v>
      </c>
    </row>
    <row r="42" spans="1:6" ht="315">
      <c r="A42" s="4" t="str">
        <f>'[3]MEDIÇÃO 07'!A44</f>
        <v>5.5</v>
      </c>
      <c r="B42" s="6" t="str">
        <f>'[3]MEDIÇÃO 07'!C44</f>
        <v>ARMAÇÃO DE PILAR OU VIGA DE UMA ESTRUTURA CONVENCIONAL DE CONCRETO ARMADO EM UMA EDIFICAÇÃO TÉRREA OU SOBRADO UTILIZANDO AÇO CA-60 DE 5,0 MM - MONTAGEM. AF_12/2015</v>
      </c>
      <c r="C42" s="4" t="str">
        <f>'[3]MEDIÇÃO 07'!E44</f>
        <v>KG</v>
      </c>
      <c r="D42" s="132" t="s">
        <v>828</v>
      </c>
      <c r="E42" s="346">
        <f>290.849</f>
        <v>290.84899999999999</v>
      </c>
    </row>
    <row r="43" spans="1:6" ht="300">
      <c r="A43" s="4" t="str">
        <f>'[3]MEDIÇÃO 07'!A45</f>
        <v>5.6</v>
      </c>
      <c r="B43" s="6" t="str">
        <f>'[3]MEDIÇÃO 07'!C45</f>
        <v>CONCRETO FCK = 25MPA, TRAÇO 1:2,3:2,7 (EM MASSA SECA DE CIMENTO/ AREIA MÉDIA/ BRITA 1) - PREPARO MECÂNICO COM BETONEIRA 600 L. AF_05/2021</v>
      </c>
      <c r="C43" s="4" t="str">
        <f>'[3]MEDIÇÃO 07'!E45</f>
        <v>M3</v>
      </c>
      <c r="D43" s="132" t="s">
        <v>829</v>
      </c>
      <c r="E43" s="346">
        <v>13.244999999999999</v>
      </c>
    </row>
    <row r="44" spans="1:6" ht="300">
      <c r="A44" s="4" t="str">
        <f>'[3]MEDIÇÃO 07'!A46</f>
        <v>5.7</v>
      </c>
      <c r="B44" s="6" t="str">
        <f>'[3]MEDIÇÃO 07'!C46</f>
        <v>LANÇAMENTO COM USO DE BOMBA, ADENSAMENTO E ACABAMENTO DE CONCRETO EM ESTRUTURAS. AF_12/2015</v>
      </c>
      <c r="C44" s="4" t="str">
        <f>'[3]MEDIÇÃO 07'!E46</f>
        <v>M3</v>
      </c>
      <c r="D44" s="132" t="s">
        <v>829</v>
      </c>
      <c r="E44" s="346">
        <v>13.244999999999999</v>
      </c>
    </row>
    <row r="45" spans="1:6" ht="60">
      <c r="A45" s="4" t="str">
        <f>'[3]MEDIÇÃO 07'!A47</f>
        <v>5.8</v>
      </c>
      <c r="B45" s="6" t="str">
        <f>'[3]MEDIÇÃO 07'!C47</f>
        <v>LAJE PRÉ-MOLDADA UNIDIRECIONAL, BIAPOIADA, PARA PISO, ENCHIMENTO EM CERÂMICA, VIGOTA CONVENCIONAL, ALTURA TOTAL DA LAJE (ENCHIMENTO+CAPA) = (8+4). AF_11/2020</v>
      </c>
      <c r="C45" s="4" t="str">
        <f>'[3]MEDIÇÃO 07'!E47</f>
        <v>M2</v>
      </c>
      <c r="D45" s="6"/>
      <c r="E45" s="4"/>
    </row>
    <row r="46" spans="1:6" ht="30">
      <c r="A46" s="4" t="str">
        <f>'[3]MEDIÇÃO 07'!A48</f>
        <v>5.9</v>
      </c>
      <c r="B46" s="6" t="str">
        <f>'[3]MEDIÇÃO 07'!C48</f>
        <v>VERGA PRÉ-MOLDADA PARA PORTAS COM ATÉ 1,5 M DE VÃO. AF_03/2016</v>
      </c>
      <c r="C46" s="4" t="str">
        <f>'[3]MEDIÇÃO 07'!E48</f>
        <v>M</v>
      </c>
      <c r="D46" s="18"/>
      <c r="E46" s="19"/>
    </row>
    <row r="47" spans="1:6" ht="30">
      <c r="A47" s="4" t="str">
        <f>'[3]MEDIÇÃO 07'!A49</f>
        <v>5.10</v>
      </c>
      <c r="B47" s="6" t="str">
        <f>'[3]MEDIÇÃO 07'!C49</f>
        <v>VERGA PRÉ-MOLDADA PARA JANELAS COM ATÉ 1,5 M DE VÃO. AF_03/2016</v>
      </c>
      <c r="C47" s="4" t="str">
        <f>'[3]MEDIÇÃO 07'!E49</f>
        <v>M</v>
      </c>
      <c r="D47" s="18"/>
      <c r="E47" s="19"/>
    </row>
    <row r="48" spans="1:6" ht="60">
      <c r="A48" s="4" t="str">
        <f>'[3]MEDIÇÃO 07'!A50</f>
        <v>5.10.1</v>
      </c>
      <c r="B48" s="6" t="str">
        <f>'[3]MEDIÇÃO 07'!C50</f>
        <v>ARMAÇÃO DE PILAR OU VIGA DE UMA ESTRUTURA CONVENCIONAL DE CONCRETO ARMADO EM UMA EDIFICAÇÃO TÉRREA OU SOBRADO UTILIZANDO AÇO CA-50 DE 8,0 MM - MONTAGEM. AF_12/2015</v>
      </c>
      <c r="C48" s="4" t="str">
        <f>'[3]MEDIÇÃO 07'!E50</f>
        <v>M2</v>
      </c>
      <c r="D48" s="115" t="s">
        <v>825</v>
      </c>
      <c r="E48" s="346">
        <f>31.36*0.395</f>
        <v>12.3872</v>
      </c>
    </row>
    <row r="49" spans="1:5">
      <c r="A49" s="16" t="str">
        <f>'[3]MEDIÇÃO 07'!A51</f>
        <v>5.11</v>
      </c>
      <c r="B49" s="429" t="str">
        <f>'[3]MEDIÇÃO 07'!B51:P51</f>
        <v>MURO DE CONTORNO</v>
      </c>
      <c r="C49" s="430"/>
      <c r="D49" s="430"/>
      <c r="E49" s="431"/>
    </row>
    <row r="50" spans="1:5" ht="60">
      <c r="A50" s="4" t="str">
        <f>'[3]MEDIÇÃO 07'!A52</f>
        <v>5.11.1</v>
      </c>
      <c r="B50" s="6" t="str">
        <f>'[3]MEDIÇÃO 07'!C52</f>
        <v>Muro em alvenaria bloco cerâmico, e= 0,09m, c/ alv de pedra granítica, 0,35 x 0,60m, colunas (9x20cm) e cintamento (9x15cm) superior e inferior concreto armado fck = 15,0 Mpa cada 3,00m, chapisco e reboco</v>
      </c>
      <c r="C50" s="4" t="str">
        <f>'[3]MEDIÇÃO 07'!E52</f>
        <v>m2</v>
      </c>
      <c r="D50" s="116"/>
      <c r="E50" s="4"/>
    </row>
    <row r="51" spans="1:5" ht="45">
      <c r="A51" s="4" t="str">
        <f>'[3]MEDIÇÃO 07'!A53</f>
        <v>5.11.2</v>
      </c>
      <c r="B51" s="6" t="str">
        <f>'[3]MEDIÇÃO 07'!C53</f>
        <v>ESCAVAÇÃO MANUAL PARA BLOCO DE COROAMENTO OU SAPATA (INCLUINDO ESCAVAÇÃO PARA COLOCAÇÃO DE FÔRMAS). AF_06/2017</v>
      </c>
      <c r="C51" s="4" t="str">
        <f>'[3]MEDIÇÃO 07'!E53</f>
        <v>un</v>
      </c>
      <c r="D51" s="235" t="s">
        <v>830</v>
      </c>
      <c r="E51" s="258">
        <v>32.130000000000003</v>
      </c>
    </row>
    <row r="52" spans="1:5" ht="75">
      <c r="A52" s="4" t="str">
        <f>'[3]MEDIÇÃO 07'!A54</f>
        <v>5.11.3</v>
      </c>
      <c r="B52" s="6" t="str">
        <f>'[3]MEDIÇÃO 07'!C54</f>
        <v>ALVENARIA DE VEDAÇÃO DE BLOCOS CERÂMICOS FURADOS NA HORIZONTAL DE 9X19X19CM (ESPESSURA 9CM) DE PAREDES COM ÁREA LÍQUIDA MAIOR OU IGUAL A 6M² SEM VÃOS E ARGAMASSA DE ASSENTAMENTO COM PREPARO EM BETONEIRA. AF_06/2014</v>
      </c>
      <c r="C52" s="4" t="str">
        <f>'[3]MEDIÇÃO 07'!E54</f>
        <v>M2</v>
      </c>
      <c r="D52" s="235" t="s">
        <v>830</v>
      </c>
      <c r="E52" s="258">
        <v>60</v>
      </c>
    </row>
    <row r="53" spans="1:5" ht="45">
      <c r="A53" s="4" t="str">
        <f>'[3]MEDIÇÃO 07'!A55</f>
        <v>5.11.4</v>
      </c>
      <c r="B53" s="6" t="str">
        <f>'[3]MEDIÇÃO 07'!C55</f>
        <v>CONCRETO FCK = 25MPA, TRAÇO 1:2,3:2,7 (EM MASSA SECA DE CIMENTO/ AREIA MÉDIA/ BRITA 1) - PREPARO MECÂNICO COM BETONEIRA 400 L. AF_05/2021</v>
      </c>
      <c r="C53" s="4" t="str">
        <f>'[3]MEDIÇÃO 07'!E55</f>
        <v>M3</v>
      </c>
      <c r="D53" s="235" t="s">
        <v>830</v>
      </c>
      <c r="E53" s="258">
        <v>0.99</v>
      </c>
    </row>
    <row r="54" spans="1:5" ht="60">
      <c r="A54" s="4" t="str">
        <f>'[3]MEDIÇÃO 07'!A56</f>
        <v>5.11.5</v>
      </c>
      <c r="B54" s="6" t="str">
        <f>'[3]MEDIÇÃO 07'!C56</f>
        <v>CHAPISCO APLICADO EM ALVENARIAS E ESTRUTURAS DE CONCRETO INTERNAS, COM COLHER DE PEDREIRO.  ARGAMASSA TRAÇO 1:3 COM PREPARO EM BETONEIRA 400L. AF_06/2014</v>
      </c>
      <c r="C54" s="4" t="str">
        <f>'[3]MEDIÇÃO 07'!E56</f>
        <v>M2</v>
      </c>
      <c r="D54" s="235" t="s">
        <v>830</v>
      </c>
      <c r="E54" s="258">
        <v>120</v>
      </c>
    </row>
    <row r="55" spans="1:5" ht="75">
      <c r="A55" s="4" t="str">
        <f>'[3]MEDIÇÃO 07'!A57</f>
        <v>5.11.6</v>
      </c>
      <c r="B55" s="6" t="str">
        <f>'[3]MEDIÇÃO 07'!C57</f>
        <v>MASSA ÚNICA, PARA RECEBIMENTO DE PINTURA, EM ARGAMASSA TRAÇO 1:2:8, PREPARO MECÂNICO COM BETONEIRA 400L, APLICADA MANUALMENTE EM FACES INTERNAS DE PAREDES, ESPESSURA DE 10MM, COM EXECUÇÃO DE TALISCAS. AF_06/2014</v>
      </c>
      <c r="C55" s="4" t="str">
        <f>'[3]MEDIÇÃO 07'!E57</f>
        <v>M2</v>
      </c>
      <c r="D55" s="235" t="s">
        <v>830</v>
      </c>
      <c r="E55" s="258">
        <v>120</v>
      </c>
    </row>
    <row r="56" spans="1:5">
      <c r="A56" s="7" t="str">
        <f>'[3]MEDIÇÃO 07'!A59</f>
        <v>6</v>
      </c>
      <c r="B56" s="428" t="str">
        <f>'[3]MEDIÇÃO 07'!B59:P59</f>
        <v>COBERTA</v>
      </c>
      <c r="C56" s="428"/>
      <c r="D56" s="428"/>
      <c r="E56" s="428"/>
    </row>
    <row r="57" spans="1:5" ht="45">
      <c r="A57" s="4" t="str">
        <f>'[3]MEDIÇÃO 07'!A60</f>
        <v>6.1</v>
      </c>
      <c r="B57" s="6" t="str">
        <f>'[3]MEDIÇÃO 07'!C60</f>
        <v>TELHAMENTO COM TELHA CERÂMICA CAPA-CANAL, TIPO COLONIAL, COM ATÉ 2 ÁGUAS, INCLUSO TRANSPORTE VERTICAL. AF_07/2019</v>
      </c>
      <c r="C57" s="4" t="str">
        <f>'[3]MEDIÇÃO 07'!E60</f>
        <v>M2</v>
      </c>
      <c r="D57" s="6"/>
      <c r="E57" s="4"/>
    </row>
    <row r="58" spans="1:5" ht="60">
      <c r="A58" s="4" t="str">
        <f>'[3]MEDIÇÃO 07'!A61</f>
        <v>6.2</v>
      </c>
      <c r="B58" s="6" t="str">
        <f>'[3]MEDIÇÃO 07'!C61</f>
        <v>FABRICAÇÃO E INSTALAÇÃO DE TESOURA INTEIRA EM MADEIRA NÃO APARELHADA, VÃO DE 8 M, PARA TELHA CERÂMICA OU DE CONCRETO, INCLUSO IÇAMENTO. AF_07/2019</v>
      </c>
      <c r="C58" s="4" t="str">
        <f>'[3]MEDIÇÃO 07'!E61</f>
        <v>UN</v>
      </c>
      <c r="D58" s="6"/>
      <c r="E58" s="4"/>
    </row>
    <row r="59" spans="1:5" ht="60">
      <c r="A59" s="4" t="str">
        <f>'[3]MEDIÇÃO 07'!A62</f>
        <v>6.3</v>
      </c>
      <c r="B59" s="6" t="str">
        <f>'[3]MEDIÇÃO 07'!C62</f>
        <v>FABRICAÇÃO E INSTALAÇÃO DE TESOURA INTEIRA EM MADEIRA NÃO APARELHADA, VÃO DE 10 M, PARA TELHA CERÂMICA OU DE CONCRETO, INCLUSO IÇAMENTO. AF_07/2019</v>
      </c>
      <c r="C59" s="4" t="str">
        <f>'[3]MEDIÇÃO 07'!E62</f>
        <v>UN</v>
      </c>
      <c r="D59" s="6"/>
      <c r="E59" s="4"/>
    </row>
    <row r="60" spans="1:5" ht="60">
      <c r="A60" s="4" t="str">
        <f>'[3]MEDIÇÃO 07'!A63</f>
        <v>6.4</v>
      </c>
      <c r="B60" s="6" t="str">
        <f>'[3]MEDIÇÃO 07'!C63</f>
        <v>CUMEEIRA PARA TELHA CERÂMICA EMBOÇADA COM ARGAMASSA TRAÇO 1:2:9 (CIMENTO, CAL E AREIA) PARA TELHADOS COM ATÉ 2 ÁGUAS, INCLUSO TRANSPORTE VERTICAL. AF_07/2019</v>
      </c>
      <c r="C60" s="4" t="str">
        <f>'[3]MEDIÇÃO 07'!E63</f>
        <v>M</v>
      </c>
      <c r="D60" s="349" t="s">
        <v>1090</v>
      </c>
      <c r="E60" s="4">
        <v>98.35</v>
      </c>
    </row>
    <row r="61" spans="1:5" ht="60">
      <c r="A61" s="4" t="str">
        <f>'[3]MEDIÇÃO 07'!A64</f>
        <v>6.5</v>
      </c>
      <c r="B61" s="6" t="str">
        <f>'[3]MEDIÇÃO 07'!C64</f>
        <v>TRAMA DE MADEIRA COMPOSTA POR RIPAS, CAIBROS E TERÇAS PARA TELHADOS DE ATÉ 2 ÁGUAS PARA TELHA DE ENCAIXE DE CERÂMICA OU DE CONCRETO, INCLUSO TRANSPORTE VERTICAL. AF_07/2019</v>
      </c>
      <c r="C61" s="4" t="str">
        <f>'[3]MEDIÇÃO 07'!E64</f>
        <v>M2</v>
      </c>
      <c r="D61" s="6"/>
      <c r="E61" s="4"/>
    </row>
    <row r="62" spans="1:5" ht="30">
      <c r="A62" s="4" t="str">
        <f>'[3]MEDIÇÃO 07'!A65</f>
        <v>6.6</v>
      </c>
      <c r="B62" s="6" t="str">
        <f>'[3]MEDIÇÃO 07'!C65</f>
        <v>FORRO EM PLACAS DE GESSO, PARA AMBIENTES COMERCIAIS. AF_05/2017_P</v>
      </c>
      <c r="C62" s="4" t="str">
        <f>'[3]MEDIÇÃO 07'!E65</f>
        <v>M2</v>
      </c>
      <c r="D62" s="6"/>
      <c r="E62" s="4"/>
    </row>
    <row r="63" spans="1:5" ht="30">
      <c r="A63" s="4" t="str">
        <f>'[3]MEDIÇÃO 07'!A66</f>
        <v>6.7</v>
      </c>
      <c r="B63" s="6" t="str">
        <f>'[3]MEDIÇÃO 07'!C66</f>
        <v>Fornecimento e implantação de viga em concreto pré-moldado, seção = 12x20cm</v>
      </c>
      <c r="C63" s="4" t="str">
        <f>'[3]MEDIÇÃO 07'!E66</f>
        <v>m</v>
      </c>
      <c r="D63" s="6"/>
      <c r="E63" s="4"/>
    </row>
    <row r="64" spans="1:5" ht="45">
      <c r="A64" s="4" t="str">
        <f>'[3]MEDIÇÃO 07'!A67</f>
        <v>6.8</v>
      </c>
      <c r="B64" s="6" t="str">
        <f>'[3]MEDIÇÃO 07'!C67</f>
        <v>CALHA EM CHAPA DE AÇO GALVANIZADO NÚMERO 24, DESENVOLVIMENTO DE 50 CM, INCLUSO TRANSPORTE VERTICAL. AF_07/2019</v>
      </c>
      <c r="C64" s="4" t="str">
        <f>'[3]MEDIÇÃO 07'!E67</f>
        <v>M</v>
      </c>
      <c r="D64" s="4"/>
      <c r="E64" s="4"/>
    </row>
    <row r="65" spans="1:5" ht="45">
      <c r="A65" s="4" t="str">
        <f>'[3]MEDIÇÃO 07'!A68</f>
        <v>6.9</v>
      </c>
      <c r="B65" s="6" t="str">
        <f>'[3]MEDIÇÃO 07'!C68</f>
        <v>TUBO PVC, SÉRIE R, ÁGUA PLUVIAL, DN 75 MM, FORNECIDO E INSTALADO EM CONDUTORES VERTICAIS DE ÁGUAS PLUVIAIS. AF_12/2014</v>
      </c>
      <c r="C65" s="4" t="str">
        <f>'[3]MEDIÇÃO 07'!E68</f>
        <v>M</v>
      </c>
      <c r="D65" s="349" t="s">
        <v>1090</v>
      </c>
      <c r="E65" s="4"/>
    </row>
    <row r="66" spans="1:5" ht="45">
      <c r="A66" s="4" t="str">
        <f>'[3]MEDIÇÃO 07'!A69</f>
        <v>6.10</v>
      </c>
      <c r="B66" s="6" t="str">
        <f>'[3]MEDIÇÃO 07'!C69</f>
        <v>TUBO PVC, SÉRIE R, ÁGUA PLUVIAL, DN 100 MM, FORNECIDO E INSTALADO EM RAMAL DE ENCAMINHAMENTO. AF_12/2014</v>
      </c>
      <c r="C66" s="4" t="str">
        <f>'[3]MEDIÇÃO 07'!E69</f>
        <v>M</v>
      </c>
      <c r="D66" s="4"/>
      <c r="E66" s="4"/>
    </row>
    <row r="67" spans="1:5">
      <c r="A67" s="7" t="str">
        <f>'[3]MEDIÇÃO 07'!A71</f>
        <v>7</v>
      </c>
      <c r="B67" s="428" t="str">
        <f>'[3]MEDIÇÃO 07'!B71:P71</f>
        <v>PAVIMENTAÇÃO</v>
      </c>
      <c r="C67" s="428"/>
      <c r="D67" s="428"/>
      <c r="E67" s="428"/>
    </row>
    <row r="68" spans="1:5" ht="390">
      <c r="A68" s="4" t="str">
        <f>'[3]MEDIÇÃO 07'!A72</f>
        <v>7.1</v>
      </c>
      <c r="B68" s="6" t="str">
        <f>'[3]MEDIÇÃO 07'!C72</f>
        <v>LASTRO DE CONCRETO MAGRO, APLICADO EM PISOS, LAJES SOBRE SOLO OU RADIERS, ESPESSURA DE 5 CM. AF_07/2016</v>
      </c>
      <c r="C68" s="4" t="str">
        <f>'[3]MEDIÇÃO 07'!E72</f>
        <v>M2</v>
      </c>
      <c r="D68" s="6" t="s">
        <v>1092</v>
      </c>
      <c r="E68" s="4">
        <f>944.79-607.82</f>
        <v>336.96999999999991</v>
      </c>
    </row>
    <row r="69" spans="1:5" ht="406.5" customHeight="1">
      <c r="A69" s="4" t="str">
        <f>'[3]MEDIÇÃO 07'!A73</f>
        <v>7.2</v>
      </c>
      <c r="B69" s="6" t="str">
        <f>'[3]MEDIÇÃO 07'!C73</f>
        <v>Fornecimento e instalação de tela aço soldada nervurada CA-60, malha 15x15cm, ferro 4.2mm, painel 2x3m, (1,50kg/m²), Malha Pop Reforçada Gerdau ou similar</v>
      </c>
      <c r="C69" s="4" t="str">
        <f>'[3]MEDIÇÃO 07'!E73</f>
        <v>m2</v>
      </c>
      <c r="D69" s="6" t="s">
        <v>1087</v>
      </c>
      <c r="E69" s="4">
        <f>944.79-607.82-(5.4+15.44+23.85+18.6+18.6+2.56+2.56)</f>
        <v>249.95999999999992</v>
      </c>
    </row>
    <row r="70" spans="1:5" ht="390">
      <c r="A70" s="4" t="str">
        <f>'[3]MEDIÇÃO 07'!A74</f>
        <v>7.3</v>
      </c>
      <c r="B70" s="6" t="str">
        <f>'[3]MEDIÇÃO 07'!C74</f>
        <v>CONTRAPISO EM ARGAMASSA TRAÇO 1:4 (CIMENTO E AREIA), PREPARO MANUAL, APLICADO EM ÁREAS SECAS SOBRE LAJE, ADERIDO, ACABAMENTO NÃO REFORÇADO, ESPESSURA 3CM. AF_07/2021</v>
      </c>
      <c r="C70" s="4" t="str">
        <f>'[3]MEDIÇÃO 07'!E74</f>
        <v>M2</v>
      </c>
      <c r="D70" s="6" t="s">
        <v>1087</v>
      </c>
      <c r="E70" s="4">
        <f>944.79-607.82</f>
        <v>336.96999999999991</v>
      </c>
    </row>
    <row r="71" spans="1:5" ht="45">
      <c r="A71" s="4" t="str">
        <f>'[3]MEDIÇÃO 07'!A75</f>
        <v>7.4</v>
      </c>
      <c r="B71" s="6" t="str">
        <f>'[3]MEDIÇÃO 07'!C75</f>
        <v>LASTRO COM MATERIAL GRANULAR (AREIA MÉDIA), APLICADO EM PISOS OU LAJES SOBRE SOLO, ESPESSURA DE *10 CM*. AF_07/2019</v>
      </c>
      <c r="C71" s="4" t="str">
        <f>'[3]MEDIÇÃO 07'!E75</f>
        <v>M3</v>
      </c>
      <c r="D71" s="4"/>
      <c r="E71" s="4"/>
    </row>
    <row r="72" spans="1:5" ht="75">
      <c r="A72" s="4" t="str">
        <f>'[3]MEDIÇÃO 07'!A76</f>
        <v>7.5</v>
      </c>
      <c r="B72" s="6" t="str">
        <f>'[3]MEDIÇÃO 07'!C76</f>
        <v>ASSENTAMENTO DE GUIA (MEIO-FIO) EM TRECHO RETO, CONFECCIONADA EM CONCRETO PRÉ-FABRICADO, DIMENSÕES 100X15X13X30 CM (COMPRIMENTO X BASE INFERIOR X BASE SUPERIOR X ALTURA), PARA VIAS URBANAS (USO VIÁRIO). AF_06/2016</v>
      </c>
      <c r="C72" s="4" t="str">
        <f>'[3]MEDIÇÃO 07'!E76</f>
        <v>M</v>
      </c>
      <c r="D72" s="6"/>
      <c r="E72" s="4"/>
    </row>
    <row r="73" spans="1:5" ht="53.25" customHeight="1">
      <c r="A73" s="4" t="str">
        <f>'[3]MEDIÇÃO 07'!A77</f>
        <v>7.6</v>
      </c>
      <c r="B73" s="6" t="str">
        <f>'[3]MEDIÇÃO 07'!C77</f>
        <v>RODAPÉ EM MARMORITE, ALTURA 10CM. AF_09/2020</v>
      </c>
      <c r="C73" s="4" t="str">
        <f>'[3]MEDIÇÃO 07'!E77</f>
        <v>M</v>
      </c>
      <c r="D73" s="6"/>
      <c r="E73" s="4"/>
    </row>
    <row r="74" spans="1:5" ht="45">
      <c r="A74" s="4" t="str">
        <f>'[3]MEDIÇÃO 07'!A78</f>
        <v>7.7</v>
      </c>
      <c r="B74" s="6" t="str">
        <f>'[3]MEDIÇÃO 07'!C78</f>
        <v>EXECUÇÃO DE PÁTIO/ESTACIONAMENTO EM PISO INTERTRAVADO, COM BLOCO RETANGULAR COR NATURAL DE 20 X 10 CM, ESPESSURA 6 CM. AF_12/2015</v>
      </c>
      <c r="C74" s="4" t="str">
        <f>'[3]MEDIÇÃO 07'!E78</f>
        <v>M2</v>
      </c>
      <c r="D74" s="6"/>
      <c r="E74" s="4"/>
    </row>
    <row r="75" spans="1:5" ht="45">
      <c r="A75" s="4" t="str">
        <f>'[3]MEDIÇÃO 07'!A79</f>
        <v>7.8</v>
      </c>
      <c r="B75" s="6" t="str">
        <f>'[3]MEDIÇÃO 07'!C79</f>
        <v>PISO EM GRANILITE, MARMORITE OU GRANITINA, AGREGADO COR PRETO, CINZA, PALHA OU BRANCO, E=  *8* MM (INCLUSO EXECUCAO)</v>
      </c>
      <c r="C75" s="4" t="str">
        <f>'[3]MEDIÇÃO 07'!E79</f>
        <v>M2</v>
      </c>
      <c r="D75" s="6"/>
      <c r="E75" s="4"/>
    </row>
    <row r="76" spans="1:5">
      <c r="A76" s="7" t="str">
        <f>'[3]MEDIÇÃO 07'!A81</f>
        <v>8</v>
      </c>
      <c r="B76" s="428" t="str">
        <f>'[3]MEDIÇÃO 07'!B81:P81</f>
        <v>REVESTIMENTOS</v>
      </c>
      <c r="C76" s="428"/>
      <c r="D76" s="428"/>
      <c r="E76" s="428"/>
    </row>
    <row r="77" spans="1:5" ht="150">
      <c r="A77" s="4" t="str">
        <f>'[3]MEDIÇÃO 07'!A82</f>
        <v>8.1</v>
      </c>
      <c r="B77" s="6" t="str">
        <f>'[3]MEDIÇÃO 07'!C82</f>
        <v>CHAPISCO APLICADO EM ALVENARIAS E ESTRUTURAS DE CONCRETO INTERNAS, COM COLHER DE PEDREIRO.  ARGAMASSA TRAÇO 1:3 COM PREPARO EM BETONEIRA 400L. AF_06/2014</v>
      </c>
      <c r="C77" s="4" t="str">
        <f>'[3]MEDIÇÃO 07'!E82</f>
        <v>M2</v>
      </c>
      <c r="D77" s="18" t="s">
        <v>1088</v>
      </c>
      <c r="E77" s="19">
        <f>(63.56+27.56+38.18+38.18+73.32+21+53.28)*2</f>
        <v>630.16000000000008</v>
      </c>
    </row>
    <row r="78" spans="1:5" ht="75">
      <c r="A78" s="4" t="str">
        <f>'[3]MEDIÇÃO 07'!A83</f>
        <v>8.2</v>
      </c>
      <c r="B78" s="6" t="str">
        <f>'[3]MEDIÇÃO 07'!C83</f>
        <v>MASSA ÚNICA, PARA RECEBIMENTO DE PINTURA, EM ARGAMASSA TRAÇO 1:2:8, PREPARO MECÂNICO COM BETONEIRA 400L, APLICADA MANUALMENTE EM FACES INTERNAS DE PAREDES, ESPESSURA DE 10MM, COM EXECUÇÃO DE TALISCAS. AF_06/2014</v>
      </c>
      <c r="C78" s="4" t="str">
        <f>'[3]MEDIÇÃO 07'!E83</f>
        <v>M2</v>
      </c>
      <c r="D78" s="350" t="s">
        <v>1090</v>
      </c>
      <c r="E78" s="19"/>
    </row>
    <row r="79" spans="1:5" ht="150">
      <c r="A79" s="4" t="str">
        <f>'[3]MEDIÇÃO 07'!A84</f>
        <v>8.3</v>
      </c>
      <c r="B79" s="6" t="str">
        <f>'[3]MEDIÇÃO 07'!C84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79" s="4" t="str">
        <f>'[3]MEDIÇÃO 07'!E84</f>
        <v>M2</v>
      </c>
      <c r="D79" s="6" t="s">
        <v>1089</v>
      </c>
      <c r="E79" s="4">
        <f>8.41+8.41+31.21+31.21+13.22+30.14+39.94+17.93-162.423</f>
        <v>18.047000000000025</v>
      </c>
    </row>
    <row r="80" spans="1:5" ht="60">
      <c r="A80" s="4" t="str">
        <f>'[3]MEDIÇÃO 07'!A85</f>
        <v>8.4</v>
      </c>
      <c r="B80" s="6" t="str">
        <f>'[3]MEDIÇÃO 07'!C85</f>
        <v>REVESTIMENTO CERÂMICO PARA PISO COM PLACAS TIPO ESMALTADA EXTRA DE DIMENSÕES 45X45 CM APLICADA EM AMBIENTES DE ÁREA MAIOR QUE 10 M2. AF_06/2014</v>
      </c>
      <c r="C80" s="4" t="str">
        <f>'[3]MEDIÇÃO 07'!E85</f>
        <v>M2</v>
      </c>
      <c r="D80" s="6"/>
      <c r="E80" s="4"/>
    </row>
    <row r="81" spans="1:5" ht="75">
      <c r="A81" s="4" t="str">
        <f>'[3]MEDIÇÃO 07'!A86</f>
        <v>8.5</v>
      </c>
      <c r="B81" s="6" t="str">
        <f>'[3]MEDIÇÃO 07'!C86</f>
        <v>ARGAMASSA TRAÇO 1:7 (EM VOLUME DE CIMENTO E AREIA MÉDIA ÚMIDA) COM ADIÇÃO DE PLASTIFICANTE PARA EMBOÇO/MASSA ÚNICA/ASSENTAMENTO DE ALVENARIA DE VEDAÇÃO, PREPARO MECÂNICO COM BETONEIRA 400 L. AF_08/2019</v>
      </c>
      <c r="C81" s="4" t="str">
        <f>'[3]MEDIÇÃO 07'!E86</f>
        <v>M3</v>
      </c>
      <c r="D81" s="4"/>
      <c r="E81" s="4"/>
    </row>
    <row r="82" spans="1:5">
      <c r="A82" s="7" t="str">
        <f>'[3]MEDIÇÃO 07'!A88</f>
        <v>9</v>
      </c>
      <c r="B82" s="428" t="str">
        <f>'[3]MEDIÇÃO 07'!B88:P88</f>
        <v>ESQUADRIAS, FERRAGENS, VIDROS, BANCADAS E DIVISÓRIAS</v>
      </c>
      <c r="C82" s="428"/>
      <c r="D82" s="428"/>
      <c r="E82" s="428"/>
    </row>
    <row r="83" spans="1:5" ht="90">
      <c r="A83" s="4" t="str">
        <f>'[3]MEDIÇÃO 07'!A89</f>
        <v>9.1</v>
      </c>
      <c r="B83" s="6" t="str">
        <f>'[3]MEDIÇÃO 07'!C89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83" s="4" t="str">
        <f>'[3]MEDIÇÃO 07'!E89</f>
        <v>UN</v>
      </c>
      <c r="D83" s="4"/>
      <c r="E83" s="4"/>
    </row>
    <row r="84" spans="1:5" ht="90">
      <c r="A84" s="4" t="str">
        <f>'[3]MEDIÇÃO 07'!A90</f>
        <v>9.2</v>
      </c>
      <c r="B84" s="6" t="str">
        <f>'[3]MEDIÇÃO 07'!C90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84" s="4" t="str">
        <f>'[3]MEDIÇÃO 07'!E90</f>
        <v>UN</v>
      </c>
      <c r="D84" s="4"/>
      <c r="E84" s="4"/>
    </row>
    <row r="85" spans="1:5" ht="90">
      <c r="A85" s="4" t="str">
        <f>'[3]MEDIÇÃO 07'!A91</f>
        <v>9.3</v>
      </c>
      <c r="B85" s="6" t="str">
        <f>'[3]MEDIÇÃO 07'!C91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85" s="4" t="str">
        <f>'[3]MEDIÇÃO 07'!E91</f>
        <v>UN</v>
      </c>
      <c r="D85" s="4"/>
      <c r="E85" s="4"/>
    </row>
    <row r="86" spans="1:5" ht="90">
      <c r="A86" s="4" t="str">
        <f>'[3]MEDIÇÃO 07'!A92</f>
        <v>9.4</v>
      </c>
      <c r="B86" s="6" t="str">
        <f>'[3]MEDIÇÃO 07'!C92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86" s="4" t="str">
        <f>'[3]MEDIÇÃO 07'!E92</f>
        <v>UN</v>
      </c>
      <c r="D86" s="4"/>
      <c r="E86" s="4"/>
    </row>
    <row r="87" spans="1:5" ht="45">
      <c r="A87" s="4" t="str">
        <f>'[3]MEDIÇÃO 07'!A93</f>
        <v>9.5</v>
      </c>
      <c r="B87" s="6" t="str">
        <f>'[3]MEDIÇÃO 07'!C93</f>
        <v>PORTA EM ALUMÍNIO DE ABRIR TIPO VENEZIANA COM GUARNIÇÃO, FIXAÇÃO COM PARAFUSOS - FORNECIMENTO E INSTALAÇÃO. AF_12/2019</v>
      </c>
      <c r="C87" s="4" t="str">
        <f>'[3]MEDIÇÃO 07'!E93</f>
        <v>M2</v>
      </c>
      <c r="D87" s="4"/>
      <c r="E87" s="4"/>
    </row>
    <row r="88" spans="1:5" ht="30">
      <c r="A88" s="4" t="str">
        <f>'[3]MEDIÇÃO 07'!A94</f>
        <v>9.6</v>
      </c>
      <c r="B88" s="6" t="str">
        <f>'[3]MEDIÇÃO 07'!C94</f>
        <v>Janela basculante, moldura em barra chata de ferro 1x1/4, e cantoneira 1x1x1/4 - exclusive vidro</v>
      </c>
      <c r="C88" s="4" t="str">
        <f>'[3]MEDIÇÃO 07'!E94</f>
        <v>m2</v>
      </c>
      <c r="D88" s="4"/>
      <c r="E88" s="4"/>
    </row>
    <row r="89" spans="1:5">
      <c r="A89" s="4" t="str">
        <f>'[3]MEDIÇÃO 07'!A95</f>
        <v>9.7</v>
      </c>
      <c r="B89" s="6" t="str">
        <f>'[3]MEDIÇÃO 07'!C95</f>
        <v>Vidro fantasia canelado 4 mm</v>
      </c>
      <c r="C89" s="4" t="str">
        <f>'[3]MEDIÇÃO 07'!E95</f>
        <v>m2</v>
      </c>
      <c r="D89" s="4"/>
      <c r="E89" s="4"/>
    </row>
    <row r="90" spans="1:5" ht="75">
      <c r="A90" s="4" t="str">
        <f>'[3]MEDIÇÃO 07'!A96</f>
        <v>9.8</v>
      </c>
      <c r="B90" s="6" t="str">
        <f>'[3]MEDIÇÃO 07'!C96</f>
        <v>JANELA DE ALUMÍNIO DE CORRER COM 2 FOLHAS PARA VIDROS, COM VIDROS, BATENTE, ACABAMENTO COM ACETATO OU BRILHANTE E FERRAGENS. EXCLUSIVE ALIZAR E CONTRAMARCO. FORNECIMENTO E INSTALAÇÃO. AF_12/2019</v>
      </c>
      <c r="C90" s="4" t="str">
        <f>'[3]MEDIÇÃO 07'!E96</f>
        <v>M2</v>
      </c>
      <c r="D90" s="4"/>
      <c r="E90" s="4"/>
    </row>
    <row r="91" spans="1:5" ht="60">
      <c r="A91" s="4" t="str">
        <f>'[3]MEDIÇÃO 07'!A97</f>
        <v>9.9</v>
      </c>
      <c r="B91" s="6" t="str">
        <f>'[3]MEDIÇÃO 07'!C97</f>
        <v>JANELA DE ALUMÍNIO TIPO MAXIM-AR, COM VIDROS, BATENTE E FERRAGENS. EXCLUSIVE ALIZAR, ACABAMENTO E CONTRAMARCO. FORNECIMENTO E INSTALAÇÃO. AF_12/2019</v>
      </c>
      <c r="C91" s="4" t="str">
        <f>'[3]MEDIÇÃO 07'!E97</f>
        <v>M2</v>
      </c>
      <c r="D91" s="4"/>
      <c r="E91" s="4"/>
    </row>
    <row r="92" spans="1:5" ht="45">
      <c r="A92" s="4" t="str">
        <f>'[3]MEDIÇÃO 07'!A98</f>
        <v>9.10</v>
      </c>
      <c r="B92" s="6" t="str">
        <f>'[3]MEDIÇÃO 07'!C98</f>
        <v>Portão de ferro de abrir, quadro em tubo de aço galv.1 1/2", barra quadrada 1/2" na vertical e barra chata de 1 x 3/16" na horizontal, inclusive dobradiças e e ferrolho</v>
      </c>
      <c r="C92" s="4" t="str">
        <f>'[3]MEDIÇÃO 07'!E98</f>
        <v>m2</v>
      </c>
      <c r="D92" s="4"/>
      <c r="E92" s="4"/>
    </row>
    <row r="93" spans="1:5">
      <c r="A93" s="4" t="str">
        <f>'[3]MEDIÇÃO 07'!A99</f>
        <v>9.11</v>
      </c>
      <c r="B93" s="6" t="str">
        <f>'[3]MEDIÇÃO 07'!C99</f>
        <v>Grade ferro 1/2 x 1/2"</v>
      </c>
      <c r="C93" s="4" t="str">
        <f>'[3]MEDIÇÃO 07'!E99</f>
        <v>m2</v>
      </c>
      <c r="D93" s="4"/>
      <c r="E93" s="4"/>
    </row>
    <row r="94" spans="1:5" ht="30">
      <c r="A94" s="4" t="str">
        <f>'[3]MEDIÇÃO 07'!A100</f>
        <v>9.12</v>
      </c>
      <c r="B94" s="6" t="str">
        <f>'[3]MEDIÇÃO 07'!C100</f>
        <v>Divisória em granito cinza andorinha polido, e=2cm, inclusive montagem com ferragens - Rev 02</v>
      </c>
      <c r="C94" s="4" t="str">
        <f>'[3]MEDIÇÃO 07'!E100</f>
        <v>m2</v>
      </c>
      <c r="D94" s="4"/>
      <c r="E94" s="4"/>
    </row>
    <row r="95" spans="1:5">
      <c r="A95" s="4" t="str">
        <f>'[3]MEDIÇÃO 07'!A101</f>
        <v>9.13</v>
      </c>
      <c r="B95" s="6" t="str">
        <f>'[3]MEDIÇÃO 07'!C101</f>
        <v>Bancada em granito cinza andorinha, e=2cm</v>
      </c>
      <c r="C95" s="4" t="str">
        <f>'[3]MEDIÇÃO 07'!E101</f>
        <v>m2</v>
      </c>
      <c r="D95" s="4"/>
      <c r="E95" s="4"/>
    </row>
    <row r="96" spans="1:5">
      <c r="A96" s="4" t="str">
        <f>'[3]MEDIÇÃO 07'!A102</f>
        <v>9.14</v>
      </c>
      <c r="B96" s="6" t="str">
        <f>'[3]MEDIÇÃO 07'!C102</f>
        <v>Bandeira fixa em madeira para vidro</v>
      </c>
      <c r="C96" s="4" t="str">
        <f>'[3]MEDIÇÃO 07'!E102</f>
        <v>m2</v>
      </c>
      <c r="D96" s="4"/>
      <c r="E96" s="4"/>
    </row>
    <row r="97" spans="1:5">
      <c r="A97" s="7" t="str">
        <f>'[3]MEDIÇÃO 07'!A104</f>
        <v>10</v>
      </c>
      <c r="B97" s="428" t="str">
        <f>'[3]MEDIÇÃO 07'!B104:P104</f>
        <v>IMPERMEABILIZAÇÃO</v>
      </c>
      <c r="C97" s="428"/>
      <c r="D97" s="428"/>
      <c r="E97" s="428"/>
    </row>
    <row r="98" spans="1:5" ht="30">
      <c r="A98" s="4" t="str">
        <f>'[3]MEDIÇÃO 07'!A105</f>
        <v>10.1</v>
      </c>
      <c r="B98" s="6" t="str">
        <f>'[3]MEDIÇÃO 07'!C105</f>
        <v>Impermeabilização com asfalto elastomérico c/armação de véu de poliéster, inclusive primer  (p/fundação)</v>
      </c>
      <c r="C98" s="4" t="str">
        <f>'[3]MEDIÇÃO 07'!E105</f>
        <v>m2</v>
      </c>
      <c r="D98" s="6"/>
      <c r="E98" s="14"/>
    </row>
    <row r="99" spans="1:5" ht="45">
      <c r="A99" s="4" t="str">
        <f>'[3]MEDIÇÃO 07'!A106</f>
        <v>10.2</v>
      </c>
      <c r="B99" s="6" t="str">
        <f>'[3]MEDIÇÃO 07'!C106</f>
        <v>IMPERMEABILIZAÇÃO DE SUPERFÍCIE COM MANTA ASFÁLTICA, UMA CAMADA, INCLUSIVE APLICAÇÃO DE PRIMER ASFÁLTICO, E=3MM. AF_06/2018</v>
      </c>
      <c r="C99" s="4" t="str">
        <f>'[3]MEDIÇÃO 07'!E106</f>
        <v>M2</v>
      </c>
      <c r="D99" s="6"/>
      <c r="E99" s="4"/>
    </row>
    <row r="100" spans="1:5">
      <c r="A100" s="7" t="str">
        <f>'[3]MEDIÇÃO 07'!A108</f>
        <v>11</v>
      </c>
      <c r="B100" s="428" t="str">
        <f>'[3]MEDIÇÃO 07'!B108:P108</f>
        <v>INSTALAÇÃO DE COMBATE A INCÊNDIO</v>
      </c>
      <c r="C100" s="428"/>
      <c r="D100" s="428"/>
      <c r="E100" s="428"/>
    </row>
    <row r="101" spans="1:5" ht="45">
      <c r="A101" s="4" t="str">
        <f>'[3]MEDIÇÃO 07'!A109</f>
        <v>11.1</v>
      </c>
      <c r="B101" s="6" t="str">
        <f>'[3]MEDIÇÃO 07'!C109</f>
        <v>EXTINTOR DE INCÊNDIO PORTÁTIL COM CARGA DE ÁGUA PRESSURIZADA DE 10 L, CLASSE A - FORNECIMENTO E INSTALAÇÃO. AF_10/2020_P</v>
      </c>
      <c r="C101" s="4" t="str">
        <f>'[3]MEDIÇÃO 07'!E109</f>
        <v>UN</v>
      </c>
      <c r="D101" s="4"/>
      <c r="E101" s="4"/>
    </row>
    <row r="102" spans="1:5" ht="45">
      <c r="A102" s="4" t="str">
        <f>'[3]MEDIÇÃO 07'!A110</f>
        <v>11.2</v>
      </c>
      <c r="B102" s="6" t="str">
        <f>'[3]MEDIÇÃO 07'!C110</f>
        <v>EXTINTOR DE INCÊNDIO PORTÁTIL COM CARGA DE PQS DE 4 KG, CLASSE BC - FORNECIMENTO E INSTALAÇÃO. AF_10/2020_P</v>
      </c>
      <c r="C102" s="4" t="str">
        <f>'[3]MEDIÇÃO 07'!E110</f>
        <v>UN</v>
      </c>
      <c r="D102" s="4"/>
      <c r="E102" s="4"/>
    </row>
    <row r="103" spans="1:5" ht="45">
      <c r="A103" s="4" t="str">
        <f>'[3]MEDIÇÃO 07'!A111</f>
        <v>11.3</v>
      </c>
      <c r="B103" s="6" t="str">
        <f>'[3]MEDIÇÃO 07'!C111</f>
        <v>Luminaria autônoma de emergencia com lâmapda halógena H3/12v, ref. Lux 110, da Luxtron ou similar - Rev.01</v>
      </c>
      <c r="C103" s="4" t="str">
        <f>'[3]MEDIÇÃO 07'!E111</f>
        <v>un</v>
      </c>
      <c r="D103" s="4"/>
      <c r="E103" s="4"/>
    </row>
    <row r="104" spans="1:5" ht="60">
      <c r="A104" s="4" t="str">
        <f>'[3]MEDIÇÃO 07'!A112</f>
        <v>11.4</v>
      </c>
      <c r="B104" s="6" t="str">
        <f>'[3]MEDIÇÃO 07'!C112</f>
        <v>Placa de sinalizacao de seguranca contra incendio, fotoluminescente, retangular, *12 x 40* cm, em pvc *2* mm anti-chamas (simbolos, cores e pictogramas conforme nbr 13434)</v>
      </c>
      <c r="C104" s="4" t="str">
        <f>'[3]MEDIÇÃO 07'!E112</f>
        <v>Un</v>
      </c>
      <c r="D104" s="4"/>
      <c r="E104" s="4"/>
    </row>
    <row r="105" spans="1:5" ht="30">
      <c r="A105" s="4" t="str">
        <f>'[3]MEDIÇÃO 07'!A113</f>
        <v>11.5</v>
      </c>
      <c r="B105" s="6" t="str">
        <f>'[3]MEDIÇÃO 07'!C113</f>
        <v>Placa de sinalizacao, fotoluminescente, em pvc , com logotipo "Extintor de incêndio portátil"- Placa E5</v>
      </c>
      <c r="C105" s="4" t="str">
        <f>'[3]MEDIÇÃO 07'!E113</f>
        <v>un</v>
      </c>
      <c r="D105" s="4"/>
      <c r="E105" s="4"/>
    </row>
    <row r="106" spans="1:5">
      <c r="A106" s="7" t="str">
        <f>'[3]MEDIÇÃO 07'!A115</f>
        <v>12</v>
      </c>
      <c r="B106" s="428" t="str">
        <f>'[3]MEDIÇÃO 07'!B115:P115</f>
        <v>INSTALAÇÕES ELÉTRICAS</v>
      </c>
      <c r="C106" s="428"/>
      <c r="D106" s="428"/>
      <c r="E106" s="428"/>
    </row>
    <row r="107" spans="1:5">
      <c r="A107" s="4" t="str">
        <f>'[3]MEDIÇÃO 07'!A116</f>
        <v>12.1</v>
      </c>
      <c r="B107" s="6" t="str">
        <f>'[3]MEDIÇÃO 07'!C116</f>
        <v>CAIXA DE LIGAÇÃO PVC 4" X 2"</v>
      </c>
      <c r="C107" s="4" t="str">
        <f>'[3]MEDIÇÃO 07'!E116</f>
        <v>UN</v>
      </c>
      <c r="D107" s="4"/>
      <c r="E107" s="4"/>
    </row>
    <row r="108" spans="1:5" ht="30">
      <c r="A108" s="4" t="str">
        <f>'[3]MEDIÇÃO 07'!A117</f>
        <v>12.2</v>
      </c>
      <c r="B108" s="6" t="str">
        <f>'[3]MEDIÇÃO 07'!C117</f>
        <v>CAIXA SEXTAVADA 3" X 3", METÁLICA, INSTALADA EM LAJE - FORNECIMENTO E INSTALAÇÃO. AF_12/2015</v>
      </c>
      <c r="C108" s="4" t="str">
        <f>'[3]MEDIÇÃO 07'!E117</f>
        <v>UN</v>
      </c>
      <c r="D108" s="4"/>
      <c r="E108" s="4"/>
    </row>
    <row r="109" spans="1:5" ht="60">
      <c r="A109" s="4" t="str">
        <f>'[3]MEDIÇÃO 07'!A118</f>
        <v>12.3</v>
      </c>
      <c r="B109" s="6" t="str">
        <f>'[3]MEDIÇÃO 07'!C118</f>
        <v>CURVA 90 GRAUS PARA ELETRODUTO, PVC, ROSCÁVEL, DN 32 MM (1"), PARA CIRCUITOS TERMINAIS, INSTALADA EM PAREDE - FORNECIMENTO E INSTALAÇÃO. AF_12/2015</v>
      </c>
      <c r="C109" s="4" t="str">
        <f>'[3]MEDIÇÃO 07'!E118</f>
        <v>UN</v>
      </c>
      <c r="D109" s="4"/>
      <c r="E109" s="4"/>
    </row>
    <row r="110" spans="1:5" ht="60">
      <c r="A110" s="4" t="str">
        <f>'[3]MEDIÇÃO 07'!A119</f>
        <v>12.4</v>
      </c>
      <c r="B110" s="6" t="str">
        <f>'[3]MEDIÇÃO 07'!C119</f>
        <v>CURVA 90 GRAUS PARA ELETRODUTO, PVC, ROSCÁVEL, DN 40 MM (1 1/4"), PARA CIRCUITOS TERMINAIS, INSTALADA EM PAREDE - FORNECIMENTO E INSTALAÇÃO. AF_12/2015</v>
      </c>
      <c r="C110" s="4" t="str">
        <f>'[3]MEDIÇÃO 07'!E119</f>
        <v>UN</v>
      </c>
      <c r="D110" s="4"/>
      <c r="E110" s="4"/>
    </row>
    <row r="111" spans="1:5" ht="60">
      <c r="A111" s="4" t="str">
        <f>'[3]MEDIÇÃO 07'!A120</f>
        <v>12.5</v>
      </c>
      <c r="B111" s="6" t="str">
        <f>'[3]MEDIÇÃO 07'!C120</f>
        <v>ELETRODUTO FLEXÍVEL CORRUGADO REFORÇADO, PVC, DN 32 MM (1"), PARA CIRCUITOS TERMINAIS, INSTALADO EM PAREDE - FORNECIMENTO E INSTALAÇÃO. AF_12/2015</v>
      </c>
      <c r="C111" s="4" t="str">
        <f>'[3]MEDIÇÃO 07'!E120</f>
        <v>M</v>
      </c>
      <c r="D111" s="4"/>
      <c r="E111" s="4"/>
    </row>
    <row r="112" spans="1:5" ht="45">
      <c r="A112" s="4" t="str">
        <f>'[3]MEDIÇÃO 07'!A121</f>
        <v>12.6</v>
      </c>
      <c r="B112" s="6" t="str">
        <f>'[3]MEDIÇÃO 07'!C121</f>
        <v>ELETRODUTO FLEXÍVEL CORRUGADO, PEAD, DN 40 MM (1 1/4"), PARA CIRCUITOS TERMINAIS, INSTALADO EM PAREDE - FORNECIMENTO E INSTALAÇÃO. AF_12/2015</v>
      </c>
      <c r="C112" s="4" t="str">
        <f>'[3]MEDIÇÃO 07'!E121</f>
        <v>M</v>
      </c>
      <c r="D112" s="4"/>
      <c r="E112" s="4"/>
    </row>
    <row r="113" spans="1:5" ht="60">
      <c r="A113" s="4" t="str">
        <f>'[3]MEDIÇÃO 07'!A122</f>
        <v>12.7</v>
      </c>
      <c r="B113" s="6" t="str">
        <f>'[3]MEDIÇÃO 07'!C122</f>
        <v>ELETRODUTO FLEXÍVEL CORRUGADO REFORÇADO, PVC, DN 20 MM (1/2"), PARA CIRCUITOS TERMINAIS, INSTALADO EM PAREDE - FORNECIMENTO E INSTALAÇÃO. AF_12/2015</v>
      </c>
      <c r="C113" s="4" t="str">
        <f>'[3]MEDIÇÃO 07'!E122</f>
        <v>M</v>
      </c>
      <c r="D113" s="4"/>
      <c r="E113" s="4"/>
    </row>
    <row r="114" spans="1:5" ht="30">
      <c r="A114" s="4" t="str">
        <f>'[3]MEDIÇÃO 07'!A123</f>
        <v>12.8</v>
      </c>
      <c r="B114" s="6" t="str">
        <f>'[3]MEDIÇÃO 07'!C123</f>
        <v>ELETRODUTO RÍGIDO ROSCÁVEL, PVC, DN 50 MM (1 1/2") - FORNECIMENTO E INSTALAÇÃO. AF_12/2015</v>
      </c>
      <c r="C114" s="4" t="str">
        <f>'[3]MEDIÇÃO 07'!E123</f>
        <v>M</v>
      </c>
      <c r="D114" s="4"/>
      <c r="E114" s="4"/>
    </row>
    <row r="115" spans="1:5" ht="45">
      <c r="A115" s="4" t="str">
        <f>'[3]MEDIÇÃO 07'!A124</f>
        <v>12.9</v>
      </c>
      <c r="B115" s="6" t="str">
        <f>'[3]MEDIÇÃO 07'!C124</f>
        <v>ELETRODUTO RÍGIDO ROSCÁVEL, PVC, DN 40 MM (1 1/4"), PARA CIRCUITOS TERMINAIS, INSTALADO EM PAREDE - FORNECIMENTO E INSTALAÇÃO. AF_12/2015</v>
      </c>
      <c r="C115" s="4" t="str">
        <f>'[3]MEDIÇÃO 07'!E124</f>
        <v>M</v>
      </c>
      <c r="D115" s="4"/>
      <c r="E115" s="4"/>
    </row>
    <row r="116" spans="1:5" ht="45">
      <c r="A116" s="4" t="str">
        <f>'[3]MEDIÇÃO 07'!A125</f>
        <v>12.10</v>
      </c>
      <c r="B116" s="6" t="str">
        <f>'[3]MEDIÇÃO 07'!C125</f>
        <v>ELETRODUTO RÍGIDO ROSCÁVEL, PVC, DN 32 MM (1"), PARA CIRCUITOS TERMINAIS, INSTALADO EM PAREDE - FORNECIMENTO E INSTALAÇÃO. AF_12/2015</v>
      </c>
      <c r="C116" s="4" t="str">
        <f>'[3]MEDIÇÃO 07'!E125</f>
        <v>M</v>
      </c>
      <c r="D116" s="4"/>
      <c r="E116" s="4"/>
    </row>
    <row r="117" spans="1:5" ht="45">
      <c r="A117" s="4" t="str">
        <f>'[3]MEDIÇÃO 07'!A126</f>
        <v>12.11</v>
      </c>
      <c r="B117" s="6" t="str">
        <f>'[3]MEDIÇÃO 07'!C126</f>
        <v>LUVA PARA ELETRODUTO, PVC, ROSCÁVEL, DN 32 MM (1"), PARA CIRCUITOS TERMINAIS, INSTALADA EM FORRO - FORNECIMENTO E INSTALAÇÃO. AF_12/2015</v>
      </c>
      <c r="C117" s="4" t="str">
        <f>'[3]MEDIÇÃO 07'!E126</f>
        <v>UN</v>
      </c>
      <c r="D117" s="4"/>
      <c r="E117" s="4"/>
    </row>
    <row r="118" spans="1:5" ht="45">
      <c r="A118" s="4" t="str">
        <f>'[3]MEDIÇÃO 07'!A127</f>
        <v>12.12</v>
      </c>
      <c r="B118" s="6" t="str">
        <f>'[3]MEDIÇÃO 07'!C127</f>
        <v>LUVA PARA ELETRODUTO, PVC, ROSCÁVEL, DN 40 MM (1 1/4"), PARA CIRCUITOS TERMINAIS, INSTALADA EM FORRO - FORNECIMENTO E INSTALAÇÃO. AF_12/2015</v>
      </c>
      <c r="C118" s="4" t="str">
        <f>'[3]MEDIÇÃO 07'!E127</f>
        <v>UN</v>
      </c>
      <c r="D118" s="4"/>
      <c r="E118" s="4"/>
    </row>
    <row r="119" spans="1:5" ht="30">
      <c r="A119" s="4" t="str">
        <f>'[3]MEDIÇÃO 07'!A128</f>
        <v>12.13</v>
      </c>
      <c r="B119" s="6" t="str">
        <f>'[3]MEDIÇÃO 07'!C128</f>
        <v>LUVA PARA ELETRODUTO, PVC, ROSCÁVEL, DN 50 MM (1 1/2") - FORNECIMENTO E INSTALAÇÃO. AF_12/2015</v>
      </c>
      <c r="C119" s="4" t="str">
        <f>'[3]MEDIÇÃO 07'!E128</f>
        <v>UN</v>
      </c>
      <c r="D119" s="4"/>
      <c r="E119" s="4"/>
    </row>
    <row r="120" spans="1:5" ht="60">
      <c r="A120" s="4" t="str">
        <f>'[3]MEDIÇÃO 07'!A129</f>
        <v>12.14</v>
      </c>
      <c r="B120" s="6" t="str">
        <f>'[3]MEDIÇÃO 07'!C129</f>
        <v>QUADRO DE DISTRIBUIÇÃO DE ENERGIA EM CHAPA DE AÇO GALVANIZADO, DE EMBUTIR, COM BARRAMENTO TRIFÁSICO, PARA 24 DISJUNTORES DIN 100A - FORNECIMENTO E INSTALAÇÃO. AF_10/2020</v>
      </c>
      <c r="C120" s="4" t="str">
        <f>'[3]MEDIÇÃO 07'!E129</f>
        <v>UN</v>
      </c>
      <c r="D120" s="4"/>
      <c r="E120" s="4"/>
    </row>
    <row r="121" spans="1:5" ht="60">
      <c r="A121" s="4" t="str">
        <f>'[3]MEDIÇÃO 07'!A130</f>
        <v>12.15</v>
      </c>
      <c r="B121" s="6" t="str">
        <f>'[3]MEDIÇÃO 07'!C130</f>
        <v>QUADRO DE DISTRIBUIÇÃO DE ENERGIA EM CHAPA DE AÇO GALVANIZADO, DE SOBREPOR, COM BARRAMENTO TRIFÁSICO, PARA 18 DISJUNTORES DIN 100A - FORNECIMENTO E INSTALAÇÃO. AF_10/2020</v>
      </c>
      <c r="C121" s="4" t="str">
        <f>'[3]MEDIÇÃO 07'!E130</f>
        <v>UN</v>
      </c>
      <c r="D121" s="4"/>
      <c r="E121" s="4"/>
    </row>
    <row r="122" spans="1:5">
      <c r="A122" s="4" t="str">
        <f>'[3]MEDIÇÃO 07'!A131</f>
        <v>12.16</v>
      </c>
      <c r="B122" s="6" t="str">
        <f>'[3]MEDIÇÃO 07'!C131</f>
        <v>Tomada 2P + T - 10A</v>
      </c>
      <c r="C122" s="4" t="str">
        <f>'[3]MEDIÇÃO 07'!E131</f>
        <v>PC</v>
      </c>
      <c r="D122" s="4"/>
      <c r="E122" s="4"/>
    </row>
    <row r="123" spans="1:5" ht="30">
      <c r="A123" s="4" t="str">
        <f>'[3]MEDIÇÃO 07'!A132</f>
        <v>12.17</v>
      </c>
      <c r="B123" s="6" t="str">
        <f>'[3]MEDIÇÃO 07'!C132</f>
        <v>Tomada 2p+t, ABNT, 10 A, para piso, com placa em metal amarelo e caixa pvc</v>
      </c>
      <c r="C123" s="4" t="str">
        <f>'[3]MEDIÇÃO 07'!E132</f>
        <v>un</v>
      </c>
      <c r="D123" s="4"/>
      <c r="E123" s="4"/>
    </row>
    <row r="124" spans="1:5" ht="45">
      <c r="A124" s="4" t="str">
        <f>'[3]MEDIÇÃO 07'!A133</f>
        <v>12.18</v>
      </c>
      <c r="B124" s="6" t="str">
        <f>'[3]MEDIÇÃO 07'!C133</f>
        <v>TOMADA ALTA DE EMBUTIR (1 MÓDULO), 2P+T 10 A, INCLUINDO SUPORTE E PLACA - FORNECIMENTO E INSTALAÇÃO. AF_12/2015</v>
      </c>
      <c r="C124" s="4" t="str">
        <f>'[3]MEDIÇÃO 07'!E133</f>
        <v>UN</v>
      </c>
      <c r="D124" s="4"/>
      <c r="E124" s="4"/>
    </row>
    <row r="125" spans="1:5" ht="45">
      <c r="A125" s="4" t="str">
        <f>'[3]MEDIÇÃO 07'!A134</f>
        <v>12.19</v>
      </c>
      <c r="B125" s="6" t="str">
        <f>'[3]MEDIÇÃO 07'!C134</f>
        <v>INTERRUPTOR SIMPLES (1 MÓDULO) COM 1 TOMADA DE EMBUTIR 2P+T 10 A,  INCLUINDO SUPORTE E PLACA - FORNECIMENTO E INSTALAÇÃO. AF_12/2015</v>
      </c>
      <c r="C125" s="4" t="str">
        <f>'[3]MEDIÇÃO 07'!E134</f>
        <v>UN</v>
      </c>
      <c r="D125" s="4"/>
      <c r="E125" s="4"/>
    </row>
    <row r="126" spans="1:5" ht="60">
      <c r="A126" s="4" t="str">
        <f>'[3]MEDIÇÃO 07'!A135</f>
        <v>12.20</v>
      </c>
      <c r="B126" s="6" t="str">
        <f>'[3]MEDIÇÃO 07'!C135</f>
        <v>INTERRUPTOR SIMPLES (3 MÓDULOS) COM INTERRUPTOR PARALELO (1 MÓDULO), 10A/250V, INCLUINDO SUPORTE E PLACA - FORNECIMENTO E INSTALAÇÃO. AF_12/2015</v>
      </c>
      <c r="C126" s="4" t="str">
        <f>'[3]MEDIÇÃO 07'!E135</f>
        <v>UN</v>
      </c>
      <c r="D126" s="4"/>
      <c r="E126" s="4"/>
    </row>
    <row r="127" spans="1:5" ht="60">
      <c r="A127" s="4" t="str">
        <f>'[3]MEDIÇÃO 07'!A136</f>
        <v>12.21</v>
      </c>
      <c r="B127" s="6" t="str">
        <f>'[3]MEDIÇÃO 07'!C136</f>
        <v>LUMINÁRIA TIPO CALHA, DE SOBREPOR, COM 2 LÂMPADAS TUBULARES FLUORESCENTES DE 18 W, COM REATOR DE PARTIDA RÁPIDA - FORNECIMENTO E INSTALAÇÃO. AF_02/2020</v>
      </c>
      <c r="C127" s="4" t="str">
        <f>'[3]MEDIÇÃO 07'!E136</f>
        <v>UN</v>
      </c>
      <c r="D127" s="4"/>
      <c r="E127" s="4"/>
    </row>
    <row r="128" spans="1:5" ht="60">
      <c r="A128" s="4" t="str">
        <f>'[3]MEDIÇÃO 07'!A137</f>
        <v>12.22</v>
      </c>
      <c r="B128" s="6" t="str">
        <f>'[3]MEDIÇÃO 07'!C137</f>
        <v>LUMINÁRIA TIPO CALHA, DE SOBREPOR, COM 2 LÂMPADAS TUBULARES FLUORESCENTES DE 36 W, COM REATOR DE PARTIDA RÁPIDA - FORNECIMENTO E INSTALAÇÃO. AF_02/2020</v>
      </c>
      <c r="C128" s="4" t="str">
        <f>'[3]MEDIÇÃO 07'!E137</f>
        <v>UN</v>
      </c>
      <c r="D128" s="4"/>
      <c r="E128" s="4"/>
    </row>
    <row r="129" spans="1:5" ht="60">
      <c r="A129" s="4" t="str">
        <f>'[3]MEDIÇÃO 07'!A138</f>
        <v>12.23</v>
      </c>
      <c r="B129" s="6" t="str">
        <f>'[3]MEDIÇÃO 07'!C138</f>
        <v>CABO DE COBRE FLEXÍVEL ISOLADO, 16 MM², 0,6/1,0 KV, PARA REDE AÉREA DE DISTRIBUIÇÃO DE ENERGIA ELÉTRICA DE BAIXA TENSÃO - FORNECIMENTO E INSTALAÇÃO. AF_07/2020</v>
      </c>
      <c r="C129" s="4" t="str">
        <f>'[3]MEDIÇÃO 07'!E138</f>
        <v>M</v>
      </c>
      <c r="D129" s="4"/>
      <c r="E129" s="4"/>
    </row>
    <row r="130" spans="1:5" ht="60">
      <c r="A130" s="4" t="str">
        <f>'[3]MEDIÇÃO 07'!A139</f>
        <v>12.24</v>
      </c>
      <c r="B130" s="6" t="str">
        <f>'[3]MEDIÇÃO 07'!C139</f>
        <v>CABO DE COBRE FLEXÍVEL ISOLADO, 16 MM², 0,6/1,0 KV, PARA REDE AÉREA DE DISTRIBUIÇÃO DE ENERGIA ELÉTRICA DE BAIXA TENSÃO - FORNECIMENTO E INSTALAÇÃO. AF_07/2020</v>
      </c>
      <c r="C130" s="4" t="str">
        <f>'[3]MEDIÇÃO 07'!E139</f>
        <v>M</v>
      </c>
      <c r="D130" s="4"/>
      <c r="E130" s="4"/>
    </row>
    <row r="131" spans="1:5" ht="60">
      <c r="A131" s="4" t="str">
        <f>'[3]MEDIÇÃO 07'!A140</f>
        <v>12.25</v>
      </c>
      <c r="B131" s="6" t="str">
        <f>'[3]MEDIÇÃO 07'!C140</f>
        <v>CABO DE COBRE FLEXÍVEL ISOLADO, 16 MM², 0,6/1,0 KV, PARA REDE AÉREA DE DISTRIBUIÇÃO DE ENERGIA ELÉTRICA DE BAIXA TENSÃO - FORNECIMENTO E INSTALAÇÃO. AF_07/2020</v>
      </c>
      <c r="C131" s="4" t="str">
        <f>'[3]MEDIÇÃO 07'!E140</f>
        <v>M</v>
      </c>
      <c r="D131" s="4"/>
      <c r="E131" s="4"/>
    </row>
    <row r="132" spans="1:5" ht="45">
      <c r="A132" s="4" t="str">
        <f>'[3]MEDIÇÃO 07'!A141</f>
        <v>12.26</v>
      </c>
      <c r="B132" s="6" t="str">
        <f>'[3]MEDIÇÃO 07'!C141</f>
        <v>Disjuntor bipolar DR 25 A  - Dispositivo residual diferencial, tipo AC, 30MA, ref.5SM1 312-OMB, Siemens ou similar</v>
      </c>
      <c r="C132" s="4" t="str">
        <f>'[3]MEDIÇÃO 07'!E141</f>
        <v>un</v>
      </c>
      <c r="D132" s="4"/>
      <c r="E132" s="4"/>
    </row>
    <row r="133" spans="1:5" ht="45">
      <c r="A133" s="4" t="str">
        <f>'[3]MEDIÇÃO 07'!A142</f>
        <v>12.27</v>
      </c>
      <c r="B133" s="6" t="str">
        <f>'[3]MEDIÇÃO 07'!C142</f>
        <v>DISJUNTOR MONOPOLAR TIPO DIN, CORRENTE NOMINAL DE 25A - FORNECIMENTO E INSTALAÇÃO. AF_10/2020</v>
      </c>
      <c r="C133" s="4" t="str">
        <f>'[3]MEDIÇÃO 07'!E142</f>
        <v>UN</v>
      </c>
      <c r="D133" s="4"/>
      <c r="E133" s="4"/>
    </row>
    <row r="134" spans="1:5" ht="45">
      <c r="A134" s="4" t="str">
        <f>'[3]MEDIÇÃO 07'!A143</f>
        <v>12.28</v>
      </c>
      <c r="B134" s="6" t="str">
        <f>'[3]MEDIÇÃO 07'!C143</f>
        <v>DISJUNTOR MONOPOLAR TIPO DIN, CORRENTE NOMINAL DE 10A - FORNECIMENTO E INSTALAÇÃO. AF_10/2020</v>
      </c>
      <c r="C134" s="4" t="str">
        <f>'[3]MEDIÇÃO 07'!E143</f>
        <v>UN</v>
      </c>
      <c r="D134" s="4"/>
      <c r="E134" s="4"/>
    </row>
    <row r="135" spans="1:5" ht="45">
      <c r="A135" s="4" t="str">
        <f>'[3]MEDIÇÃO 07'!A144</f>
        <v>12.29</v>
      </c>
      <c r="B135" s="6" t="str">
        <f>'[3]MEDIÇÃO 07'!C144</f>
        <v>DISJUNTOR TRIPOLAR TIPO NEMA, CORRENTE NOMINAL DE 10 ATÉ 50A - FORNECIMENTO E INSTALAÇÃO. AF_10/2020</v>
      </c>
      <c r="C135" s="4" t="str">
        <f>'[3]MEDIÇÃO 07'!E144</f>
        <v>UN</v>
      </c>
      <c r="D135" s="4"/>
      <c r="E135" s="4"/>
    </row>
    <row r="136" spans="1:5" ht="45">
      <c r="A136" s="4" t="str">
        <f>'[3]MEDIÇÃO 07'!A145</f>
        <v>12.30</v>
      </c>
      <c r="B136" s="6" t="str">
        <f>'[3]MEDIÇÃO 07'!C145</f>
        <v>DISJUNTOR TRIPOLAR TIPO NEMA, CORRENTE NOMINAL DE 10 ATÉ 50A - FORNECIMENTO E INSTALAÇÃO. AF_10/2020</v>
      </c>
      <c r="C136" s="4" t="str">
        <f>'[3]MEDIÇÃO 07'!E145</f>
        <v>UN</v>
      </c>
      <c r="D136" s="4"/>
      <c r="E136" s="4"/>
    </row>
    <row r="137" spans="1:5" ht="45">
      <c r="A137" s="4" t="str">
        <f>'[3]MEDIÇÃO 07'!A146</f>
        <v>12.31</v>
      </c>
      <c r="B137" s="6" t="str">
        <f>'[3]MEDIÇÃO 07'!C146</f>
        <v>CABO DE COBRE FLEXÍVEL ISOLADO, 4 MM², ANTI-CHAMA 450/750 V, PARA CIRCUITOS TERMINAIS - FORNECIMENTO E INSTALAÇÃO. AF_12/2015</v>
      </c>
      <c r="C137" s="4" t="str">
        <f>'[3]MEDIÇÃO 07'!E146</f>
        <v>M</v>
      </c>
      <c r="D137" s="4"/>
      <c r="E137" s="4"/>
    </row>
    <row r="138" spans="1:5" ht="45">
      <c r="A138" s="4" t="str">
        <f>'[3]MEDIÇÃO 07'!A147</f>
        <v>12.32</v>
      </c>
      <c r="B138" s="6" t="str">
        <f>'[3]MEDIÇÃO 07'!C147</f>
        <v>CABO DE COBRE FLEXÍVEL ISOLADO, 1,5 MM², ANTI-CHAMA 450/750 V, PARA CIRCUITOS TERMINAIS - FORNECIMENTO E INSTALAÇÃO. AF_12/2015</v>
      </c>
      <c r="C138" s="4" t="str">
        <f>'[3]MEDIÇÃO 07'!E147</f>
        <v>M</v>
      </c>
      <c r="D138" s="4"/>
      <c r="E138" s="4"/>
    </row>
    <row r="139" spans="1:5">
      <c r="A139" s="4" t="str">
        <f>'[3]MEDIÇÃO 07'!A148</f>
        <v>12.33</v>
      </c>
      <c r="B139" s="6" t="str">
        <f>'[3]MEDIÇÃO 07'!C148</f>
        <v>CAIXA PARA MEDIDOR TRIFÁSICO - PADRÃO ENERGISA</v>
      </c>
      <c r="C139" s="4" t="str">
        <f>'[3]MEDIÇÃO 07'!E148</f>
        <v>pc</v>
      </c>
      <c r="D139" s="4"/>
      <c r="E139" s="4"/>
    </row>
    <row r="140" spans="1:5" ht="45">
      <c r="A140" s="4" t="str">
        <f>'[3]MEDIÇÃO 07'!A149</f>
        <v>12.34</v>
      </c>
      <c r="B140" s="6" t="str">
        <f>'[3]MEDIÇÃO 07'!C149</f>
        <v>CAIXA DE INSPEÇÃO PARA ATERRAMENTO, CIRCULAR, EM POLIETILENO, DIÂMETRO INTERNO = 0,3 M. AF_12/2020</v>
      </c>
      <c r="C140" s="4" t="str">
        <f>'[3]MEDIÇÃO 07'!E149</f>
        <v>UN</v>
      </c>
      <c r="D140" s="4"/>
      <c r="E140" s="4"/>
    </row>
    <row r="141" spans="1:5">
      <c r="A141" s="4" t="str">
        <f>'[3]MEDIÇÃO 07'!A150</f>
        <v>12.35</v>
      </c>
      <c r="B141" s="6" t="str">
        <f>'[3]MEDIÇÃO 07'!C150</f>
        <v>CAIXA PARA MEDIDOR TRIFÁSICO - PADRÃO ENERGISA</v>
      </c>
      <c r="C141" s="4" t="str">
        <f>'[3]MEDIÇÃO 07'!E150</f>
        <v>PC</v>
      </c>
      <c r="D141" s="4"/>
      <c r="E141" s="4"/>
    </row>
    <row r="142" spans="1:5">
      <c r="A142" s="4" t="str">
        <f>'[3]MEDIÇÃO 07'!A151</f>
        <v>12.36</v>
      </c>
      <c r="B142" s="6" t="str">
        <f>'[3]MEDIÇÃO 07'!C151</f>
        <v>Massa 3M para calafetação (fornecimento)</v>
      </c>
      <c r="C142" s="4" t="str">
        <f>'[3]MEDIÇÃO 07'!E151</f>
        <v>kg</v>
      </c>
      <c r="D142" s="4"/>
      <c r="E142" s="4"/>
    </row>
    <row r="143" spans="1:5" ht="30">
      <c r="A143" s="4" t="str">
        <f>'[3]MEDIÇÃO 07'!A152</f>
        <v>12.37</v>
      </c>
      <c r="B143" s="6" t="str">
        <f>'[3]MEDIÇÃO 07'!C152</f>
        <v>HASTE DE ATERRAMENTO 5/8  PARA SPDA - FORNECIMENTO E INSTALAÇÃO. AF_12/2017</v>
      </c>
      <c r="C143" s="4" t="str">
        <f>'[3]MEDIÇÃO 07'!E152</f>
        <v>UN</v>
      </c>
      <c r="D143" s="4"/>
      <c r="E143" s="4"/>
    </row>
    <row r="144" spans="1:5">
      <c r="A144" s="4" t="str">
        <f>'[3]MEDIÇÃO 07'!A153</f>
        <v>12.38</v>
      </c>
      <c r="B144" s="6" t="str">
        <f>'[3]MEDIÇÃO 07'!C153</f>
        <v>Fita isolante (rolo 20m) 3/4" - Fornecimento</v>
      </c>
      <c r="C144" s="4" t="str">
        <f>'[3]MEDIÇÃO 07'!E153</f>
        <v>Un</v>
      </c>
      <c r="D144" s="4"/>
      <c r="E144" s="4"/>
    </row>
    <row r="145" spans="1:5" ht="45">
      <c r="A145" s="4" t="str">
        <f>'[3]MEDIÇÃO 07'!A154</f>
        <v>12.39</v>
      </c>
      <c r="B145" s="6" t="str">
        <f>'[3]MEDIÇÃO 07'!C154</f>
        <v>CABO DE COBRE FLEXÍVEL ISOLADO, 2,5 MM², ANTI-CHAMA 450/750 V, PARA CIRCUITOS TERMINAIS - FORNECIMENTO E INSTALAÇÃO. AF_12/2015</v>
      </c>
      <c r="C145" s="4" t="str">
        <f>'[3]MEDIÇÃO 07'!E154</f>
        <v>M</v>
      </c>
      <c r="D145" s="4"/>
      <c r="E145" s="4"/>
    </row>
    <row r="146" spans="1:5" ht="45">
      <c r="A146" s="4" t="str">
        <f>'[3]MEDIÇÃO 07'!A155</f>
        <v>12.40</v>
      </c>
      <c r="B146" s="6" t="str">
        <f>'[3]MEDIÇÃO 07'!C155</f>
        <v>CABO DE COBRE FLEXÍVEL ISOLADO, 1,5 MM², ANTI-CHAMA 450/750 V, PARA CIRCUITOS TERMINAIS - FORNECIMENTO E INSTALAÇÃO. AF_12/2015</v>
      </c>
      <c r="C146" s="4" t="str">
        <f>'[3]MEDIÇÃO 07'!E155</f>
        <v>M</v>
      </c>
      <c r="D146" s="4"/>
      <c r="E146" s="4"/>
    </row>
    <row r="147" spans="1:5" ht="45">
      <c r="A147" s="4" t="str">
        <f>'[3]MEDIÇÃO 07'!A156</f>
        <v>12.41</v>
      </c>
      <c r="B147" s="6" t="str">
        <f>'[3]MEDIÇÃO 07'!C156</f>
        <v>CABO DE COBRE FLEXÍVEL ISOLADO, 2,5 MM², ANTI-CHAMA 450/750 V, PARA CIRCUITOS TERMINAIS - FORNECIMENTO E INSTALAÇÃO. AF_12/2015</v>
      </c>
      <c r="C147" s="4" t="str">
        <f>'[3]MEDIÇÃO 07'!E156</f>
        <v>M</v>
      </c>
      <c r="D147" s="4"/>
      <c r="E147" s="4"/>
    </row>
    <row r="148" spans="1:5" ht="45">
      <c r="A148" s="4" t="str">
        <f>'[3]MEDIÇÃO 07'!A157</f>
        <v>12.42</v>
      </c>
      <c r="B148" s="6" t="str">
        <f>'[3]MEDIÇÃO 07'!C157</f>
        <v>CABO DE COBRE FLEXÍVEL ISOLADO, 2,5 MM², ANTI-CHAMA 450/750 V, PARA CIRCUITOS TERMINAIS - FORNECIMENTO E INSTALAÇÃO. AF_12/2015</v>
      </c>
      <c r="C148" s="4" t="str">
        <f>'[3]MEDIÇÃO 07'!E157</f>
        <v>M</v>
      </c>
      <c r="D148" s="4"/>
      <c r="E148" s="4"/>
    </row>
    <row r="149" spans="1:5" ht="75">
      <c r="A149" s="4" t="str">
        <f>'[3]MEDIÇÃO 07'!A158</f>
        <v>12.43</v>
      </c>
      <c r="B149" s="6" t="str">
        <f>'[3]MEDIÇÃO 07'!C158</f>
        <v>KIT DE PORTA DE MADEIRA FRISADA, SEMI-OCA (LEVE OU MÉDIA), PADRÃO POPULAR, 80X210CM, ESPESSURA DE 3,5CM, ITENS INCLUSOS: DOBRADIÇAS, MONTAGEM E INSTALAÇÃO DO BATENTE, SEM FECHADURA - FORNECIMENTO E INSTALAÇÃO. AF_12/2019</v>
      </c>
      <c r="C149" s="4" t="str">
        <f>'[3]MEDIÇÃO 07'!E158</f>
        <v>M</v>
      </c>
      <c r="D149" s="4"/>
      <c r="E149" s="4"/>
    </row>
    <row r="150" spans="1:5" ht="45">
      <c r="A150" s="4" t="str">
        <f>'[3]MEDIÇÃO 07'!A159</f>
        <v>12.44</v>
      </c>
      <c r="B150" s="6" t="str">
        <f>'[3]MEDIÇÃO 07'!C159</f>
        <v>CABO DE COBRE FLEXÍVEL ISOLADO, 10 MM², ANTI-CHAMA 0,6/1,0 KV, PARA CIRCUITOS TERMINAIS - FORNECIMENTO E INSTALAÇÃO. AF_12/2015</v>
      </c>
      <c r="C150" s="4" t="str">
        <f>'[3]MEDIÇÃO 07'!E159</f>
        <v>M</v>
      </c>
      <c r="D150" s="4"/>
      <c r="E150" s="4"/>
    </row>
    <row r="151" spans="1:5" ht="45">
      <c r="A151" s="4" t="str">
        <f>'[3]MEDIÇÃO 07'!A160</f>
        <v>12.45</v>
      </c>
      <c r="B151" s="6" t="str">
        <f>'[3]MEDIÇÃO 07'!C160</f>
        <v>CABO DE COBRE FLEXÍVEL ISOLADO, 10 MM², ANTI-CHAMA 0,6/1,0 KV, PARA CIRCUITOS TERMINAIS - FORNECIMENTO E INSTALAÇÃO. AF_12/2015</v>
      </c>
      <c r="C151" s="4" t="str">
        <f>'[3]MEDIÇÃO 07'!E160</f>
        <v>M</v>
      </c>
      <c r="D151" s="4"/>
      <c r="E151" s="4"/>
    </row>
    <row r="152" spans="1:5" ht="45">
      <c r="A152" s="4" t="str">
        <f>'[3]MEDIÇÃO 07'!A161</f>
        <v>12.46</v>
      </c>
      <c r="B152" s="6" t="str">
        <f>'[3]MEDIÇÃO 07'!C161</f>
        <v>INTERRUPTOR SIMPLES (1 MÓDULO) COM 1 TOMADA DE EMBUTIR 2P+T 10 A,  INCLUINDO SUPORTE E PLACA - FORNECIMENTO E INSTALAÇÃO. AF_12/2015</v>
      </c>
      <c r="C152" s="4" t="str">
        <f>'[3]MEDIÇÃO 07'!E161</f>
        <v>UN</v>
      </c>
      <c r="D152" s="4"/>
      <c r="E152" s="4"/>
    </row>
    <row r="153" spans="1:5" ht="45">
      <c r="A153" s="4" t="str">
        <f>'[3]MEDIÇÃO 07'!A162</f>
        <v>12.47</v>
      </c>
      <c r="B153" s="6" t="str">
        <f>'[3]MEDIÇÃO 07'!C162</f>
        <v>INTERRUPTOR SIMPLES (1 MÓDULO) COM 1 TOMADA DE EMBUTIR 2P+T 10 A,  SEM SUPORTE E SEM PLACA - FORNECIMENTO E INSTALAÇÃO. AF_12/2015</v>
      </c>
      <c r="C153" s="4" t="str">
        <f>'[3]MEDIÇÃO 07'!E162</f>
        <v>UN</v>
      </c>
      <c r="D153" s="4"/>
      <c r="E153" s="4"/>
    </row>
    <row r="154" spans="1:5">
      <c r="A154" s="7" t="str">
        <f>'[3]MEDIÇÃO 07'!A164</f>
        <v>13</v>
      </c>
      <c r="B154" s="428" t="str">
        <f>'[3]MEDIÇÃO 07'!B164:P164</f>
        <v>INSTALAÇÕES HIDRO-SANITÁRIA</v>
      </c>
      <c r="C154" s="428"/>
      <c r="D154" s="428"/>
      <c r="E154" s="428"/>
    </row>
    <row r="155" spans="1:5" ht="60">
      <c r="A155" s="4" t="str">
        <f>'[3]MEDIÇÃO 07'!A165</f>
        <v>13.1</v>
      </c>
      <c r="B155" s="6" t="str">
        <f>'[3]MEDIÇÃO 07'!C165</f>
        <v>CAIXA SIFONADA, PVC, DN 100 X 100 X 50 MM, JUNTA ELÁSTICA, FORNECIDA E INSTALADA EM RAMAL DE DESCARGA OU EM RAMAL DE ESGOTO SANITÁRIO. AF_12/2014</v>
      </c>
      <c r="C155" s="4" t="str">
        <f>'[3]MEDIÇÃO 07'!E165</f>
        <v>UN</v>
      </c>
      <c r="D155" s="4"/>
      <c r="E155" s="4"/>
    </row>
    <row r="156" spans="1:5" ht="30">
      <c r="A156" s="4" t="str">
        <f>'[3]MEDIÇÃO 07'!A166</f>
        <v>13.2</v>
      </c>
      <c r="B156" s="6" t="str">
        <f>'[3]MEDIÇÃO 07'!C166</f>
        <v>CAIXA SIFONADA, PVC, 150 X 150 X 50 MM, COM GRELHA QUADRADA, BRANCA (NBR 5688)</v>
      </c>
      <c r="C156" s="4" t="str">
        <f>'[3]MEDIÇÃO 07'!E166</f>
        <v>UN</v>
      </c>
      <c r="D156" s="4"/>
      <c r="E156" s="4"/>
    </row>
    <row r="157" spans="1:5" ht="45">
      <c r="A157" s="4" t="str">
        <f>'[3]MEDIÇÃO 07'!A167</f>
        <v>13.3</v>
      </c>
      <c r="B157" s="6" t="str">
        <f>'[3]MEDIÇÃO 07'!C167</f>
        <v>RALO SECO, PVC, DN 100 X 40 MM, JUNTA SOLDÁVEL, FORNECIDO E INSTALADO EM RAMAL DE DESCARGA OU EM RAMAL DE ESGOTO SANITÁRIO. AF_12/2014</v>
      </c>
      <c r="C157" s="4" t="str">
        <f>'[3]MEDIÇÃO 07'!E167</f>
        <v>UN</v>
      </c>
      <c r="D157" s="4"/>
      <c r="E157" s="4"/>
    </row>
    <row r="158" spans="1:5" ht="60">
      <c r="A158" s="4" t="str">
        <f>'[3]MEDIÇÃO 07'!A168</f>
        <v>13.4</v>
      </c>
      <c r="B158" s="6" t="str">
        <f>'[3]MEDIÇÃO 07'!C168</f>
        <v>CAIXA ENTERRADA HIDRÁULICA RETANGULAR EM ALVENARIA COM TIJOLOS CERÂMICOS MACIÇOS, DIMENSÕES INTERNAS: 0,6X0,6X0,6 M PARA REDE DE ESGOTO. AF_12/2020</v>
      </c>
      <c r="C158" s="4" t="str">
        <f>'[3]MEDIÇÃO 07'!E168</f>
        <v>UN</v>
      </c>
      <c r="D158" s="4"/>
      <c r="E158" s="4"/>
    </row>
    <row r="159" spans="1:5" ht="30">
      <c r="A159" s="4" t="str">
        <f>'[3]MEDIÇÃO 07'!A169</f>
        <v>13.5</v>
      </c>
      <c r="B159" s="6" t="str">
        <f>'[3]MEDIÇÃO 07'!C169</f>
        <v>BUCHA DE REDUCAO DE PVC, SOLDAVEL, CURTA, COM 60 X 50 MM, PARA AGUA FRIA PREDIAL</v>
      </c>
      <c r="C159" s="4" t="str">
        <f>'[3]MEDIÇÃO 07'!E169</f>
        <v>UN</v>
      </c>
      <c r="D159" s="4"/>
      <c r="E159" s="4"/>
    </row>
    <row r="160" spans="1:5" ht="30">
      <c r="A160" s="4" t="str">
        <f>'[3]MEDIÇÃO 07'!A170</f>
        <v>13.6</v>
      </c>
      <c r="B160" s="6" t="str">
        <f>'[3]MEDIÇÃO 07'!C170</f>
        <v>BUCHA DE REDUCAO DE PVC, SOLDAVEL, CURTA, COM 25 X 20 MM, PARA AGUA FRIA PREDIAL</v>
      </c>
      <c r="C160" s="4" t="str">
        <f>'[3]MEDIÇÃO 07'!E170</f>
        <v>UN</v>
      </c>
      <c r="D160" s="4"/>
      <c r="E160" s="4"/>
    </row>
    <row r="161" spans="1:5" ht="30">
      <c r="A161" s="4" t="str">
        <f>'[3]MEDIÇÃO 07'!A171</f>
        <v>13.7</v>
      </c>
      <c r="B161" s="6" t="str">
        <f>'[3]MEDIÇÃO 07'!C171</f>
        <v>BUCHA DE REDUCAO DE PVC, SOLDAVEL, LONGA, COM 50 X 25 MM, PARA AGUA FRIA PREDIAL</v>
      </c>
      <c r="C161" s="4" t="str">
        <f>'[3]MEDIÇÃO 07'!E171</f>
        <v>UN</v>
      </c>
      <c r="D161" s="4"/>
      <c r="E161" s="4"/>
    </row>
    <row r="162" spans="1:5" ht="30">
      <c r="A162" s="4" t="str">
        <f>'[3]MEDIÇÃO 07'!A172</f>
        <v>13.8</v>
      </c>
      <c r="B162" s="6" t="str">
        <f>'[3]MEDIÇÃO 07'!C172</f>
        <v>BUCHA DE REDUCAO DE PVC, SOLDAVEL, LONGA, COM 50 X 32 MM, PARA AGUA FRIA PREDIAL</v>
      </c>
      <c r="C162" s="4" t="str">
        <f>'[3]MEDIÇÃO 07'!E172</f>
        <v>UN</v>
      </c>
      <c r="D162" s="4"/>
      <c r="E162" s="4"/>
    </row>
    <row r="163" spans="1:5" ht="45">
      <c r="A163" s="4" t="str">
        <f>'[3]MEDIÇÃO 07'!A173</f>
        <v>13.9</v>
      </c>
      <c r="B163" s="6" t="str">
        <f>'[3]MEDIÇÃO 07'!C173</f>
        <v>JOELHO 90 GRAUS, PVC, SOLDÁVEL, DN 25MM, INSTALADO EM RAMAL OU SUB-RAMAL DE ÁGUA - FORNECIMENTO E INSTALAÇÃO. AF_12/2014</v>
      </c>
      <c r="C163" s="4" t="str">
        <f>'[3]MEDIÇÃO 07'!E173</f>
        <v>UN</v>
      </c>
      <c r="D163" s="4"/>
      <c r="E163" s="4"/>
    </row>
    <row r="164" spans="1:5" ht="45">
      <c r="A164" s="4" t="str">
        <f>'[3]MEDIÇÃO 07'!A174</f>
        <v>13.10</v>
      </c>
      <c r="B164" s="6" t="str">
        <f>'[3]MEDIÇÃO 07'!C174</f>
        <v>JOELHO 90 GRAUS, PVC, SOLDÁVEL, DN 50MM, INSTALADO EM PRUMADA DE ÁGUA - FORNECIMENTO E INSTALAÇÃO. AF_12/2014</v>
      </c>
      <c r="C164" s="4" t="str">
        <f>'[3]MEDIÇÃO 07'!E174</f>
        <v>UN</v>
      </c>
      <c r="D164" s="4"/>
      <c r="E164" s="4"/>
    </row>
    <row r="165" spans="1:5" ht="45">
      <c r="A165" s="4" t="str">
        <f>'[3]MEDIÇÃO 07'!A175</f>
        <v>13.11</v>
      </c>
      <c r="B165" s="6" t="str">
        <f>'[3]MEDIÇÃO 07'!C175</f>
        <v>Joelho 90 graus com bucha de latão, pvc, soldável, dn 25mm, x 3/4? instalado em ramal ou sub-ramal de água - fornecimento e instalação. af_12/2014</v>
      </c>
      <c r="C165" s="4" t="str">
        <f>'[3]MEDIÇÃO 07'!E175</f>
        <v>UN</v>
      </c>
      <c r="D165" s="4"/>
      <c r="E165" s="4"/>
    </row>
    <row r="166" spans="1:5" ht="45">
      <c r="A166" s="4" t="str">
        <f>'[3]MEDIÇÃO 07'!A176</f>
        <v>13.12</v>
      </c>
      <c r="B166" s="6" t="str">
        <f>'[3]MEDIÇÃO 07'!C176</f>
        <v>LUVA DE REDUÇÃO, PVC, SOLDÁVEL, DN 50MM X 25MM, INSTALADO EM PRUMADA DE ÁGUA   FORNECIMENTO E INSTALAÇÃO. AF_12/2014</v>
      </c>
      <c r="C166" s="4" t="str">
        <f>'[3]MEDIÇÃO 07'!E176</f>
        <v>UN</v>
      </c>
      <c r="D166" s="4"/>
      <c r="E166" s="4"/>
    </row>
    <row r="167" spans="1:5" ht="45">
      <c r="A167" s="4" t="str">
        <f>'[3]MEDIÇÃO 07'!A177</f>
        <v>13.13</v>
      </c>
      <c r="B167" s="6" t="str">
        <f>'[3]MEDIÇÃO 07'!C177</f>
        <v>TÊ DE REDUÇÃO, PVC, SOLDÁVEL, DN 50MM X 25MM, INSTALADO EM PRUMADA DE ÁGUA - FORNECIMENTO E INSTALAÇÃO. AF_12/2014</v>
      </c>
      <c r="C167" s="4" t="str">
        <f>'[3]MEDIÇÃO 07'!E177</f>
        <v>UN</v>
      </c>
      <c r="D167" s="4"/>
      <c r="E167" s="4"/>
    </row>
    <row r="168" spans="1:5" ht="45">
      <c r="A168" s="4" t="str">
        <f>'[3]MEDIÇÃO 07'!A178</f>
        <v>13.14</v>
      </c>
      <c r="B168" s="6" t="str">
        <f>'[3]MEDIÇÃO 07'!C178</f>
        <v>TE, PVC, SOLDÁVEL, DN 20MM, INSTALADO EM RAMAL OU SUB-RAMAL DE ÁGUA - FORNECIMENTO E INSTALAÇÃO. AF_12/2014</v>
      </c>
      <c r="C168" s="4" t="str">
        <f>'[3]MEDIÇÃO 07'!E178</f>
        <v>UN</v>
      </c>
      <c r="D168" s="4"/>
      <c r="E168" s="4"/>
    </row>
    <row r="169" spans="1:5" ht="45">
      <c r="A169" s="4" t="str">
        <f>'[3]MEDIÇÃO 07'!A179</f>
        <v>13.15</v>
      </c>
      <c r="B169" s="6" t="str">
        <f>'[3]MEDIÇÃO 07'!C179</f>
        <v>TE, PVC, SOLDÁVEL, DN 25MM, INSTALADO EM RAMAL OU SUB-RAMAL DE ÁGUA - FORNECIMENTO E INSTALAÇÃO. AF_12/2014</v>
      </c>
      <c r="C169" s="4" t="str">
        <f>'[3]MEDIÇÃO 07'!E179</f>
        <v>UN</v>
      </c>
      <c r="D169" s="4"/>
      <c r="E169" s="4"/>
    </row>
    <row r="170" spans="1:5" ht="45">
      <c r="A170" s="4" t="str">
        <f>'[3]MEDIÇÃO 07'!A180</f>
        <v>13.16</v>
      </c>
      <c r="B170" s="6" t="str">
        <f>'[3]MEDIÇÃO 07'!C180</f>
        <v>TE, PVC, SOLDÁVEL, DN 50MM, INSTALADO EM PRUMADA DE ÁGUA - FORNECIMENTO E INSTALAÇÃO. AF_12/2014</v>
      </c>
      <c r="C170" s="4" t="str">
        <f>'[3]MEDIÇÃO 07'!E180</f>
        <v>UN</v>
      </c>
      <c r="D170" s="4"/>
      <c r="E170" s="4"/>
    </row>
    <row r="171" spans="1:5" ht="60">
      <c r="A171" s="4" t="str">
        <f>'[3]MEDIÇÃO 07'!A181</f>
        <v>13.17</v>
      </c>
      <c r="B171" s="6" t="str">
        <f>'[3]MEDIÇÃO 07'!C181</f>
        <v>TÊ COM BUCHA DE LATÃO NA BOLSA CENTRAL, PVC, SOLDÁVEL, DN 25MM X 3/4?, INSTALADO EM RAMAL OU SUB-RAMAL DE ÁGUA - FORNECIMENTO E INSTALAÇÃO. AF_03/2015</v>
      </c>
      <c r="C171" s="4" t="str">
        <f>'[3]MEDIÇÃO 07'!E181</f>
        <v>UN</v>
      </c>
      <c r="D171" s="4"/>
      <c r="E171" s="4"/>
    </row>
    <row r="172" spans="1:5" ht="45">
      <c r="A172" s="4" t="str">
        <f>'[3]MEDIÇÃO 07'!A182</f>
        <v>13.18</v>
      </c>
      <c r="B172" s="6" t="str">
        <f>'[3]MEDIÇÃO 07'!C182</f>
        <v>TUBO, PVC, SOLDÁVEL, DN 20MM, INSTALADO EM RAMAL DE DISTRIBUIÇÃO DE ÁGUA - FORNECIMENTO E INSTALAÇÃO. AF_12/2014</v>
      </c>
      <c r="C172" s="4" t="str">
        <f>'[3]MEDIÇÃO 07'!E182</f>
        <v>M</v>
      </c>
      <c r="D172" s="4"/>
      <c r="E172" s="4"/>
    </row>
    <row r="173" spans="1:5" ht="45">
      <c r="A173" s="4" t="str">
        <f>'[3]MEDIÇÃO 07'!A183</f>
        <v>13.19</v>
      </c>
      <c r="B173" s="6" t="str">
        <f>'[3]MEDIÇÃO 07'!C183</f>
        <v>TUBO, PVC, SOLDÁVEL, DN 25MM, INSTALADO EM PRUMADA DE ÁGUA - FORNECIMENTO E INSTALAÇÃO. AF_12/2014</v>
      </c>
      <c r="C173" s="4" t="str">
        <f>'[3]MEDIÇÃO 07'!E183</f>
        <v>M</v>
      </c>
      <c r="D173" s="4"/>
      <c r="E173" s="4"/>
    </row>
    <row r="174" spans="1:5" ht="45">
      <c r="A174" s="4" t="str">
        <f>'[3]MEDIÇÃO 07'!A184</f>
        <v>13.20</v>
      </c>
      <c r="B174" s="6" t="str">
        <f>'[3]MEDIÇÃO 07'!C184</f>
        <v>TUBO, PVC, SOLDÁVEL, DN 50MM, INSTALADO EM PRUMADA DE ÁGUA - FORNECIMENTO E INSTALAÇÃO. AF_12/2014</v>
      </c>
      <c r="C174" s="4" t="str">
        <f>'[3]MEDIÇÃO 07'!E184</f>
        <v>M</v>
      </c>
      <c r="D174" s="4"/>
      <c r="E174" s="4"/>
    </row>
    <row r="175" spans="1:5" ht="60">
      <c r="A175" s="4" t="str">
        <f>'[3]MEDIÇÃO 07'!A185</f>
        <v>13.21</v>
      </c>
      <c r="B175" s="6" t="str">
        <f>'[3]MEDIÇÃO 07'!C185</f>
        <v>TUBO PVC, SERIE NORMAL, ESGOTO PREDIAL, DN 40 MM, FORNECIDO E INSTALADO EM RAMAL DE DESCARGA OU RAMAL DE ESGOTO SANITÁRIO. AF_12/2014</v>
      </c>
      <c r="C175" s="4" t="str">
        <f>'[3]MEDIÇÃO 07'!E185</f>
        <v>M</v>
      </c>
      <c r="D175" s="4"/>
      <c r="E175" s="4"/>
    </row>
    <row r="176" spans="1:5" ht="45">
      <c r="A176" s="4" t="str">
        <f>'[3]MEDIÇÃO 07'!A186</f>
        <v>13.22</v>
      </c>
      <c r="B176" s="6" t="str">
        <f>'[3]MEDIÇÃO 07'!C186</f>
        <v>TUBO PVC, SERIE NORMAL, ESGOTO PREDIAL, DN 50 MM, FORNECIDO E INSTALADO EM PRUMADA DE ESGOTO SANITÁRIO OU VENTILAÇÃO. AF_12/2014</v>
      </c>
      <c r="C176" s="4" t="str">
        <f>'[3]MEDIÇÃO 07'!E186</f>
        <v>M</v>
      </c>
      <c r="D176" s="4"/>
      <c r="E176" s="4"/>
    </row>
    <row r="177" spans="1:5" ht="45">
      <c r="A177" s="4" t="str">
        <f>'[3]MEDIÇÃO 07'!A187</f>
        <v>13.23</v>
      </c>
      <c r="B177" s="6" t="str">
        <f>'[3]MEDIÇÃO 07'!C187</f>
        <v>TUBO PVC, SERIE NORMAL, ESGOTO PREDIAL, DN 100 MM, FORNECIDO E INSTALADO EM PRUMADA DE ESGOTO SANITÁRIO OU VENTILAÇÃO. AF_12/2014</v>
      </c>
      <c r="C177" s="4" t="str">
        <f>'[3]MEDIÇÃO 07'!E187</f>
        <v>M</v>
      </c>
      <c r="D177" s="4"/>
      <c r="E177" s="4"/>
    </row>
    <row r="178" spans="1:5" ht="60">
      <c r="A178" s="4" t="str">
        <f>'[3]MEDIÇÃO 07'!A188</f>
        <v>13.24</v>
      </c>
      <c r="B178" s="6" t="str">
        <f>'[3]MEDIÇÃO 07'!C188</f>
        <v>VASO SANITÁRIO SIFONADO COM CAIXA ACOPLADA LOUÇA BRANCA, INCLUSO ENGATE FLEXÍVEL EM PLÁSTICO BRANCO, 1/2  X 40CM - FORNECIMENTO E INSTALAÇÃO. AF_01/2020</v>
      </c>
      <c r="C178" s="4" t="str">
        <f>'[3]MEDIÇÃO 07'!E188</f>
        <v>UN</v>
      </c>
      <c r="D178" s="4"/>
      <c r="E178" s="4"/>
    </row>
    <row r="179" spans="1:5" ht="30">
      <c r="A179" s="4" t="str">
        <f>'[3]MEDIÇÃO 07'!A189</f>
        <v>13.25</v>
      </c>
      <c r="B179" s="6" t="str">
        <f>'[3]MEDIÇÃO 07'!C189</f>
        <v>ASSENTO SANITARIO DE PLASTICO, TIPO CONVENCIONAL</v>
      </c>
      <c r="C179" s="4" t="str">
        <f>'[3]MEDIÇÃO 07'!E189</f>
        <v>UN</v>
      </c>
      <c r="D179" s="4"/>
      <c r="E179" s="4"/>
    </row>
    <row r="180" spans="1:5" ht="30">
      <c r="A180" s="4" t="str">
        <f>'[3]MEDIÇÃO 07'!A190</f>
        <v>13.26</v>
      </c>
      <c r="B180" s="6" t="str">
        <f>'[3]MEDIÇÃO 07'!C190</f>
        <v>DUCHA HIGIENICA PLASTICA COM REGISTRO METALICO 1/2 "</v>
      </c>
      <c r="C180" s="4" t="str">
        <f>'[3]MEDIÇÃO 07'!E190</f>
        <v>UN</v>
      </c>
      <c r="D180" s="4"/>
      <c r="E180" s="4"/>
    </row>
    <row r="181" spans="1:5" ht="30">
      <c r="A181" s="4" t="str">
        <f>'[3]MEDIÇÃO 07'!A191</f>
        <v>13.27</v>
      </c>
      <c r="B181" s="6" t="str">
        <f>'[3]MEDIÇÃO 07'!C191</f>
        <v>DUCHA / CHUVEIRO PLASTICO SIMPLES, 5 '', BRANCO, PARA ACOPLAR EM HASTE 1/2 ", AGUA FRIA</v>
      </c>
      <c r="C181" s="4" t="str">
        <f>'[3]MEDIÇÃO 07'!E191</f>
        <v>UN</v>
      </c>
      <c r="D181" s="4"/>
      <c r="E181" s="4"/>
    </row>
    <row r="182" spans="1:5" ht="30">
      <c r="A182" s="4" t="str">
        <f>'[3]MEDIÇÃO 07'!A192</f>
        <v>13.28</v>
      </c>
      <c r="B182" s="6" t="str">
        <f>'[3]MEDIÇÃO 07'!C192</f>
        <v>MICTÓRIO SIFONADO LOUÇA BRANCA ? PADRÃO MÉDIO ? FORNECIMENTO E INSTALAÇÃO. AF_01/2020</v>
      </c>
      <c r="C182" s="4" t="str">
        <f>'[3]MEDIÇÃO 07'!E192</f>
        <v>UN</v>
      </c>
      <c r="D182" s="4"/>
      <c r="E182" s="4"/>
    </row>
    <row r="183" spans="1:5" ht="30">
      <c r="A183" s="4" t="str">
        <f>'[3]MEDIÇÃO 07'!A193</f>
        <v>13.29</v>
      </c>
      <c r="B183" s="6" t="str">
        <f>'[3]MEDIÇÃO 07'!C193</f>
        <v>TORNEIRA PLÁSTICA 3/4? PARA TANQUE - FORNECIMENTO E INSTALAÇÃO. AF_01/2020</v>
      </c>
      <c r="C183" s="4" t="str">
        <f>'[3]MEDIÇÃO 07'!E193</f>
        <v>UN</v>
      </c>
      <c r="D183" s="4"/>
      <c r="E183" s="4"/>
    </row>
    <row r="184" spans="1:5" ht="60">
      <c r="A184" s="4" t="str">
        <f>'[3]MEDIÇÃO 07'!A194</f>
        <v>13.30</v>
      </c>
      <c r="B184" s="6" t="str">
        <f>'[3]MEDIÇÃO 07'!C194</f>
        <v>KIT CAVALETE PARA MEDIÇÃO DE ÁGUA - ENTRADA PRINCIPAL, EM PVC SOLDÁVEL DN 25 (¾")   FORNECIMENTO E INSTALAÇÃO (EXCLUSIVE HIDRÔMETRO). AF_11/2016</v>
      </c>
      <c r="C184" s="4" t="str">
        <f>'[3]MEDIÇÃO 07'!E194</f>
        <v>UN</v>
      </c>
      <c r="D184" s="4"/>
      <c r="E184" s="4"/>
    </row>
    <row r="185" spans="1:5" ht="60">
      <c r="A185" s="4" t="str">
        <f>'[3]MEDIÇÃO 07'!A195</f>
        <v>13.31</v>
      </c>
      <c r="B185" s="6" t="str">
        <f>'[3]MEDIÇÃO 07'!C195</f>
        <v>CUBA DE EMBUTIR DE AÇO INOXIDÁVEL MÉDIA, INCLUSO VÁLVULA TIPO AMERICANA EM METAL CROMADO E SIFÃO FLEXÍVEL EM PVC - FORNECIMENTO E INSTALAÇÃO. AF_01/2020</v>
      </c>
      <c r="C185" s="4" t="str">
        <f>'[3]MEDIÇÃO 07'!E195</f>
        <v>UN</v>
      </c>
      <c r="D185" s="4"/>
      <c r="E185" s="4"/>
    </row>
    <row r="186" spans="1:5" ht="45">
      <c r="A186" s="4" t="str">
        <f>'[3]MEDIÇÃO 07'!A196</f>
        <v>13.32</v>
      </c>
      <c r="B186" s="6" t="str">
        <f>'[3]MEDIÇÃO 07'!C196</f>
        <v>TORNEIRA CROMADA LONGA, DE PAREDE, 1/2? OU 3/4?, PARA PIA DE COZINHA, PADRÃO POPULAR - FORNECIMENTO E INSTALAÇÃO. AF_01/2020</v>
      </c>
      <c r="C186" s="4" t="str">
        <f>'[3]MEDIÇÃO 07'!E196</f>
        <v>UN</v>
      </c>
      <c r="D186" s="4"/>
      <c r="E186" s="4"/>
    </row>
    <row r="187" spans="1:5" ht="60">
      <c r="A187" s="4" t="str">
        <f>'[3]MEDIÇÃO 07'!A197</f>
        <v>13.33</v>
      </c>
      <c r="B187" s="6" t="str">
        <f>'[3]MEDIÇÃO 07'!C197</f>
        <v>CUBA DE EMBUTIR OVAL EM LOUÇA BRANCA, 35 X 50CM OU EQUIVALENTE, INCLUSO VÁLVULA EM METAL CROMADO E SIFÃO FLEXÍVEL EM PVC - FORNECIMENTO E INSTALAÇÃO. AF_01/2020</v>
      </c>
      <c r="C187" s="4" t="str">
        <f>'[3]MEDIÇÃO 07'!E197</f>
        <v>UN</v>
      </c>
      <c r="D187" s="4"/>
      <c r="E187" s="4"/>
    </row>
    <row r="188" spans="1:5" ht="45">
      <c r="A188" s="4" t="str">
        <f>'[3]MEDIÇÃO 07'!A198</f>
        <v>13.34</v>
      </c>
      <c r="B188" s="6" t="str">
        <f>'[3]MEDIÇÃO 07'!C198</f>
        <v>TORNEIRA CROMADA DE MESA, 1/2? OU 3/4?, PARA LAVATÓRIO, PADRÃO POPULAR - FORNECIMENTO E INSTALAÇÃO. AF_01/2020</v>
      </c>
      <c r="C188" s="4" t="str">
        <f>'[3]MEDIÇÃO 07'!E198</f>
        <v>UN</v>
      </c>
      <c r="D188" s="4"/>
      <c r="E188" s="4"/>
    </row>
    <row r="189" spans="1:5" ht="30">
      <c r="A189" s="4" t="str">
        <f>'[3]MEDIÇÃO 07'!A199</f>
        <v>13.35</v>
      </c>
      <c r="B189" s="6" t="str">
        <f>'[3]MEDIÇÃO 07'!C199</f>
        <v>TORNEIRA DE BOIA PARA CAIXA D'ÁGUA, ROSCÁVEL, 3/4" - FORNECIMENTO E INSTALAÇÃO. AF_08/2021</v>
      </c>
      <c r="C189" s="4" t="str">
        <f>'[3]MEDIÇÃO 07'!E199</f>
        <v>UN</v>
      </c>
      <c r="D189" s="4"/>
      <c r="E189" s="4"/>
    </row>
    <row r="190" spans="1:5" ht="45">
      <c r="A190" s="4" t="str">
        <f>'[3]MEDIÇÃO 07'!A200</f>
        <v>13.36</v>
      </c>
      <c r="B190" s="6" t="str">
        <f>'[3]MEDIÇÃO 07'!C200</f>
        <v>BARRA DE APOIO RETA, EM ACO INOX POLIDO, COMPRIMENTO 70 CM,  FIXADA NA PAREDE - FORNECIMENTO E INSTALAÇÃO. AF_01/2020</v>
      </c>
      <c r="C190" s="4" t="str">
        <f>'[3]MEDIÇÃO 07'!E200</f>
        <v>UN</v>
      </c>
      <c r="D190" s="4"/>
      <c r="E190" s="4"/>
    </row>
    <row r="191" spans="1:5" ht="45">
      <c r="A191" s="4" t="str">
        <f>'[3]MEDIÇÃO 07'!A201</f>
        <v>13.37</v>
      </c>
      <c r="B191" s="6" t="str">
        <f>'[3]MEDIÇÃO 07'!C201</f>
        <v>BARRA DE APOIO RETA, EM ACO INOX POLIDO, COMPRIMENTO 60CM, FIXADA NA PAREDE - FORNECIMENTO E INSTALAÇÃO. AF_01/2020</v>
      </c>
      <c r="C191" s="4" t="str">
        <f>'[3]MEDIÇÃO 07'!E201</f>
        <v>UN</v>
      </c>
      <c r="D191" s="4"/>
      <c r="E191" s="4"/>
    </row>
    <row r="192" spans="1:5" ht="75">
      <c r="A192" s="4" t="str">
        <f>'[3]MEDIÇÃO 07'!A202</f>
        <v>13.38</v>
      </c>
      <c r="B192" s="6" t="str">
        <f>'[3]MEDIÇÃO 07'!C202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92" s="4" t="str">
        <f>'[3]MEDIÇÃO 07'!E202</f>
        <v>UN</v>
      </c>
      <c r="D192" s="4"/>
      <c r="E192" s="4"/>
    </row>
    <row r="193" spans="1:5" ht="30">
      <c r="A193" s="4" t="str">
        <f>'[3]MEDIÇÃO 07'!A203</f>
        <v>13.39</v>
      </c>
      <c r="B193" s="6" t="str">
        <f>'[3]MEDIÇÃO 07'!C203</f>
        <v>PAPELEIRA DE PAREDE EM METAL CROMADO SEM TAMPA, INCLUSO FIXAÇÃO. AF_01/2020</v>
      </c>
      <c r="C193" s="4" t="str">
        <f>'[3]MEDIÇÃO 07'!E203</f>
        <v>UN</v>
      </c>
      <c r="D193" s="4"/>
      <c r="E193" s="4"/>
    </row>
    <row r="194" spans="1:5" ht="30">
      <c r="A194" s="4" t="str">
        <f>'[3]MEDIÇÃO 07'!A204</f>
        <v>13.40</v>
      </c>
      <c r="B194" s="6" t="str">
        <f>'[3]MEDIÇÃO 07'!C204</f>
        <v>REGISTRO DE GAVETA BRUTO, LATÃO, ROSCÁVEL, 2" - FORNECIMENTO E INSTALAÇÃO. AF_08/2021</v>
      </c>
      <c r="C194" s="4" t="str">
        <f>'[3]MEDIÇÃO 07'!E204</f>
        <v>UN</v>
      </c>
      <c r="D194" s="4"/>
      <c r="E194" s="4"/>
    </row>
    <row r="195" spans="1:5" ht="30">
      <c r="A195" s="4" t="str">
        <f>'[3]MEDIÇÃO 07'!A205</f>
        <v>13.41</v>
      </c>
      <c r="B195" s="6" t="str">
        <f>'[3]MEDIÇÃO 07'!C205</f>
        <v>REGISTRO DE GAVETA BRUTO, LATÃO, ROSCÁVEL, 1 1/2" - FORNECIMENTO E INSTALAÇÃO. AF_08/2021</v>
      </c>
      <c r="C195" s="4" t="str">
        <f>'[3]MEDIÇÃO 07'!E205</f>
        <v>UN</v>
      </c>
      <c r="D195" s="4"/>
      <c r="E195" s="4"/>
    </row>
    <row r="196" spans="1:5" ht="30">
      <c r="A196" s="4" t="str">
        <f>'[3]MEDIÇÃO 07'!A206</f>
        <v>13.42</v>
      </c>
      <c r="B196" s="6" t="str">
        <f>'[3]MEDIÇÃO 07'!C206</f>
        <v>REGISTRO DE GAVETA BRUTO, LATÃO, ROSCÁVEL, 1/2" - FORNECIMENTO E INSTALAÇÃO. AF_08/2021</v>
      </c>
      <c r="C196" s="4" t="str">
        <f>'[3]MEDIÇÃO 07'!E206</f>
        <v>UN</v>
      </c>
      <c r="D196" s="4"/>
      <c r="E196" s="4"/>
    </row>
    <row r="197" spans="1:5" ht="30">
      <c r="A197" s="4" t="str">
        <f>'[3]MEDIÇÃO 07'!A207</f>
        <v>13.43</v>
      </c>
      <c r="B197" s="6" t="str">
        <f>'[3]MEDIÇÃO 07'!C207</f>
        <v>REGISTRO DE GAVETA BRUTO, LATÃO, ROSCÁVEL, 3/4" - FORNECIMENTO E INSTALAÇÃO. AF_08/2021</v>
      </c>
      <c r="C197" s="4" t="str">
        <f>'[3]MEDIÇÃO 07'!E207</f>
        <v>UN</v>
      </c>
      <c r="D197" s="4"/>
      <c r="E197" s="4"/>
    </row>
    <row r="198" spans="1:5" ht="45">
      <c r="A198" s="4" t="str">
        <f>'[3]MEDIÇÃO 07'!A208</f>
        <v>13.44</v>
      </c>
      <c r="B198" s="6" t="str">
        <f>'[3]MEDIÇÃO 07'!C208</f>
        <v>REGISTRO DE PRESSÃO BRUTO, LATÃO, ROSCÁVEL, 3/4", COM ACABAMENTO E CANOPLA CROMADOS - FORNECIMENTO E INSTALAÇÃO. AF_08/2021</v>
      </c>
      <c r="C198" s="4" t="str">
        <f>'[3]MEDIÇÃO 07'!E208</f>
        <v>UN</v>
      </c>
      <c r="D198" s="4"/>
      <c r="E198" s="4"/>
    </row>
    <row r="199" spans="1:5" ht="45">
      <c r="A199" s="4" t="str">
        <f>'[3]MEDIÇÃO 07'!A209</f>
        <v>13.45</v>
      </c>
      <c r="B199" s="6" t="str">
        <f>'[3]MEDIÇÃO 07'!C209</f>
        <v>UNIÃO, CPVC, SOLDÁVEL, DN35MM, INSTALADO EM PRUMADA DE ÁGUA ? FORNECIMENTO E INSTALAÇÃO. AF_12/2014</v>
      </c>
      <c r="C199" s="4" t="str">
        <f>'[3]MEDIÇÃO 07'!E209</f>
        <v>UN</v>
      </c>
      <c r="D199" s="4"/>
      <c r="E199" s="4"/>
    </row>
    <row r="200" spans="1:5" ht="60">
      <c r="A200" s="4" t="str">
        <f>'[3]MEDIÇÃO 07'!A210</f>
        <v>13.46</v>
      </c>
      <c r="B200" s="6" t="str">
        <f>'[3]MEDIÇÃO 07'!C210</f>
        <v>JOELHO 45 GRAUS, PVC, SERIE NORMAL, ESGOTO PREDIAL, DN 50 MM, JUNTA ELÁSTICA, FORNECIDO E INSTALADO EM PRUMADA DE ESGOTO SANITÁRIO OU VENTILAÇÃO. AF_12/2014</v>
      </c>
      <c r="C200" s="4" t="str">
        <f>'[3]MEDIÇÃO 07'!E210</f>
        <v>UN</v>
      </c>
      <c r="D200" s="4"/>
      <c r="E200" s="4"/>
    </row>
    <row r="201" spans="1:5" ht="60">
      <c r="A201" s="4" t="str">
        <f>'[3]MEDIÇÃO 07'!A211</f>
        <v>13.47</v>
      </c>
      <c r="B201" s="6" t="str">
        <f>'[3]MEDIÇÃO 07'!C211</f>
        <v>JOELHO 45 GRAUS, PVC, SERIE NORMAL, ESGOTO PREDIAL, DN 100 MM, JUNTA ELÁSTICA, FORNECIDO E INSTALADO EM PRUMADA DE ESGOTO SANITÁRIO OU VENTILAÇÃO. AF_12/2014</v>
      </c>
      <c r="C201" s="4" t="str">
        <f>'[3]MEDIÇÃO 07'!E211</f>
        <v>UN</v>
      </c>
      <c r="D201" s="4"/>
      <c r="E201" s="4"/>
    </row>
    <row r="202" spans="1:5" ht="60">
      <c r="A202" s="4" t="str">
        <f>'[3]MEDIÇÃO 07'!A212</f>
        <v>13.48</v>
      </c>
      <c r="B202" s="6" t="str">
        <f>'[3]MEDIÇÃO 07'!C212</f>
        <v>JOELHO 90 GRAUS, PVC, SERIE NORMAL, ESGOTO PREDIAL, DN 40 MM, JUNTA SOLDÁVEL, FORNECIDO E INSTALADO EM RAMAL DE DESCARGA OU RAMAL DE ESGOTO SANITÁRIO. AF_12/2014</v>
      </c>
      <c r="C202" s="4" t="str">
        <f>'[3]MEDIÇÃO 07'!E212</f>
        <v>UN</v>
      </c>
      <c r="D202" s="4"/>
      <c r="E202" s="4"/>
    </row>
    <row r="203" spans="1:5" ht="60">
      <c r="A203" s="4" t="str">
        <f>'[3]MEDIÇÃO 07'!A213</f>
        <v>13.49</v>
      </c>
      <c r="B203" s="6" t="str">
        <f>'[3]MEDIÇÃO 07'!C213</f>
        <v>JOELHO 90 GRAUS, PVC, SERIE NORMAL, ESGOTO PREDIAL, DN 50 MM, JUNTA ELÁSTICA, FORNECIDO E INSTALADO EM PRUMADA DE ESGOTO SANITÁRIO OU VENTILAÇÃO. AF_12/2014</v>
      </c>
      <c r="C203" s="4" t="str">
        <f>'[3]MEDIÇÃO 07'!E213</f>
        <v>UN</v>
      </c>
      <c r="D203" s="4"/>
      <c r="E203" s="4"/>
    </row>
    <row r="204" spans="1:5" ht="60">
      <c r="A204" s="4" t="str">
        <f>'[3]MEDIÇÃO 07'!A214</f>
        <v>13.50</v>
      </c>
      <c r="B204" s="6" t="str">
        <f>'[3]MEDIÇÃO 07'!C214</f>
        <v>JOELHO 90 GRAUS, PVC, SERIE NORMAL, ESGOTO PREDIAL, DN 100 MM, JUNTA ELÁSTICA, FORNECIDO E INSTALADO EM RAMAL DE DESCARGA OU RAMAL DE ESGOTO SANITÁRIO. AF_12/2014</v>
      </c>
      <c r="C204" s="4" t="str">
        <f>'[3]MEDIÇÃO 07'!E214</f>
        <v>UN</v>
      </c>
      <c r="D204" s="4"/>
      <c r="E204" s="4"/>
    </row>
    <row r="205" spans="1:5" ht="60">
      <c r="A205" s="4" t="str">
        <f>'[3]MEDIÇÃO 07'!A215</f>
        <v>13.51</v>
      </c>
      <c r="B205" s="6" t="str">
        <f>'[3]MEDIÇÃO 07'!C215</f>
        <v>JUNÇÃO SIMPLES, PVC, SERIE NORMAL, ESGOTO PREDIAL, DN 50 X 50 MM, JUNTA ELÁSTICA, FORNECIDO E INSTALADO EM PRUMADA DE ESGOTO SANITÁRIO OU VENTILAÇÃO. AF_12/2014</v>
      </c>
      <c r="C205" s="4" t="str">
        <f>'[3]MEDIÇÃO 07'!E215</f>
        <v>UN</v>
      </c>
      <c r="D205" s="4"/>
      <c r="E205" s="4"/>
    </row>
    <row r="206" spans="1:5" ht="30">
      <c r="A206" s="4" t="str">
        <f>'[3]MEDIÇÃO 07'!A216</f>
        <v>13.52</v>
      </c>
      <c r="B206" s="6" t="str">
        <f>'[3]MEDIÇÃO 07'!C216</f>
        <v>JUNCAO SIMPLES, PVC, DN 100 X 50 MM, SERIE NORMAL PARA ESGOTO PREDIAL</v>
      </c>
      <c r="C206" s="4" t="str">
        <f>'[3]MEDIÇÃO 07'!E216</f>
        <v>UN</v>
      </c>
      <c r="D206" s="4"/>
      <c r="E206" s="4"/>
    </row>
    <row r="207" spans="1:5" ht="30">
      <c r="A207" s="4" t="str">
        <f>'[3]MEDIÇÃO 07'!A217</f>
        <v>13.53</v>
      </c>
      <c r="B207" s="6" t="str">
        <f>'[3]MEDIÇÃO 07'!C217</f>
        <v>JUNCAO SIMPLES, PVC, DN 100 X 75 MM, SERIE NORMAL PARA ESGOTO PREDIAL</v>
      </c>
      <c r="C207" s="4" t="str">
        <f>'[3]MEDIÇÃO 07'!E217</f>
        <v>UN</v>
      </c>
      <c r="D207" s="4"/>
      <c r="E207" s="4"/>
    </row>
    <row r="208" spans="1:5" ht="60">
      <c r="A208" s="4" t="str">
        <f>'[3]MEDIÇÃO 07'!A218</f>
        <v>13.54</v>
      </c>
      <c r="B208" s="6" t="str">
        <f>'[3]MEDIÇÃO 07'!C218</f>
        <v>JUNÇÃO SIMPLES, PVC, SERIE NORMAL, ESGOTO PREDIAL, DN 100 X 100 MM, JUNTA ELÁSTICA, FORNECIDO E INSTALADO EM RAMAL DE DESCARGA OU RAMAL DE ESGOTO SANITÁRIO. AF_12/2014</v>
      </c>
      <c r="C208" s="4" t="str">
        <f>'[3]MEDIÇÃO 07'!E218</f>
        <v>UN</v>
      </c>
      <c r="D208" s="4"/>
      <c r="E208" s="4"/>
    </row>
    <row r="209" spans="1:5" ht="60">
      <c r="A209" s="4" t="str">
        <f>'[3]MEDIÇÃO 07'!A219</f>
        <v>13.55</v>
      </c>
      <c r="B209" s="6" t="str">
        <f>'[3]MEDIÇÃO 07'!C219</f>
        <v>LUVA SIMPLES, PVC, SERIE NORMAL, ESGOTO PREDIAL, DN 50 MM, JUNTA ELÁSTICA, FORNECIDO E INSTALADO EM PRUMADA DE ESGOTO SANITÁRIO OU VENTILAÇÃO. AF_12/2014</v>
      </c>
      <c r="C209" s="4" t="str">
        <f>'[3]MEDIÇÃO 07'!E219</f>
        <v>UN</v>
      </c>
      <c r="D209" s="4"/>
      <c r="E209" s="4"/>
    </row>
    <row r="210" spans="1:5" ht="60">
      <c r="A210" s="4" t="str">
        <f>'[3]MEDIÇÃO 07'!A220</f>
        <v>13.56</v>
      </c>
      <c r="B210" s="6" t="str">
        <f>'[3]MEDIÇÃO 07'!C220</f>
        <v>LUVA SIMPLES, PVC, SERIE NORMAL, ESGOTO PREDIAL, DN 75 MM, JUNTA ELÁSTICA, FORNECIDO E INSTALADO EM PRUMADA DE ESGOTO SANITÁRIO OU VENTILAÇÃO. AF_12/2014</v>
      </c>
      <c r="C210" s="4" t="str">
        <f>'[3]MEDIÇÃO 07'!E220</f>
        <v>UN</v>
      </c>
      <c r="D210" s="4"/>
      <c r="E210" s="4"/>
    </row>
    <row r="211" spans="1:5" ht="60">
      <c r="A211" s="4" t="str">
        <f>'[3]MEDIÇÃO 07'!A221</f>
        <v>13.57</v>
      </c>
      <c r="B211" s="6" t="str">
        <f>'[3]MEDIÇÃO 07'!C221</f>
        <v>LUVA SIMPLES, PVC, SERIE NORMAL, ESGOTO PREDIAL, DN 100 MM, JUNTA ELÁSTICA, FORNECIDO E INSTALADO EM RAMAL DE DESCARGA OU RAMAL DE ESGOTO SANITÁRIO. AF_12/2014</v>
      </c>
      <c r="C211" s="4" t="str">
        <f>'[3]MEDIÇÃO 07'!E221</f>
        <v>UN</v>
      </c>
      <c r="D211" s="4"/>
      <c r="E211" s="4"/>
    </row>
    <row r="212" spans="1:5" ht="60">
      <c r="A212" s="4" t="str">
        <f>'[3]MEDIÇÃO 07'!A222</f>
        <v>13.58</v>
      </c>
      <c r="B212" s="6" t="str">
        <f>'[3]MEDIÇÃO 07'!C222</f>
        <v>TE, PVC, SERIE NORMAL, ESGOTO PREDIAL, DN 50 X 50 MM, JUNTA ELÁSTICA, FORNECIDO E INSTALADO EM PRUMADA DE ESGOTO SANITÁRIO OU VENTILAÇÃO. AF_12/2014</v>
      </c>
      <c r="C212" s="4" t="str">
        <f>'[3]MEDIÇÃO 07'!E222</f>
        <v>UN</v>
      </c>
      <c r="D212" s="4"/>
      <c r="E212" s="4"/>
    </row>
    <row r="213" spans="1:5" ht="30">
      <c r="A213" s="4" t="str">
        <f>'[3]MEDIÇÃO 07'!A223</f>
        <v>13.59</v>
      </c>
      <c r="B213" s="6" t="str">
        <f>'[3]MEDIÇÃO 07'!C223</f>
        <v>TE SANITARIO, PVC, DN 75 X 50 MM, SERIE NORMAL PARA ESGOTO PREDIAL</v>
      </c>
      <c r="C213" s="4" t="str">
        <f>'[3]MEDIÇÃO 07'!E223</f>
        <v>UN</v>
      </c>
      <c r="D213" s="4"/>
      <c r="E213" s="4"/>
    </row>
    <row r="214" spans="1:5" ht="30">
      <c r="A214" s="4" t="str">
        <f>'[3]MEDIÇÃO 07'!A224</f>
        <v>13.60</v>
      </c>
      <c r="B214" s="6" t="str">
        <f>'[3]MEDIÇÃO 07'!C224</f>
        <v>TE SANITARIO, PVC, DN 100 X 75 MM, SERIE NORMAL PARA ESGOTO PREDIAL</v>
      </c>
      <c r="C214" s="4" t="str">
        <f>'[3]MEDIÇÃO 07'!E224</f>
        <v>UN</v>
      </c>
      <c r="D214" s="4"/>
      <c r="E214" s="4"/>
    </row>
    <row r="215" spans="1:5">
      <c r="A215" s="7" t="str">
        <f>'[3]MEDIÇÃO 07'!A226</f>
        <v>14</v>
      </c>
      <c r="B215" s="428" t="str">
        <f>'[3]MEDIÇÃO 07'!B226:P226</f>
        <v>PINTURA</v>
      </c>
      <c r="C215" s="428"/>
      <c r="D215" s="428"/>
      <c r="E215" s="428"/>
    </row>
    <row r="216" spans="1:5" ht="30">
      <c r="A216" s="4" t="str">
        <f>'[3]MEDIÇÃO 07'!A227</f>
        <v>14.1</v>
      </c>
      <c r="B216" s="6" t="str">
        <f>'[3]MEDIÇÃO 07'!C227</f>
        <v>APLICAÇÃO DE FUNDO SELADOR ACRÍLICO EM TETO, UMA DEMÃO. AF_06/2014</v>
      </c>
      <c r="C216" s="4" t="str">
        <f>'[3]MEDIÇÃO 07'!E227</f>
        <v>M2</v>
      </c>
      <c r="D216" s="4"/>
      <c r="E216" s="4"/>
    </row>
    <row r="217" spans="1:5" ht="30">
      <c r="A217" s="4" t="str">
        <f>'[3]MEDIÇÃO 07'!A228</f>
        <v>14.2</v>
      </c>
      <c r="B217" s="6" t="str">
        <f>'[3]MEDIÇÃO 07'!C228</f>
        <v>APLICAÇÃO DE FUNDO SELADOR ACRÍLICO EM PAREDES, UMA DEMÃO. AF_06/2014</v>
      </c>
      <c r="C217" s="4" t="str">
        <f>'[3]MEDIÇÃO 07'!E228</f>
        <v>M2</v>
      </c>
      <c r="D217" s="4"/>
      <c r="E217" s="4"/>
    </row>
    <row r="218" spans="1:5" ht="30">
      <c r="A218" s="4" t="str">
        <f>'[3]MEDIÇÃO 07'!A229</f>
        <v>14.3</v>
      </c>
      <c r="B218" s="6" t="str">
        <f>'[3]MEDIÇÃO 07'!C229</f>
        <v>APLICAÇÃO E LIXAMENTO DE MASSA LÁTEX EM TETO, UMA DEMÃO. AF_06/2014</v>
      </c>
      <c r="C218" s="4" t="str">
        <f>'[3]MEDIÇÃO 07'!E229</f>
        <v>M2</v>
      </c>
      <c r="D218" s="4"/>
      <c r="E218" s="4"/>
    </row>
    <row r="219" spans="1:5" ht="45">
      <c r="A219" s="4" t="str">
        <f>'[3]MEDIÇÃO 07'!A230</f>
        <v>14.4</v>
      </c>
      <c r="B219" s="6" t="str">
        <f>'[3]MEDIÇÃO 07'!C230</f>
        <v>Emassamento de superfície, com aplicação de 02 demãos de massa acrílica, lixamento e retoques - Rev 01</v>
      </c>
      <c r="C219" s="4" t="str">
        <f>'[3]MEDIÇÃO 07'!E230</f>
        <v>m2</v>
      </c>
      <c r="D219" s="4"/>
      <c r="E219" s="4"/>
    </row>
    <row r="220" spans="1:5" ht="30">
      <c r="A220" s="4" t="str">
        <f>'[3]MEDIÇÃO 07'!A231</f>
        <v>14.5</v>
      </c>
      <c r="B220" s="6" t="str">
        <f>'[3]MEDIÇÃO 07'!C231</f>
        <v>APLICAÇÃO MANUAL DE PINTURA COM TINTA LÁTEX ACRÍLICA EM PAREDES, DUAS DEMÃOS. AF_06/2014</v>
      </c>
      <c r="C220" s="4" t="str">
        <f>'[3]MEDIÇÃO 07'!E231</f>
        <v>M2</v>
      </c>
      <c r="D220" s="4"/>
      <c r="E220" s="4"/>
    </row>
    <row r="221" spans="1:5" ht="30">
      <c r="A221" s="4" t="str">
        <f>'[3]MEDIÇÃO 07'!A232</f>
        <v>14.6</v>
      </c>
      <c r="B221" s="6" t="str">
        <f>'[3]MEDIÇÃO 07'!C232</f>
        <v>APLICAÇÃO MANUAL DE PINTURA COM TINTA LÁTEX ACRÍLICA EM TETO, DUAS DEMÃOS. AF_06/2014</v>
      </c>
      <c r="C221" s="4" t="str">
        <f>'[3]MEDIÇÃO 07'!E232</f>
        <v>M2</v>
      </c>
      <c r="D221" s="4"/>
      <c r="E221" s="4"/>
    </row>
    <row r="222" spans="1:5" ht="45">
      <c r="A222" s="4" t="str">
        <f>'[3]MEDIÇÃO 07'!A233</f>
        <v>14.7</v>
      </c>
      <c r="B222" s="6" t="str">
        <f>'[3]MEDIÇÃO 07'!C233</f>
        <v>PINTURA TINTA DE ACABAMENTO (PIGMENTADA) ESMALTE SINTÉTICO FOSCO EM MADEIRA, 2 DEMÃOS. AF_01/2021</v>
      </c>
      <c r="C222" s="4" t="str">
        <f>'[3]MEDIÇÃO 07'!E233</f>
        <v>M2</v>
      </c>
      <c r="D222" s="4"/>
      <c r="E222" s="4"/>
    </row>
    <row r="223" spans="1:5" ht="60">
      <c r="A223" s="4" t="str">
        <f>'[3]MEDIÇÃO 07'!A234</f>
        <v>14.8</v>
      </c>
      <c r="B223" s="6" t="str">
        <f>'[3]MEDIÇÃO 07'!C234</f>
        <v>PINTURA COM TINTA ALQUÍDICA DE FUNDO E ACABAMENTO (ESMALTE SINTÉTICO GRAFITE) APLICADA A ROLO OU PINCEL SOBRE PERFIL METÁLICO EXECUTADO EM FÁBRICA (POR DEMÃO). AF_01/2020</v>
      </c>
      <c r="C223" s="4" t="str">
        <f>'[3]MEDIÇÃO 07'!E234</f>
        <v>M2</v>
      </c>
      <c r="D223" s="4"/>
      <c r="E223" s="4"/>
    </row>
    <row r="224" spans="1:5" ht="60">
      <c r="A224" s="4" t="str">
        <f>'[3]MEDIÇÃO 07'!A235</f>
        <v>14.9</v>
      </c>
      <c r="B224" s="6" t="str">
        <f>'[3]MEDIÇÃO 07'!C235</f>
        <v>PINTURA COM TINTA ALQUÍDICA DE FUNDO (TIPO ZARCÃO) APLICADA A ROLO OU PINCEL SOBRE PERFIL METÁLICO EXECUTADO EM FÁBRICA (POR DEMÃO). AF_01/2020</v>
      </c>
      <c r="C224" s="4" t="str">
        <f>'[3]MEDIÇÃO 07'!E235</f>
        <v>M2</v>
      </c>
      <c r="D224" s="4"/>
      <c r="E224" s="4"/>
    </row>
    <row r="225" spans="1:5">
      <c r="A225" s="7" t="str">
        <f>'[3]MEDIÇÃO 07'!A237</f>
        <v>15</v>
      </c>
      <c r="B225" s="428" t="str">
        <f>'[3]MEDIÇÃO 07'!B237:P237</f>
        <v>SERVIÇOS COMPLEMENTARES</v>
      </c>
      <c r="C225" s="428"/>
      <c r="D225" s="428"/>
      <c r="E225" s="428"/>
    </row>
    <row r="226" spans="1:5" s="348" customFormat="1">
      <c r="A226" s="6" t="str">
        <f>'[3]MEDIÇÃO 07'!A238</f>
        <v>15.1</v>
      </c>
      <c r="B226" s="6" t="str">
        <f>'[3]MEDIÇÃO 07'!C238</f>
        <v>Limpeza geral</v>
      </c>
      <c r="C226" s="6" t="str">
        <f>'[3]MEDIÇÃO 07'!E238</f>
        <v>m2</v>
      </c>
      <c r="D226" s="6"/>
      <c r="E226" s="6"/>
    </row>
    <row r="227" spans="1:5" s="348" customFormat="1">
      <c r="A227" s="6" t="str">
        <f>'[3]MEDIÇÃO 07'!A239</f>
        <v>15.2</v>
      </c>
      <c r="B227" s="6" t="str">
        <f>'[3]MEDIÇÃO 07'!C239</f>
        <v>Escada de ferro com guarda corpo</v>
      </c>
      <c r="C227" s="6" t="str">
        <f>'[3]MEDIÇÃO 07'!E239</f>
        <v>m</v>
      </c>
      <c r="D227" s="6"/>
      <c r="E227" s="6"/>
    </row>
    <row r="228" spans="1:5" s="348" customFormat="1" ht="75">
      <c r="A228" s="6" t="str">
        <f>'[3]MEDIÇÃO 07'!A240</f>
        <v>15.3</v>
      </c>
      <c r="B228" s="6" t="str">
        <f>'[3]MEDIÇÃO 07'!C240</f>
        <v>ALVENARIA DE VEDAÇÃO DE BLOCOS CERÂMICOS FURADOS NA HORIZONTAL DE 9X19X19CM (ESPESSURA 9CM) DE PAREDES COM ÁREA LÍQUIDA MAIOR OU IGUAL A 6M² SEM VÃOS E ARGAMASSA DE ASSENTAMENTO COM PREPARO EM BETONEIRA. AF_06/2014</v>
      </c>
      <c r="C228" s="6" t="str">
        <f>'[3]MEDIÇÃO 07'!E240</f>
        <v>M2</v>
      </c>
      <c r="D228" s="115" t="s">
        <v>831</v>
      </c>
      <c r="E228" s="346">
        <f>((6.33*0.75*2) + (4.65*0.75*2))+10.065</f>
        <v>26.535000000000004</v>
      </c>
    </row>
    <row r="229" spans="1:5" s="348" customFormat="1" ht="30">
      <c r="A229" s="6" t="str">
        <f>'[3]MEDIÇÃO 07'!A241</f>
        <v>15.4</v>
      </c>
      <c r="B229" s="6" t="str">
        <f>'[3]MEDIÇÃO 07'!C241</f>
        <v>ATERRO MANUAL DE VALAS COM SOLO ARGILO-ARENOSO E COMPACTAÇÃO MECANIZADA. AF_05/2016</v>
      </c>
      <c r="C229" s="6" t="str">
        <f>'[3]MEDIÇÃO 07'!E241</f>
        <v>M3</v>
      </c>
      <c r="D229" s="115" t="s">
        <v>832</v>
      </c>
      <c r="E229" s="346">
        <f>8.4006+22.07588</f>
        <v>30.476480000000002</v>
      </c>
    </row>
    <row r="230" spans="1:5" s="348" customFormat="1" ht="60">
      <c r="A230" s="6" t="str">
        <f>'[3]MEDIÇÃO 07'!A242</f>
        <v>15.5</v>
      </c>
      <c r="B230" s="6" t="str">
        <f>'[3]MEDIÇÃO 07'!C242</f>
        <v>EXECUÇÃO DE PASSEIO (CALÇADA) OU PISO DE CONCRETO COM CONCRETO MOLDADO IN LOCO, FEITO EM OBRA, ACABAMENTO CONVENCIONAL, ESPESSURA 6 CM, ARMADO. AF_07/2016</v>
      </c>
      <c r="C230" s="6" t="str">
        <f>'[3]MEDIÇÃO 07'!E242</f>
        <v>M2</v>
      </c>
      <c r="D230" s="115" t="s">
        <v>833</v>
      </c>
      <c r="E230" s="346">
        <f>11.2008+29.4345</f>
        <v>40.635300000000001</v>
      </c>
    </row>
    <row r="231" spans="1:5" s="348" customFormat="1" ht="60">
      <c r="A231" s="6" t="str">
        <f>'[3]MEDIÇÃO 07'!A243</f>
        <v>15.6</v>
      </c>
      <c r="B231" s="6" t="str">
        <f>'[3]MEDIÇÃO 07'!C243</f>
        <v>CONTRAPISO EM ARGAMASSA TRAÇO 1:4 (CIMENTO E AREIA), PREPARO MANUAL, APLICADO EM ÁREAS SECAS SOBRE LAJE, ADERIDO, ACABAMENTO NÃO REFORÇADO, ESPESSURA 3CM. AF_07/2021</v>
      </c>
      <c r="C231" s="6" t="str">
        <f>'[3]MEDIÇÃO 07'!E243</f>
        <v>M2</v>
      </c>
      <c r="D231" s="115" t="s">
        <v>834</v>
      </c>
      <c r="E231" s="346">
        <f>11.2008+29.4345</f>
        <v>40.635300000000001</v>
      </c>
    </row>
    <row r="232" spans="1:5" s="348" customFormat="1" ht="60">
      <c r="A232" s="6" t="str">
        <f>'[3]MEDIÇÃO 07'!A244</f>
        <v>15.7</v>
      </c>
      <c r="B232" s="6" t="str">
        <f>'[3]MEDIÇÃO 07'!C244</f>
        <v>CHAPISCO APLICADO EM ALVENARIAS E ESTRUTURAS DE CONCRETO INTERNAS, COM COLHER DE PEDREIRO.  ARGAMASSA TRAÇO 1:3 COM PREPARO EM BETONEIRA 400L. AF_06/2014</v>
      </c>
      <c r="C232" s="6" t="str">
        <f>'[3]MEDIÇÃO 07'!E244</f>
        <v>M2</v>
      </c>
      <c r="D232" s="115" t="s">
        <v>835</v>
      </c>
      <c r="E232" s="235">
        <f>2.34+16.65</f>
        <v>18.989999999999998</v>
      </c>
    </row>
    <row r="233" spans="1:5" s="348" customFormat="1" ht="75">
      <c r="A233" s="6" t="str">
        <f>'[3]MEDIÇÃO 07'!A245</f>
        <v>15.8</v>
      </c>
      <c r="B233" s="6" t="str">
        <f>'[3]MEDIÇÃO 07'!C245</f>
        <v>MASSA ÚNICA, PARA RECEBIMENTO DE PINTURA, EM ARGAMASSA TRAÇO 1:2:8, PREPARO MECÂNICO COM BETONEIRA 400L, APLICADA MANUALMENTE EM FACES INTERNAS DE PAREDES, ESPESSURA DE 10MM, COM EXECUÇÃO DE TALISCAS. AF_06/2014</v>
      </c>
      <c r="C233" s="6" t="str">
        <f>'[3]MEDIÇÃO 07'!E245</f>
        <v>M2</v>
      </c>
      <c r="D233" s="115" t="s">
        <v>835</v>
      </c>
      <c r="E233" s="235">
        <f>2.34+16.65</f>
        <v>18.989999999999998</v>
      </c>
    </row>
    <row r="234" spans="1:5" s="348" customFormat="1" ht="45">
      <c r="A234" s="6" t="str">
        <f>'[3]MEDIÇÃO 07'!A246</f>
        <v>15.9</v>
      </c>
      <c r="B234" s="6" t="str">
        <f>'[3]MEDIÇÃO 07'!C246</f>
        <v>Emassamento de superfície, com aplicação de 02 demãos de massa acrílica, lixamento e retoques - Rev 01</v>
      </c>
      <c r="C234" s="6" t="str">
        <f>'[3]MEDIÇÃO 07'!E246</f>
        <v>m2</v>
      </c>
      <c r="D234" s="115"/>
      <c r="E234" s="235"/>
    </row>
    <row r="235" spans="1:5" s="348" customFormat="1" ht="30">
      <c r="A235" s="6" t="str">
        <f>'[3]MEDIÇÃO 07'!A247</f>
        <v>15.10</v>
      </c>
      <c r="B235" s="6" t="str">
        <f>'[3]MEDIÇÃO 07'!C247</f>
        <v>APLICAÇÃO DE FUNDO SELADOR ACRÍLICO EM PAREDES, UMA DEMÃO. AF_06/2014</v>
      </c>
      <c r="C235" s="6" t="str">
        <f>'[3]MEDIÇÃO 07'!E247</f>
        <v>M2</v>
      </c>
      <c r="D235" s="115"/>
      <c r="E235" s="235"/>
    </row>
    <row r="236" spans="1:5" s="348" customFormat="1" ht="30">
      <c r="A236" s="6" t="str">
        <f>'[3]MEDIÇÃO 07'!A248</f>
        <v>15.11</v>
      </c>
      <c r="B236" s="6" t="str">
        <f>'[3]MEDIÇÃO 07'!C248</f>
        <v>APLICAÇÃO MANUAL DE PINTURA COM TINTA LÁTEX ACRÍLICA EM PAREDES, DUAS DEMÃOS. AF_06/2014</v>
      </c>
      <c r="C236" s="6" t="str">
        <f>'[3]MEDIÇÃO 07'!E248</f>
        <v>M2</v>
      </c>
      <c r="D236" s="115"/>
      <c r="E236" s="235"/>
    </row>
    <row r="237" spans="1:5" ht="45">
      <c r="A237" s="17" t="s">
        <v>607</v>
      </c>
      <c r="B237" s="16">
        <f>B241+B242</f>
        <v>1.2036532184674478</v>
      </c>
    </row>
    <row r="238" spans="1:5">
      <c r="A238" s="16" t="s">
        <v>608</v>
      </c>
      <c r="B238" s="16">
        <v>0.35</v>
      </c>
    </row>
    <row r="239" spans="1:5">
      <c r="A239" s="16" t="s">
        <v>609</v>
      </c>
      <c r="B239" s="16">
        <f>1.95*1.85</f>
        <v>3.6074999999999999</v>
      </c>
    </row>
    <row r="240" spans="1:5">
      <c r="A240" s="16" t="s">
        <v>610</v>
      </c>
      <c r="B240" s="16">
        <f>0.2*0.3</f>
        <v>0.06</v>
      </c>
    </row>
    <row r="241" spans="1:2" ht="30">
      <c r="A241" s="17" t="s">
        <v>611</v>
      </c>
      <c r="B241" s="16">
        <f>((B238/3)*((B239+B240)+(SQRT(B239*B240))))</f>
        <v>0.48215321846744785</v>
      </c>
    </row>
    <row r="242" spans="1:2" ht="30">
      <c r="A242" s="17" t="s">
        <v>612</v>
      </c>
      <c r="B242" s="16">
        <f>1.95*1.85*0.2</f>
        <v>0.72150000000000003</v>
      </c>
    </row>
  </sheetData>
  <mergeCells count="24">
    <mergeCell ref="B32:E32"/>
    <mergeCell ref="A1:B5"/>
    <mergeCell ref="C1:E3"/>
    <mergeCell ref="N1:P2"/>
    <mergeCell ref="C4:E5"/>
    <mergeCell ref="N4:P4"/>
    <mergeCell ref="A6:E6"/>
    <mergeCell ref="A7:E7"/>
    <mergeCell ref="A9:E9"/>
    <mergeCell ref="B10:E10"/>
    <mergeCell ref="B15:E15"/>
    <mergeCell ref="B22:E22"/>
    <mergeCell ref="B225:E225"/>
    <mergeCell ref="B37:E37"/>
    <mergeCell ref="B49:E49"/>
    <mergeCell ref="B56:E56"/>
    <mergeCell ref="B67:E67"/>
    <mergeCell ref="B76:E76"/>
    <mergeCell ref="B82:E82"/>
    <mergeCell ref="B97:E97"/>
    <mergeCell ref="B100:E100"/>
    <mergeCell ref="B106:E106"/>
    <mergeCell ref="B154:E154"/>
    <mergeCell ref="B215:E215"/>
  </mergeCells>
  <pageMargins left="0.511811024" right="0.511811024" top="0.78740157499999996" bottom="0.78740157499999996" header="0.31496062000000002" footer="0.31496062000000002"/>
  <pageSetup paperSize="9" scale="37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04B5-69CA-46CD-9E78-7FDF712B21DC}">
  <sheetPr>
    <tabColor rgb="FFFFFF00"/>
  </sheetPr>
  <dimension ref="A1:S5"/>
  <sheetViews>
    <sheetView view="pageBreakPreview" zoomScale="51" zoomScaleNormal="100" zoomScaleSheetLayoutView="51" workbookViewId="0">
      <selection activeCell="F187" sqref="F187"/>
    </sheetView>
  </sheetViews>
  <sheetFormatPr defaultRowHeight="15"/>
  <sheetData>
    <row r="1" spans="1:19" ht="15" customHeight="1">
      <c r="A1" s="371"/>
      <c r="B1" s="372"/>
      <c r="C1" s="373"/>
      <c r="D1" s="387" t="s">
        <v>1099</v>
      </c>
      <c r="E1" s="388"/>
      <c r="F1" s="388"/>
      <c r="G1" s="388"/>
      <c r="H1" s="388"/>
      <c r="I1" s="388"/>
      <c r="J1" s="388"/>
      <c r="K1" s="388"/>
      <c r="L1" s="389"/>
      <c r="M1" s="240"/>
      <c r="N1" s="240"/>
      <c r="O1" s="144"/>
      <c r="P1" s="144"/>
    </row>
    <row r="2" spans="1:19" ht="27.75" customHeight="1">
      <c r="A2" s="374"/>
      <c r="B2" s="375"/>
      <c r="C2" s="376"/>
      <c r="D2" s="390"/>
      <c r="E2" s="391"/>
      <c r="F2" s="391"/>
      <c r="G2" s="391"/>
      <c r="H2" s="391"/>
      <c r="I2" s="391"/>
      <c r="J2" s="391"/>
      <c r="K2" s="391"/>
      <c r="L2" s="392"/>
      <c r="M2" s="240"/>
      <c r="N2" s="240"/>
      <c r="O2" s="144"/>
      <c r="P2" s="144"/>
    </row>
    <row r="3" spans="1:19" ht="27" customHeight="1">
      <c r="A3" s="377"/>
      <c r="B3" s="378"/>
      <c r="C3" s="379"/>
      <c r="D3" s="384" t="s">
        <v>602</v>
      </c>
      <c r="E3" s="385"/>
      <c r="F3" s="385"/>
      <c r="G3" s="385"/>
      <c r="H3" s="385"/>
      <c r="I3" s="385"/>
      <c r="J3" s="385"/>
      <c r="K3" s="385"/>
      <c r="L3" s="386"/>
      <c r="M3" s="241"/>
      <c r="N3" s="241"/>
      <c r="O3" s="144"/>
      <c r="P3" s="144"/>
    </row>
    <row r="4" spans="1:19" ht="16.5" customHeight="1">
      <c r="A4" s="393" t="s">
        <v>1025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5"/>
      <c r="M4" s="242"/>
      <c r="N4" s="242"/>
      <c r="O4" s="144"/>
      <c r="P4" s="144"/>
    </row>
    <row r="5" spans="1:19" ht="22.5" customHeight="1" thickBot="1">
      <c r="A5" s="396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8"/>
      <c r="M5" s="242"/>
      <c r="N5" s="242"/>
      <c r="O5" s="144"/>
      <c r="P5" s="144"/>
      <c r="R5" s="174" t="s">
        <v>1020</v>
      </c>
      <c r="S5" s="152">
        <v>1478786.25</v>
      </c>
    </row>
  </sheetData>
  <mergeCells count="4">
    <mergeCell ref="A1:C3"/>
    <mergeCell ref="D1:L2"/>
    <mergeCell ref="D3:L3"/>
    <mergeCell ref="A4:L5"/>
  </mergeCells>
  <conditionalFormatting sqref="K1:K5">
    <cfRule type="cellIs" dxfId="4" priority="3" operator="greaterThan">
      <formula>0</formula>
    </cfRule>
  </conditionalFormatting>
  <conditionalFormatting sqref="L1:N5">
    <cfRule type="cellIs" dxfId="3" priority="1" operator="lessThan">
      <formula>0</formula>
    </cfRule>
    <cfRule type="cellIs" dxfId="2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scale="84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06AB-A32B-44A6-AD03-F20A0572A39F}">
  <dimension ref="A1:Q264"/>
  <sheetViews>
    <sheetView topLeftCell="A222" zoomScale="62" zoomScaleNormal="62" workbookViewId="0">
      <selection activeCell="L246" sqref="L246"/>
    </sheetView>
  </sheetViews>
  <sheetFormatPr defaultRowHeight="15"/>
  <cols>
    <col min="1" max="1" width="7.42578125" customWidth="1"/>
    <col min="2" max="2" width="10.5703125" bestFit="1" customWidth="1"/>
    <col min="3" max="3" width="50.28515625" style="120" customWidth="1"/>
    <col min="4" max="4" width="10.42578125" bestFit="1" customWidth="1"/>
    <col min="5" max="5" width="6.7109375" bestFit="1" customWidth="1"/>
    <col min="6" max="7" width="16" bestFit="1" customWidth="1"/>
    <col min="8" max="8" width="21.42578125" bestFit="1" customWidth="1"/>
    <col min="9" max="9" width="20.140625" bestFit="1" customWidth="1"/>
    <col min="10" max="10" width="15.7109375" bestFit="1" customWidth="1"/>
    <col min="11" max="11" width="15.140625" bestFit="1" customWidth="1"/>
    <col min="12" max="12" width="15.7109375" style="289" bestFit="1" customWidth="1"/>
    <col min="13" max="13" width="21.28515625" customWidth="1"/>
    <col min="14" max="14" width="21.5703125" bestFit="1" customWidth="1"/>
    <col min="15" max="15" width="22" bestFit="1" customWidth="1"/>
    <col min="16" max="16" width="21.85546875" bestFit="1" customWidth="1"/>
    <col min="17" max="17" width="10.85546875" style="250" bestFit="1" customWidth="1"/>
  </cols>
  <sheetData>
    <row r="1" spans="1:17" ht="15" customHeight="1">
      <c r="A1" s="477" t="s">
        <v>601</v>
      </c>
      <c r="B1" s="478"/>
      <c r="C1" s="478"/>
      <c r="D1" s="481" t="s">
        <v>1050</v>
      </c>
      <c r="E1" s="481"/>
      <c r="F1" s="481"/>
      <c r="G1" s="481"/>
      <c r="H1" s="481"/>
      <c r="I1" s="481"/>
      <c r="J1" s="481"/>
      <c r="K1" s="481"/>
      <c r="L1" s="481"/>
      <c r="M1" s="481"/>
      <c r="N1" s="483" t="s">
        <v>1051</v>
      </c>
      <c r="O1" s="483"/>
      <c r="P1" s="484"/>
    </row>
    <row r="2" spans="1:17">
      <c r="A2" s="479"/>
      <c r="B2" s="480"/>
      <c r="C2" s="480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5"/>
      <c r="O2" s="485"/>
      <c r="P2" s="486"/>
    </row>
    <row r="3" spans="1:17" ht="27" customHeight="1">
      <c r="A3" s="479"/>
      <c r="B3" s="480"/>
      <c r="C3" s="480"/>
      <c r="D3" s="487" t="s">
        <v>602</v>
      </c>
      <c r="E3" s="487"/>
      <c r="F3" s="487"/>
      <c r="G3" s="487"/>
      <c r="H3" s="487"/>
      <c r="I3" s="487"/>
      <c r="J3" s="487"/>
      <c r="K3" s="487"/>
      <c r="L3" s="487"/>
      <c r="M3" s="487"/>
      <c r="N3" s="488" t="s">
        <v>1052</v>
      </c>
      <c r="O3" s="488"/>
      <c r="P3" s="489"/>
    </row>
    <row r="4" spans="1:17" ht="10.5" customHeight="1">
      <c r="A4" s="473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5">
        <f>N230</f>
        <v>76378.497685200011</v>
      </c>
      <c r="O4" s="475"/>
      <c r="P4" s="476"/>
    </row>
    <row r="5" spans="1:17" ht="10.5" customHeight="1">
      <c r="A5" s="473"/>
      <c r="B5" s="474"/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5"/>
      <c r="O5" s="475"/>
      <c r="P5" s="476"/>
    </row>
    <row r="6" spans="1:17" ht="18" customHeight="1">
      <c r="A6" s="470" t="s">
        <v>0</v>
      </c>
      <c r="B6" s="471" t="s">
        <v>1</v>
      </c>
      <c r="C6" s="472" t="s">
        <v>2</v>
      </c>
      <c r="D6" s="471" t="s">
        <v>3</v>
      </c>
      <c r="E6" s="471" t="s">
        <v>4</v>
      </c>
      <c r="F6" s="468" t="s">
        <v>1053</v>
      </c>
      <c r="G6" s="468"/>
      <c r="H6" s="468"/>
      <c r="I6" s="468"/>
      <c r="J6" s="468" t="s">
        <v>1054</v>
      </c>
      <c r="K6" s="468"/>
      <c r="L6" s="468"/>
      <c r="M6" s="468" t="s">
        <v>1055</v>
      </c>
      <c r="N6" s="468"/>
      <c r="O6" s="468"/>
      <c r="P6" s="469"/>
    </row>
    <row r="7" spans="1:17" ht="37.5" customHeight="1">
      <c r="A7" s="470"/>
      <c r="B7" s="471"/>
      <c r="C7" s="472"/>
      <c r="D7" s="471"/>
      <c r="E7" s="471"/>
      <c r="F7" s="251" t="s">
        <v>1056</v>
      </c>
      <c r="G7" s="252" t="s">
        <v>5</v>
      </c>
      <c r="H7" s="252" t="s">
        <v>1057</v>
      </c>
      <c r="I7" s="252" t="s">
        <v>1058</v>
      </c>
      <c r="J7" s="251" t="s">
        <v>1059</v>
      </c>
      <c r="K7" s="252" t="s">
        <v>1060</v>
      </c>
      <c r="L7" s="286" t="s">
        <v>1061</v>
      </c>
      <c r="M7" s="251" t="s">
        <v>1059</v>
      </c>
      <c r="N7" s="252" t="s">
        <v>1060</v>
      </c>
      <c r="O7" s="252" t="s">
        <v>1061</v>
      </c>
      <c r="P7" s="253" t="s">
        <v>1048</v>
      </c>
    </row>
    <row r="8" spans="1:17">
      <c r="A8" s="254">
        <v>1</v>
      </c>
      <c r="B8" s="412" t="s">
        <v>6</v>
      </c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57"/>
    </row>
    <row r="9" spans="1:17">
      <c r="A9" s="255" t="s">
        <v>7</v>
      </c>
      <c r="B9" s="256" t="s">
        <v>8</v>
      </c>
      <c r="C9" s="257" t="s">
        <v>9</v>
      </c>
      <c r="D9" s="256" t="s">
        <v>10</v>
      </c>
      <c r="E9" s="256" t="s">
        <v>11</v>
      </c>
      <c r="F9" s="258">
        <v>6</v>
      </c>
      <c r="G9" s="259">
        <f>288.89</f>
        <v>288.89</v>
      </c>
      <c r="H9" s="259">
        <f>G9*$Q$9</f>
        <v>367.90141499999999</v>
      </c>
      <c r="I9" s="259">
        <f>F9*H9</f>
        <v>2207.4084899999998</v>
      </c>
      <c r="J9" s="4">
        <v>6</v>
      </c>
      <c r="K9" s="20">
        <f>'[4]MEMORIA BM 06'!E11</f>
        <v>0</v>
      </c>
      <c r="L9" s="287">
        <f>K9+J9</f>
        <v>6</v>
      </c>
      <c r="M9" s="260">
        <f>J9*H9</f>
        <v>2207.4084899999998</v>
      </c>
      <c r="N9" s="260">
        <f>H9*K9</f>
        <v>0</v>
      </c>
      <c r="O9" s="261">
        <f>N9+M9</f>
        <v>2207.4084899999998</v>
      </c>
      <c r="P9" s="262">
        <f>I9-O9</f>
        <v>0</v>
      </c>
      <c r="Q9" s="250">
        <v>1.2735000000000001</v>
      </c>
    </row>
    <row r="10" spans="1:17" ht="25.5">
      <c r="A10" s="255" t="s">
        <v>12</v>
      </c>
      <c r="B10" s="256" t="s">
        <v>13</v>
      </c>
      <c r="C10" s="257" t="s">
        <v>14</v>
      </c>
      <c r="D10" s="256" t="s">
        <v>10</v>
      </c>
      <c r="E10" s="256" t="s">
        <v>15</v>
      </c>
      <c r="F10" s="258">
        <v>1</v>
      </c>
      <c r="G10" s="259">
        <f>12298.86</f>
        <v>12298.86</v>
      </c>
      <c r="H10" s="259">
        <f t="shared" ref="H10:H12" si="0">G10*$Q$9</f>
        <v>15662.598210000002</v>
      </c>
      <c r="I10" s="259">
        <f t="shared" ref="I10:I12" si="1">F10*H10</f>
        <v>15662.598210000002</v>
      </c>
      <c r="J10" s="4">
        <v>1</v>
      </c>
      <c r="K10" s="20">
        <f>'[4]MEMORIA BM 06'!E12</f>
        <v>0</v>
      </c>
      <c r="L10" s="287">
        <f>K10+J10</f>
        <v>1</v>
      </c>
      <c r="M10" s="260">
        <f t="shared" ref="M10:M12" si="2">J10*H10</f>
        <v>15662.598210000002</v>
      </c>
      <c r="N10" s="260">
        <f t="shared" ref="N10:N12" si="3">H10*K10</f>
        <v>0</v>
      </c>
      <c r="O10" s="261">
        <f t="shared" ref="O10:O12" si="4">N10+M10</f>
        <v>15662.598210000002</v>
      </c>
      <c r="P10" s="262">
        <f t="shared" ref="P10:P13" si="5">I10-O10</f>
        <v>0</v>
      </c>
      <c r="Q10" s="263">
        <f t="shared" ref="Q10:Q73" si="6">O10/I10</f>
        <v>1</v>
      </c>
    </row>
    <row r="11" spans="1:17" ht="38.25">
      <c r="A11" s="255" t="s">
        <v>16</v>
      </c>
      <c r="B11" s="256" t="s">
        <v>17</v>
      </c>
      <c r="C11" s="257" t="s">
        <v>18</v>
      </c>
      <c r="D11" s="256" t="s">
        <v>19</v>
      </c>
      <c r="E11" s="256" t="s">
        <v>20</v>
      </c>
      <c r="F11" s="258">
        <v>160.1</v>
      </c>
      <c r="G11" s="259">
        <f>41.08</f>
        <v>41.08</v>
      </c>
      <c r="H11" s="259">
        <f t="shared" si="0"/>
        <v>52.315379999999998</v>
      </c>
      <c r="I11" s="259">
        <f t="shared" si="1"/>
        <v>8375.6923379999989</v>
      </c>
      <c r="J11" s="4">
        <v>152</v>
      </c>
      <c r="K11" s="20">
        <f>'[4]MEMORIA BM 06'!E13</f>
        <v>0</v>
      </c>
      <c r="L11" s="287">
        <f t="shared" ref="L11:L12" si="7">K11+J11</f>
        <v>152</v>
      </c>
      <c r="M11" s="260">
        <f t="shared" si="2"/>
        <v>7951.9377599999998</v>
      </c>
      <c r="N11" s="260">
        <f t="shared" si="3"/>
        <v>0</v>
      </c>
      <c r="O11" s="261">
        <f t="shared" si="4"/>
        <v>7951.9377599999998</v>
      </c>
      <c r="P11" s="262">
        <f t="shared" si="5"/>
        <v>423.75457799999913</v>
      </c>
      <c r="Q11" s="263">
        <f t="shared" si="6"/>
        <v>0.94940662086196137</v>
      </c>
    </row>
    <row r="12" spans="1:17" ht="25.5">
      <c r="A12" s="255" t="s">
        <v>21</v>
      </c>
      <c r="B12" s="256" t="s">
        <v>22</v>
      </c>
      <c r="C12" s="257" t="s">
        <v>23</v>
      </c>
      <c r="D12" s="256" t="s">
        <v>10</v>
      </c>
      <c r="E12" s="256" t="s">
        <v>15</v>
      </c>
      <c r="F12" s="258">
        <v>1</v>
      </c>
      <c r="G12" s="259">
        <f>2055.31</f>
        <v>2055.31</v>
      </c>
      <c r="H12" s="259">
        <f t="shared" si="0"/>
        <v>2617.437285</v>
      </c>
      <c r="I12" s="259">
        <f t="shared" si="1"/>
        <v>2617.437285</v>
      </c>
      <c r="J12" s="4">
        <v>1</v>
      </c>
      <c r="K12" s="20">
        <f>'[4]MEMORIA BM 06'!E14</f>
        <v>0</v>
      </c>
      <c r="L12" s="287">
        <f t="shared" si="7"/>
        <v>1</v>
      </c>
      <c r="M12" s="260">
        <f t="shared" si="2"/>
        <v>2617.437285</v>
      </c>
      <c r="N12" s="260">
        <f t="shared" si="3"/>
        <v>0</v>
      </c>
      <c r="O12" s="261">
        <f t="shared" si="4"/>
        <v>2617.437285</v>
      </c>
      <c r="P12" s="262">
        <f t="shared" si="5"/>
        <v>0</v>
      </c>
      <c r="Q12" s="263">
        <f t="shared" si="6"/>
        <v>1</v>
      </c>
    </row>
    <row r="13" spans="1:17" s="3" customFormat="1">
      <c r="A13" s="264"/>
      <c r="B13" s="2"/>
      <c r="C13" s="118"/>
      <c r="D13" s="2"/>
      <c r="E13" s="2"/>
      <c r="F13" s="265"/>
      <c r="G13" s="266"/>
      <c r="H13" s="266"/>
      <c r="I13" s="267">
        <f>SUM(I9:I12)</f>
        <v>28863.136322999999</v>
      </c>
      <c r="J13" s="268"/>
      <c r="K13" s="268"/>
      <c r="L13" s="287"/>
      <c r="M13" s="267">
        <f>SUM(M9:M12)</f>
        <v>28439.381745000002</v>
      </c>
      <c r="N13" s="267">
        <f>SUM(N9:N12)</f>
        <v>0</v>
      </c>
      <c r="O13" s="267">
        <f>SUM(O9:O12)</f>
        <v>28439.381745000002</v>
      </c>
      <c r="P13" s="269">
        <f t="shared" si="5"/>
        <v>423.7545779999964</v>
      </c>
      <c r="Q13" s="263">
        <f t="shared" si="6"/>
        <v>0.98531848468378946</v>
      </c>
    </row>
    <row r="14" spans="1:17">
      <c r="A14" s="254" t="s">
        <v>24</v>
      </c>
      <c r="B14" s="412" t="s">
        <v>25</v>
      </c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57"/>
      <c r="Q14" s="263"/>
    </row>
    <row r="15" spans="1:17" ht="38.25">
      <c r="A15" s="255" t="s">
        <v>26</v>
      </c>
      <c r="B15" s="256" t="s">
        <v>27</v>
      </c>
      <c r="C15" s="257" t="s">
        <v>28</v>
      </c>
      <c r="D15" s="256" t="s">
        <v>19</v>
      </c>
      <c r="E15" s="256" t="s">
        <v>29</v>
      </c>
      <c r="F15" s="258">
        <v>477.87</v>
      </c>
      <c r="G15" s="259">
        <v>30.08</v>
      </c>
      <c r="H15" s="259">
        <f t="shared" ref="H15:H17" si="8">G15*$Q$9</f>
        <v>38.30688</v>
      </c>
      <c r="I15" s="259">
        <f t="shared" ref="I15:I17" si="9">F15*H15</f>
        <v>18305.708745600001</v>
      </c>
      <c r="J15" s="4">
        <v>477.87</v>
      </c>
      <c r="K15" s="20">
        <f>'[4]MEMORIA BM 06'!E16</f>
        <v>0</v>
      </c>
      <c r="L15" s="288">
        <f>K15+J15</f>
        <v>477.87</v>
      </c>
      <c r="M15" s="260">
        <f t="shared" ref="M15:M17" si="10">J15*H15</f>
        <v>18305.708745600001</v>
      </c>
      <c r="N15" s="260">
        <f t="shared" ref="N15:N17" si="11">H15*K15</f>
        <v>0</v>
      </c>
      <c r="O15" s="261">
        <f>N15+M15</f>
        <v>18305.708745600001</v>
      </c>
      <c r="P15" s="262">
        <f>I15-O15</f>
        <v>0</v>
      </c>
      <c r="Q15" s="263">
        <f t="shared" si="6"/>
        <v>1</v>
      </c>
    </row>
    <row r="16" spans="1:17" ht="38.25">
      <c r="A16" s="255" t="s">
        <v>30</v>
      </c>
      <c r="B16" s="256" t="s">
        <v>31</v>
      </c>
      <c r="C16" s="257" t="s">
        <v>32</v>
      </c>
      <c r="D16" s="256" t="s">
        <v>19</v>
      </c>
      <c r="E16" s="256" t="s">
        <v>29</v>
      </c>
      <c r="F16" s="258">
        <v>139.80000000000001</v>
      </c>
      <c r="G16" s="259">
        <v>63.46</v>
      </c>
      <c r="H16" s="259">
        <f t="shared" si="8"/>
        <v>80.816310000000001</v>
      </c>
      <c r="I16" s="259">
        <f t="shared" si="9"/>
        <v>11298.120138</v>
      </c>
      <c r="J16" s="4">
        <v>139.80000000000001</v>
      </c>
      <c r="K16" s="20">
        <f>'[4]MEMORIA BM 06'!E17</f>
        <v>0</v>
      </c>
      <c r="L16" s="288">
        <f t="shared" ref="L16:L17" si="12">K16+J16</f>
        <v>139.80000000000001</v>
      </c>
      <c r="M16" s="260">
        <f t="shared" si="10"/>
        <v>11298.120138</v>
      </c>
      <c r="N16" s="260">
        <f t="shared" si="11"/>
        <v>0</v>
      </c>
      <c r="O16" s="261">
        <f t="shared" ref="O16:O17" si="13">N16+M16</f>
        <v>11298.120138</v>
      </c>
      <c r="P16" s="262">
        <f t="shared" ref="P16:P18" si="14">I16-O16</f>
        <v>0</v>
      </c>
      <c r="Q16" s="263">
        <f t="shared" si="6"/>
        <v>1</v>
      </c>
    </row>
    <row r="17" spans="1:17" ht="38.25">
      <c r="A17" s="255" t="s">
        <v>33</v>
      </c>
      <c r="B17" s="256" t="s">
        <v>27</v>
      </c>
      <c r="C17" s="257" t="s">
        <v>28</v>
      </c>
      <c r="D17" s="256" t="s">
        <v>19</v>
      </c>
      <c r="E17" s="256" t="s">
        <v>29</v>
      </c>
      <c r="F17" s="258">
        <v>244.58</v>
      </c>
      <c r="G17" s="259">
        <v>30.08</v>
      </c>
      <c r="H17" s="259">
        <f t="shared" si="8"/>
        <v>38.30688</v>
      </c>
      <c r="I17" s="259">
        <f t="shared" si="9"/>
        <v>9369.096710400001</v>
      </c>
      <c r="J17" s="4">
        <v>244.58</v>
      </c>
      <c r="K17" s="20">
        <f>'[4]MEMORIA BM 06'!E18</f>
        <v>0</v>
      </c>
      <c r="L17" s="288">
        <f t="shared" si="12"/>
        <v>244.58</v>
      </c>
      <c r="M17" s="260">
        <f t="shared" si="10"/>
        <v>9369.096710400001</v>
      </c>
      <c r="N17" s="260">
        <f t="shared" si="11"/>
        <v>0</v>
      </c>
      <c r="O17" s="261">
        <f t="shared" si="13"/>
        <v>9369.096710400001</v>
      </c>
      <c r="P17" s="262">
        <f t="shared" si="14"/>
        <v>0</v>
      </c>
      <c r="Q17" s="263">
        <f t="shared" si="6"/>
        <v>1</v>
      </c>
    </row>
    <row r="18" spans="1:17">
      <c r="A18" s="264"/>
      <c r="B18" s="2"/>
      <c r="C18" s="118"/>
      <c r="D18" s="2"/>
      <c r="E18" s="2"/>
      <c r="F18" s="265"/>
      <c r="G18" s="266"/>
      <c r="H18" s="266"/>
      <c r="I18" s="267">
        <f>SUM(I15:I17)</f>
        <v>38972.925594</v>
      </c>
      <c r="J18" s="268"/>
      <c r="K18" s="268"/>
      <c r="L18" s="287"/>
      <c r="M18" s="267">
        <f>SUM(M15:M17)</f>
        <v>38972.925594</v>
      </c>
      <c r="N18" s="267">
        <f>SUM(N15:N17)</f>
        <v>0</v>
      </c>
      <c r="O18" s="267">
        <f>SUM(O15:O17)</f>
        <v>38972.925594</v>
      </c>
      <c r="P18" s="269">
        <f t="shared" si="14"/>
        <v>0</v>
      </c>
      <c r="Q18" s="263">
        <f t="shared" si="6"/>
        <v>1</v>
      </c>
    </row>
    <row r="19" spans="1:17">
      <c r="A19" s="254" t="s">
        <v>34</v>
      </c>
      <c r="B19" s="412" t="s">
        <v>35</v>
      </c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57"/>
      <c r="Q19" s="263"/>
    </row>
    <row r="20" spans="1:17" ht="51">
      <c r="A20" s="255" t="s">
        <v>36</v>
      </c>
      <c r="B20" s="256" t="s">
        <v>37</v>
      </c>
      <c r="C20" s="257" t="s">
        <v>38</v>
      </c>
      <c r="D20" s="256" t="s">
        <v>19</v>
      </c>
      <c r="E20" s="256" t="s">
        <v>29</v>
      </c>
      <c r="F20" s="258">
        <v>5.42</v>
      </c>
      <c r="G20" s="259">
        <v>242.41</v>
      </c>
      <c r="H20" s="259">
        <f t="shared" ref="H20:H27" si="15">G20*$Q$9</f>
        <v>308.709135</v>
      </c>
      <c r="I20" s="259">
        <f t="shared" ref="I20:I27" si="16">F20*H20</f>
        <v>1673.2035117</v>
      </c>
      <c r="J20" s="4">
        <v>5.42</v>
      </c>
      <c r="K20" s="20">
        <f>'[4]MEMORIA BM 06'!E20</f>
        <v>0</v>
      </c>
      <c r="L20" s="288">
        <f>K20+J20</f>
        <v>5.42</v>
      </c>
      <c r="M20" s="260">
        <f t="shared" ref="M20:M27" si="17">J20*H20</f>
        <v>1673.2035117</v>
      </c>
      <c r="N20" s="260">
        <f t="shared" ref="N20:N27" si="18">H20*K20</f>
        <v>0</v>
      </c>
      <c r="O20" s="261">
        <f>N20+M20</f>
        <v>1673.2035117</v>
      </c>
      <c r="P20" s="262">
        <f>I20-O20</f>
        <v>0</v>
      </c>
      <c r="Q20" s="263">
        <f t="shared" si="6"/>
        <v>1</v>
      </c>
    </row>
    <row r="21" spans="1:17" ht="25.5">
      <c r="A21" s="255" t="s">
        <v>39</v>
      </c>
      <c r="B21" s="256" t="s">
        <v>40</v>
      </c>
      <c r="C21" s="257" t="s">
        <v>41</v>
      </c>
      <c r="D21" s="256" t="s">
        <v>10</v>
      </c>
      <c r="E21" s="256" t="s">
        <v>42</v>
      </c>
      <c r="F21" s="258">
        <v>476.29</v>
      </c>
      <c r="G21" s="259">
        <v>58.96</v>
      </c>
      <c r="H21" s="259">
        <f t="shared" si="15"/>
        <v>75.085560000000001</v>
      </c>
      <c r="I21" s="259">
        <f t="shared" si="16"/>
        <v>35762.501372400002</v>
      </c>
      <c r="J21" s="14">
        <v>470.8</v>
      </c>
      <c r="K21" s="20">
        <f>'[4]MEMORIA BM 06'!E21</f>
        <v>0</v>
      </c>
      <c r="L21" s="288">
        <f t="shared" ref="L21:L27" si="19">K21+J21</f>
        <v>470.8</v>
      </c>
      <c r="M21" s="260">
        <f t="shared" si="17"/>
        <v>35350.281648000004</v>
      </c>
      <c r="N21" s="260">
        <f t="shared" si="18"/>
        <v>0</v>
      </c>
      <c r="O21" s="261">
        <f t="shared" ref="O21:O27" si="20">N21+M21</f>
        <v>35350.281648000004</v>
      </c>
      <c r="P21" s="262">
        <f t="shared" ref="P21:P28" si="21">I21-O21</f>
        <v>412.21972439999809</v>
      </c>
      <c r="Q21" s="263">
        <f t="shared" si="6"/>
        <v>0.98847340905750702</v>
      </c>
    </row>
    <row r="22" spans="1:17" ht="38.25">
      <c r="A22" s="255" t="s">
        <v>43</v>
      </c>
      <c r="B22" s="256" t="s">
        <v>44</v>
      </c>
      <c r="C22" s="257" t="s">
        <v>45</v>
      </c>
      <c r="D22" s="256" t="s">
        <v>19</v>
      </c>
      <c r="E22" s="256" t="s">
        <v>46</v>
      </c>
      <c r="F22" s="258">
        <v>11.12</v>
      </c>
      <c r="G22" s="259">
        <v>15.84</v>
      </c>
      <c r="H22" s="259">
        <f t="shared" si="15"/>
        <v>20.172240000000002</v>
      </c>
      <c r="I22" s="259">
        <f t="shared" si="16"/>
        <v>224.3153088</v>
      </c>
      <c r="J22" s="4"/>
      <c r="K22" s="20">
        <f>'[4]MEMORIA BM 06'!E22</f>
        <v>0</v>
      </c>
      <c r="L22" s="287">
        <f t="shared" si="19"/>
        <v>0</v>
      </c>
      <c r="M22" s="260">
        <f t="shared" si="17"/>
        <v>0</v>
      </c>
      <c r="N22" s="260">
        <f t="shared" si="18"/>
        <v>0</v>
      </c>
      <c r="O22" s="261">
        <f t="shared" si="20"/>
        <v>0</v>
      </c>
      <c r="P22" s="262">
        <f t="shared" si="21"/>
        <v>224.3153088</v>
      </c>
      <c r="Q22" s="263">
        <f t="shared" si="6"/>
        <v>0</v>
      </c>
    </row>
    <row r="23" spans="1:17" ht="38.25">
      <c r="A23" s="255" t="s">
        <v>47</v>
      </c>
      <c r="B23" s="256" t="s">
        <v>48</v>
      </c>
      <c r="C23" s="257" t="s">
        <v>49</v>
      </c>
      <c r="D23" s="256" t="s">
        <v>19</v>
      </c>
      <c r="E23" s="256" t="s">
        <v>46</v>
      </c>
      <c r="F23" s="258">
        <v>2763.11</v>
      </c>
      <c r="G23" s="259">
        <v>13.6</v>
      </c>
      <c r="H23" s="259">
        <f t="shared" si="15"/>
        <v>17.319600000000001</v>
      </c>
      <c r="I23" s="259">
        <f t="shared" si="16"/>
        <v>47855.959956000006</v>
      </c>
      <c r="J23" s="14">
        <v>1986.92</v>
      </c>
      <c r="K23" s="20">
        <f>'[4]MEMORIA BM 06'!E23</f>
        <v>0</v>
      </c>
      <c r="L23" s="288">
        <f t="shared" si="19"/>
        <v>1986.92</v>
      </c>
      <c r="M23" s="260">
        <f t="shared" si="17"/>
        <v>34412.659632000003</v>
      </c>
      <c r="N23" s="260">
        <f t="shared" si="18"/>
        <v>0</v>
      </c>
      <c r="O23" s="261">
        <f t="shared" si="20"/>
        <v>34412.659632000003</v>
      </c>
      <c r="P23" s="262">
        <f t="shared" si="21"/>
        <v>13443.300324000003</v>
      </c>
      <c r="Q23" s="263">
        <f t="shared" si="6"/>
        <v>0.71908827372055395</v>
      </c>
    </row>
    <row r="24" spans="1:17" ht="38.25">
      <c r="A24" s="255" t="s">
        <v>50</v>
      </c>
      <c r="B24" s="256" t="s">
        <v>51</v>
      </c>
      <c r="C24" s="257" t="s">
        <v>52</v>
      </c>
      <c r="D24" s="256" t="s">
        <v>19</v>
      </c>
      <c r="E24" s="256" t="s">
        <v>46</v>
      </c>
      <c r="F24" s="258">
        <v>397.04</v>
      </c>
      <c r="G24" s="259">
        <v>11.57</v>
      </c>
      <c r="H24" s="259">
        <f t="shared" si="15"/>
        <v>14.734395000000001</v>
      </c>
      <c r="I24" s="259">
        <f t="shared" si="16"/>
        <v>5850.1441908000006</v>
      </c>
      <c r="J24" s="4"/>
      <c r="K24" s="20">
        <f>'[4]MEMORIA BM 06'!E24</f>
        <v>0</v>
      </c>
      <c r="L24" s="287">
        <f t="shared" si="19"/>
        <v>0</v>
      </c>
      <c r="M24" s="260">
        <f t="shared" si="17"/>
        <v>0</v>
      </c>
      <c r="N24" s="260">
        <f t="shared" si="18"/>
        <v>0</v>
      </c>
      <c r="O24" s="261">
        <f t="shared" si="20"/>
        <v>0</v>
      </c>
      <c r="P24" s="262">
        <f t="shared" si="21"/>
        <v>5850.1441908000006</v>
      </c>
      <c r="Q24" s="263">
        <f t="shared" si="6"/>
        <v>0</v>
      </c>
    </row>
    <row r="25" spans="1:17" ht="38.25">
      <c r="A25" s="255" t="s">
        <v>53</v>
      </c>
      <c r="B25" s="256" t="s">
        <v>54</v>
      </c>
      <c r="C25" s="257" t="s">
        <v>55</v>
      </c>
      <c r="D25" s="256" t="s">
        <v>19</v>
      </c>
      <c r="E25" s="256" t="s">
        <v>46</v>
      </c>
      <c r="F25" s="258">
        <v>437.7</v>
      </c>
      <c r="G25" s="259">
        <v>16.47</v>
      </c>
      <c r="H25" s="259">
        <f t="shared" si="15"/>
        <v>20.974544999999999</v>
      </c>
      <c r="I25" s="259">
        <f t="shared" si="16"/>
        <v>9180.5583465</v>
      </c>
      <c r="J25" s="4">
        <v>395.47</v>
      </c>
      <c r="K25" s="20">
        <f>'[4]MEMORIA BM 06'!E25</f>
        <v>0</v>
      </c>
      <c r="L25" s="287">
        <f t="shared" si="19"/>
        <v>395.47</v>
      </c>
      <c r="M25" s="260">
        <f t="shared" si="17"/>
        <v>8294.8033111500008</v>
      </c>
      <c r="N25" s="260">
        <f t="shared" si="18"/>
        <v>0</v>
      </c>
      <c r="O25" s="261">
        <f t="shared" si="20"/>
        <v>8294.8033111500008</v>
      </c>
      <c r="P25" s="262">
        <f t="shared" si="21"/>
        <v>885.75503534999916</v>
      </c>
      <c r="Q25" s="263">
        <f t="shared" si="6"/>
        <v>0.90351839159241498</v>
      </c>
    </row>
    <row r="26" spans="1:17" ht="51">
      <c r="A26" s="255" t="s">
        <v>56</v>
      </c>
      <c r="B26" s="256" t="s">
        <v>57</v>
      </c>
      <c r="C26" s="257" t="s">
        <v>58</v>
      </c>
      <c r="D26" s="256" t="s">
        <v>19</v>
      </c>
      <c r="E26" s="256" t="s">
        <v>29</v>
      </c>
      <c r="F26" s="258">
        <v>65.67</v>
      </c>
      <c r="G26" s="259">
        <v>301.79000000000002</v>
      </c>
      <c r="H26" s="259">
        <f t="shared" si="15"/>
        <v>384.32956500000006</v>
      </c>
      <c r="I26" s="259">
        <f t="shared" si="16"/>
        <v>25238.922533550005</v>
      </c>
      <c r="J26" s="4">
        <v>49.87</v>
      </c>
      <c r="K26" s="20">
        <f>'[4]MEMORIA BM 06'!E26</f>
        <v>0</v>
      </c>
      <c r="L26" s="288">
        <f t="shared" si="19"/>
        <v>49.87</v>
      </c>
      <c r="M26" s="260">
        <f>J26*H26</f>
        <v>19166.515406550003</v>
      </c>
      <c r="N26" s="260">
        <f t="shared" si="18"/>
        <v>0</v>
      </c>
      <c r="O26" s="261">
        <f t="shared" si="20"/>
        <v>19166.515406550003</v>
      </c>
      <c r="P26" s="262">
        <f t="shared" si="21"/>
        <v>6072.4071270000022</v>
      </c>
      <c r="Q26" s="263">
        <f t="shared" si="6"/>
        <v>0.75940307598599055</v>
      </c>
    </row>
    <row r="27" spans="1:17" ht="38.25">
      <c r="A27" s="255" t="s">
        <v>59</v>
      </c>
      <c r="B27" s="256" t="s">
        <v>60</v>
      </c>
      <c r="C27" s="257" t="s">
        <v>61</v>
      </c>
      <c r="D27" s="256" t="s">
        <v>19</v>
      </c>
      <c r="E27" s="256" t="s">
        <v>29</v>
      </c>
      <c r="F27" s="258">
        <v>65.67</v>
      </c>
      <c r="G27" s="259">
        <v>23.69</v>
      </c>
      <c r="H27" s="259">
        <f t="shared" si="15"/>
        <v>30.169215000000005</v>
      </c>
      <c r="I27" s="259">
        <f t="shared" si="16"/>
        <v>1981.2123490500003</v>
      </c>
      <c r="J27" s="4">
        <v>49.87</v>
      </c>
      <c r="K27" s="20">
        <f>'[4]MEMORIA BM 06'!E27</f>
        <v>0</v>
      </c>
      <c r="L27" s="288">
        <f t="shared" si="19"/>
        <v>49.87</v>
      </c>
      <c r="M27" s="260">
        <f t="shared" si="17"/>
        <v>1504.5387520500001</v>
      </c>
      <c r="N27" s="260">
        <f t="shared" si="18"/>
        <v>0</v>
      </c>
      <c r="O27" s="261">
        <f t="shared" si="20"/>
        <v>1504.5387520500001</v>
      </c>
      <c r="P27" s="262">
        <f t="shared" si="21"/>
        <v>476.6735970000002</v>
      </c>
      <c r="Q27" s="263">
        <f t="shared" si="6"/>
        <v>0.75940307598599044</v>
      </c>
    </row>
    <row r="28" spans="1:17">
      <c r="A28" s="264"/>
      <c r="B28" s="2"/>
      <c r="C28" s="118"/>
      <c r="D28" s="2"/>
      <c r="E28" s="2"/>
      <c r="F28" s="265"/>
      <c r="G28" s="266"/>
      <c r="H28" s="266"/>
      <c r="I28" s="267">
        <f>SUM(I20:I27)</f>
        <v>127766.8175688</v>
      </c>
      <c r="J28" s="268"/>
      <c r="K28" s="268"/>
      <c r="L28" s="287"/>
      <c r="M28" s="267">
        <f>SUM(M20:M27)</f>
        <v>100402.00226144999</v>
      </c>
      <c r="N28" s="267">
        <f>SUM(N20:N27)</f>
        <v>0</v>
      </c>
      <c r="O28" s="267">
        <f>SUM(O20:O27)</f>
        <v>100402.00226144999</v>
      </c>
      <c r="P28" s="269">
        <f t="shared" si="21"/>
        <v>27364.815307350014</v>
      </c>
      <c r="Q28" s="263">
        <f t="shared" si="6"/>
        <v>0.7858222046376433</v>
      </c>
    </row>
    <row r="29" spans="1:17">
      <c r="A29" s="254" t="s">
        <v>62</v>
      </c>
      <c r="B29" s="412" t="s">
        <v>63</v>
      </c>
      <c r="C29" s="412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57"/>
      <c r="Q29" s="263"/>
    </row>
    <row r="30" spans="1:17" ht="76.5">
      <c r="A30" s="255" t="s">
        <v>64</v>
      </c>
      <c r="B30" s="256" t="s">
        <v>65</v>
      </c>
      <c r="C30" s="257" t="s">
        <v>66</v>
      </c>
      <c r="D30" s="256" t="s">
        <v>19</v>
      </c>
      <c r="E30" s="256" t="s">
        <v>67</v>
      </c>
      <c r="F30" s="258">
        <v>1094.53</v>
      </c>
      <c r="G30" s="259">
        <v>52.58</v>
      </c>
      <c r="H30" s="259">
        <f t="shared" ref="H30:H32" si="22">G30*$Q$9</f>
        <v>66.960629999999995</v>
      </c>
      <c r="I30" s="259">
        <f t="shared" ref="I30:I32" si="23">F30*H30</f>
        <v>73290.418353899993</v>
      </c>
      <c r="J30" s="4">
        <v>870.06700000000001</v>
      </c>
      <c r="K30" s="270">
        <f>'[4]MEMORIA BM 06'!E29</f>
        <v>129.72</v>
      </c>
      <c r="L30" s="287">
        <f>K30+J30</f>
        <v>999.78700000000003</v>
      </c>
      <c r="M30" s="260">
        <f t="shared" ref="M30:M32" si="24">J30*H30</f>
        <v>58260.234462209999</v>
      </c>
      <c r="N30" s="271">
        <f t="shared" ref="N30:N32" si="25">H30*K30</f>
        <v>8686.1329236000001</v>
      </c>
      <c r="O30" s="261">
        <f>N30+M30</f>
        <v>66946.367385809994</v>
      </c>
      <c r="P30" s="262">
        <f>I30-O30</f>
        <v>6344.0509680899995</v>
      </c>
      <c r="Q30" s="263">
        <f t="shared" si="6"/>
        <v>0.91343955853197267</v>
      </c>
    </row>
    <row r="31" spans="1:17" ht="51">
      <c r="A31" s="255" t="s">
        <v>68</v>
      </c>
      <c r="B31" s="256" t="s">
        <v>69</v>
      </c>
      <c r="C31" s="257" t="s">
        <v>70</v>
      </c>
      <c r="D31" s="256" t="s">
        <v>19</v>
      </c>
      <c r="E31" s="256" t="s">
        <v>67</v>
      </c>
      <c r="F31" s="258">
        <v>16</v>
      </c>
      <c r="G31" s="259">
        <v>133.55000000000001</v>
      </c>
      <c r="H31" s="259">
        <f t="shared" si="22"/>
        <v>170.07592500000001</v>
      </c>
      <c r="I31" s="259">
        <f t="shared" si="23"/>
        <v>2721.2148000000002</v>
      </c>
      <c r="J31" s="4">
        <v>16</v>
      </c>
      <c r="K31" s="20">
        <f>'[4]MEMORIA BM 06'!E30</f>
        <v>0</v>
      </c>
      <c r="L31" s="287">
        <f t="shared" ref="L31:L32" si="26">K31+J31</f>
        <v>16</v>
      </c>
      <c r="M31" s="260">
        <f t="shared" si="24"/>
        <v>2721.2148000000002</v>
      </c>
      <c r="N31" s="260">
        <f t="shared" si="25"/>
        <v>0</v>
      </c>
      <c r="O31" s="261">
        <f t="shared" ref="O31:O32" si="27">N31+M31</f>
        <v>2721.2148000000002</v>
      </c>
      <c r="P31" s="262">
        <f t="shared" ref="P31:P33" si="28">I31-O31</f>
        <v>0</v>
      </c>
      <c r="Q31" s="263">
        <f t="shared" si="6"/>
        <v>1</v>
      </c>
    </row>
    <row r="32" spans="1:17" ht="76.5">
      <c r="A32" s="255" t="s">
        <v>71</v>
      </c>
      <c r="B32" s="256" t="s">
        <v>65</v>
      </c>
      <c r="C32" s="257" t="s">
        <v>66</v>
      </c>
      <c r="D32" s="256" t="s">
        <v>19</v>
      </c>
      <c r="E32" s="256" t="s">
        <v>67</v>
      </c>
      <c r="F32" s="258">
        <v>183</v>
      </c>
      <c r="G32" s="259">
        <v>52.58</v>
      </c>
      <c r="H32" s="259">
        <f t="shared" si="22"/>
        <v>66.960629999999995</v>
      </c>
      <c r="I32" s="259">
        <f t="shared" si="23"/>
        <v>12253.795289999998</v>
      </c>
      <c r="J32" s="19"/>
      <c r="K32" s="270">
        <f>'[4]MEMORIA BM 06'!E31</f>
        <v>167.4</v>
      </c>
      <c r="L32" s="287">
        <f t="shared" si="26"/>
        <v>167.4</v>
      </c>
      <c r="M32" s="260">
        <f t="shared" si="24"/>
        <v>0</v>
      </c>
      <c r="N32" s="271">
        <f t="shared" si="25"/>
        <v>11209.209461999999</v>
      </c>
      <c r="O32" s="261">
        <f t="shared" si="27"/>
        <v>11209.209461999999</v>
      </c>
      <c r="P32" s="262">
        <f t="shared" si="28"/>
        <v>1044.5858279999993</v>
      </c>
      <c r="Q32" s="263">
        <f t="shared" si="6"/>
        <v>0.9147540983606558</v>
      </c>
    </row>
    <row r="33" spans="1:17">
      <c r="A33" s="264"/>
      <c r="B33" s="2"/>
      <c r="C33" s="118"/>
      <c r="D33" s="2"/>
      <c r="E33" s="2"/>
      <c r="F33" s="265"/>
      <c r="G33" s="266"/>
      <c r="H33" s="266"/>
      <c r="I33" s="267">
        <f>SUM(I30:I32)</f>
        <v>88265.428443899989</v>
      </c>
      <c r="J33" s="268"/>
      <c r="K33" s="268"/>
      <c r="L33" s="287"/>
      <c r="M33" s="267">
        <f>SUM(M30:M32)</f>
        <v>60981.449262210001</v>
      </c>
      <c r="N33" s="267">
        <f>SUM(N30:N32)</f>
        <v>19895.342385600001</v>
      </c>
      <c r="O33" s="267">
        <f>SUM(O30:O32)</f>
        <v>80876.791647809994</v>
      </c>
      <c r="P33" s="269">
        <f t="shared" si="28"/>
        <v>7388.6367960899952</v>
      </c>
      <c r="Q33" s="263">
        <f t="shared" si="6"/>
        <v>0.91629070490734565</v>
      </c>
    </row>
    <row r="34" spans="1:17">
      <c r="A34" s="254" t="s">
        <v>72</v>
      </c>
      <c r="B34" s="412" t="s">
        <v>73</v>
      </c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57"/>
      <c r="Q34" s="263"/>
    </row>
    <row r="35" spans="1:17" ht="38.25">
      <c r="A35" s="255" t="s">
        <v>74</v>
      </c>
      <c r="B35" s="256" t="s">
        <v>75</v>
      </c>
      <c r="C35" s="257" t="s">
        <v>76</v>
      </c>
      <c r="D35" s="256" t="s">
        <v>10</v>
      </c>
      <c r="E35" s="256" t="s">
        <v>11</v>
      </c>
      <c r="F35" s="258">
        <v>774.39</v>
      </c>
      <c r="G35" s="259">
        <v>49.07</v>
      </c>
      <c r="H35" s="259">
        <f t="shared" ref="H35:H46" si="29">G35*$Q$9</f>
        <v>62.490645000000001</v>
      </c>
      <c r="I35" s="259">
        <f t="shared" ref="I35:I44" si="30">F35*H35</f>
        <v>48392.130581550002</v>
      </c>
      <c r="J35" s="4">
        <v>668.71</v>
      </c>
      <c r="K35" s="20">
        <v>0</v>
      </c>
      <c r="L35" s="287">
        <f>K35+J35</f>
        <v>668.71</v>
      </c>
      <c r="M35" s="260">
        <f t="shared" ref="M35:M44" si="31">J35*H35</f>
        <v>41788.119217949999</v>
      </c>
      <c r="N35" s="260">
        <f t="shared" ref="N35:N44" si="32">H35*K35</f>
        <v>0</v>
      </c>
      <c r="O35" s="261">
        <f>N35+M35</f>
        <v>41788.119217949999</v>
      </c>
      <c r="P35" s="262">
        <f>I35-O35</f>
        <v>6604.0113636000024</v>
      </c>
      <c r="Q35" s="263">
        <f t="shared" si="6"/>
        <v>0.86353129560040798</v>
      </c>
    </row>
    <row r="36" spans="1:17" ht="51">
      <c r="A36" s="255" t="s">
        <v>77</v>
      </c>
      <c r="B36" s="256" t="s">
        <v>78</v>
      </c>
      <c r="C36" s="257" t="s">
        <v>79</v>
      </c>
      <c r="D36" s="256" t="s">
        <v>19</v>
      </c>
      <c r="E36" s="256" t="s">
        <v>46</v>
      </c>
      <c r="F36" s="258">
        <v>13.48</v>
      </c>
      <c r="G36" s="259">
        <v>15.87</v>
      </c>
      <c r="H36" s="259">
        <f t="shared" si="29"/>
        <v>20.210445</v>
      </c>
      <c r="I36" s="259">
        <f t="shared" si="30"/>
        <v>272.43679860000003</v>
      </c>
      <c r="J36" s="4">
        <v>8.0399999999999991</v>
      </c>
      <c r="K36" s="20">
        <v>0</v>
      </c>
      <c r="L36" s="287">
        <f t="shared" ref="L36:L44" si="33">K36+J36</f>
        <v>8.0399999999999991</v>
      </c>
      <c r="M36" s="260">
        <f t="shared" si="31"/>
        <v>162.49197779999997</v>
      </c>
      <c r="N36" s="260">
        <f t="shared" si="32"/>
        <v>0</v>
      </c>
      <c r="O36" s="261">
        <f t="shared" ref="O36:O44" si="34">N36+M36</f>
        <v>162.49197779999997</v>
      </c>
      <c r="P36" s="262">
        <f t="shared" ref="P36:P44" si="35">I36-O36</f>
        <v>109.94482080000006</v>
      </c>
      <c r="Q36" s="263">
        <f t="shared" si="6"/>
        <v>0.59643916913946571</v>
      </c>
    </row>
    <row r="37" spans="1:17" ht="51">
      <c r="A37" s="255" t="s">
        <v>80</v>
      </c>
      <c r="B37" s="256" t="s">
        <v>81</v>
      </c>
      <c r="C37" s="257" t="s">
        <v>82</v>
      </c>
      <c r="D37" s="256" t="s">
        <v>19</v>
      </c>
      <c r="E37" s="256" t="s">
        <v>46</v>
      </c>
      <c r="F37" s="258">
        <v>2421.11</v>
      </c>
      <c r="G37" s="259">
        <v>13.56</v>
      </c>
      <c r="H37" s="259">
        <f t="shared" si="29"/>
        <v>17.268660000000001</v>
      </c>
      <c r="I37" s="259">
        <f t="shared" si="30"/>
        <v>41809.325412600003</v>
      </c>
      <c r="J37" s="4">
        <v>2421.11</v>
      </c>
      <c r="K37" s="20">
        <v>0</v>
      </c>
      <c r="L37" s="287">
        <f t="shared" si="33"/>
        <v>2421.11</v>
      </c>
      <c r="M37" s="260">
        <f t="shared" si="31"/>
        <v>41809.325412600003</v>
      </c>
      <c r="N37" s="260">
        <f t="shared" si="32"/>
        <v>0</v>
      </c>
      <c r="O37" s="261">
        <f t="shared" si="34"/>
        <v>41809.325412600003</v>
      </c>
      <c r="P37" s="262">
        <f t="shared" si="35"/>
        <v>0</v>
      </c>
      <c r="Q37" s="263">
        <f t="shared" si="6"/>
        <v>1</v>
      </c>
    </row>
    <row r="38" spans="1:17" ht="51">
      <c r="A38" s="255" t="s">
        <v>83</v>
      </c>
      <c r="B38" s="256" t="s">
        <v>84</v>
      </c>
      <c r="C38" s="257" t="s">
        <v>85</v>
      </c>
      <c r="D38" s="256" t="s">
        <v>19</v>
      </c>
      <c r="E38" s="256" t="s">
        <v>46</v>
      </c>
      <c r="F38" s="258">
        <v>632.69000000000005</v>
      </c>
      <c r="G38" s="259">
        <v>11.47</v>
      </c>
      <c r="H38" s="259">
        <f t="shared" si="29"/>
        <v>14.607045000000001</v>
      </c>
      <c r="I38" s="259">
        <f t="shared" si="30"/>
        <v>9241.731301050002</v>
      </c>
      <c r="J38" s="4">
        <v>447.35</v>
      </c>
      <c r="K38" s="20">
        <v>0</v>
      </c>
      <c r="L38" s="287">
        <f t="shared" si="33"/>
        <v>447.35</v>
      </c>
      <c r="M38" s="260">
        <f t="shared" si="31"/>
        <v>6534.4615807500013</v>
      </c>
      <c r="N38" s="260">
        <f t="shared" si="32"/>
        <v>0</v>
      </c>
      <c r="O38" s="261">
        <f t="shared" si="34"/>
        <v>6534.4615807500013</v>
      </c>
      <c r="P38" s="262">
        <f t="shared" si="35"/>
        <v>2707.2697203000007</v>
      </c>
      <c r="Q38" s="263">
        <f t="shared" si="6"/>
        <v>0.70706032970333021</v>
      </c>
    </row>
    <row r="39" spans="1:17" ht="51">
      <c r="A39" s="255" t="s">
        <v>86</v>
      </c>
      <c r="B39" s="256" t="s">
        <v>87</v>
      </c>
      <c r="C39" s="257" t="s">
        <v>88</v>
      </c>
      <c r="D39" s="256" t="s">
        <v>19</v>
      </c>
      <c r="E39" s="256" t="s">
        <v>46</v>
      </c>
      <c r="F39" s="258">
        <v>729.34</v>
      </c>
      <c r="G39" s="259">
        <v>16.5</v>
      </c>
      <c r="H39" s="259">
        <f t="shared" si="29"/>
        <v>21.01275</v>
      </c>
      <c r="I39" s="259">
        <f t="shared" si="30"/>
        <v>15325.439085000002</v>
      </c>
      <c r="J39" s="4">
        <v>729.34</v>
      </c>
      <c r="K39" s="20">
        <v>0</v>
      </c>
      <c r="L39" s="287">
        <f t="shared" si="33"/>
        <v>729.34</v>
      </c>
      <c r="M39" s="260">
        <f t="shared" si="31"/>
        <v>15325.439085000002</v>
      </c>
      <c r="N39" s="260">
        <f t="shared" si="32"/>
        <v>0</v>
      </c>
      <c r="O39" s="261">
        <f t="shared" si="34"/>
        <v>15325.439085000002</v>
      </c>
      <c r="P39" s="262">
        <f t="shared" si="35"/>
        <v>0</v>
      </c>
      <c r="Q39" s="263">
        <f t="shared" si="6"/>
        <v>1</v>
      </c>
    </row>
    <row r="40" spans="1:17" ht="51">
      <c r="A40" s="255" t="s">
        <v>89</v>
      </c>
      <c r="B40" s="256" t="s">
        <v>90</v>
      </c>
      <c r="C40" s="257" t="s">
        <v>91</v>
      </c>
      <c r="D40" s="256" t="s">
        <v>19</v>
      </c>
      <c r="E40" s="256" t="s">
        <v>29</v>
      </c>
      <c r="F40" s="258">
        <v>39.65</v>
      </c>
      <c r="G40" s="259">
        <v>298.27999999999997</v>
      </c>
      <c r="H40" s="259">
        <f t="shared" si="29"/>
        <v>379.85957999999999</v>
      </c>
      <c r="I40" s="259">
        <f t="shared" si="30"/>
        <v>15061.432347</v>
      </c>
      <c r="J40" s="4">
        <v>39.65</v>
      </c>
      <c r="K40" s="20">
        <v>0</v>
      </c>
      <c r="L40" s="287">
        <f t="shared" si="33"/>
        <v>39.65</v>
      </c>
      <c r="M40" s="260">
        <f t="shared" si="31"/>
        <v>15061.432347</v>
      </c>
      <c r="N40" s="260">
        <f t="shared" si="32"/>
        <v>0</v>
      </c>
      <c r="O40" s="261">
        <f t="shared" si="34"/>
        <v>15061.432347</v>
      </c>
      <c r="P40" s="262">
        <f t="shared" si="35"/>
        <v>0</v>
      </c>
      <c r="Q40" s="263">
        <f t="shared" si="6"/>
        <v>1</v>
      </c>
    </row>
    <row r="41" spans="1:17" ht="38.25">
      <c r="A41" s="255" t="s">
        <v>92</v>
      </c>
      <c r="B41" s="256" t="s">
        <v>60</v>
      </c>
      <c r="C41" s="257" t="s">
        <v>61</v>
      </c>
      <c r="D41" s="256" t="s">
        <v>19</v>
      </c>
      <c r="E41" s="256" t="s">
        <v>29</v>
      </c>
      <c r="F41" s="258">
        <v>39.65</v>
      </c>
      <c r="G41" s="259">
        <v>23.69</v>
      </c>
      <c r="H41" s="259">
        <f t="shared" si="29"/>
        <v>30.169215000000005</v>
      </c>
      <c r="I41" s="259">
        <f t="shared" si="30"/>
        <v>1196.2093747500001</v>
      </c>
      <c r="J41" s="4">
        <v>39.65</v>
      </c>
      <c r="K41" s="20">
        <v>0</v>
      </c>
      <c r="L41" s="287">
        <f t="shared" si="33"/>
        <v>39.65</v>
      </c>
      <c r="M41" s="260">
        <f t="shared" si="31"/>
        <v>1196.2093747500001</v>
      </c>
      <c r="N41" s="260">
        <f t="shared" si="32"/>
        <v>0</v>
      </c>
      <c r="O41" s="261">
        <f t="shared" si="34"/>
        <v>1196.2093747500001</v>
      </c>
      <c r="P41" s="262">
        <f t="shared" si="35"/>
        <v>0</v>
      </c>
      <c r="Q41" s="263">
        <f t="shared" si="6"/>
        <v>1</v>
      </c>
    </row>
    <row r="42" spans="1:17" ht="51">
      <c r="A42" s="255" t="s">
        <v>93</v>
      </c>
      <c r="B42" s="256" t="s">
        <v>94</v>
      </c>
      <c r="C42" s="119" t="s">
        <v>95</v>
      </c>
      <c r="D42" s="256" t="s">
        <v>19</v>
      </c>
      <c r="E42" s="256" t="s">
        <v>67</v>
      </c>
      <c r="F42" s="258">
        <v>111.31</v>
      </c>
      <c r="G42" s="259">
        <v>129.72</v>
      </c>
      <c r="H42" s="259">
        <f t="shared" si="29"/>
        <v>165.19842</v>
      </c>
      <c r="I42" s="259">
        <f t="shared" si="30"/>
        <v>18388.236130199999</v>
      </c>
      <c r="J42" s="4">
        <v>80.819999999999993</v>
      </c>
      <c r="K42" s="20">
        <v>0</v>
      </c>
      <c r="L42" s="287">
        <f t="shared" si="33"/>
        <v>80.819999999999993</v>
      </c>
      <c r="M42" s="260">
        <f t="shared" si="31"/>
        <v>13351.336304399998</v>
      </c>
      <c r="N42" s="260">
        <f t="shared" si="32"/>
        <v>0</v>
      </c>
      <c r="O42" s="261">
        <f t="shared" si="34"/>
        <v>13351.336304399998</v>
      </c>
      <c r="P42" s="262">
        <f t="shared" si="35"/>
        <v>5036.8998258000011</v>
      </c>
      <c r="Q42" s="263">
        <f t="shared" si="6"/>
        <v>0.7260803162339412</v>
      </c>
    </row>
    <row r="43" spans="1:17" ht="25.5">
      <c r="A43" s="255" t="s">
        <v>96</v>
      </c>
      <c r="B43" s="256" t="s">
        <v>97</v>
      </c>
      <c r="C43" s="257" t="s">
        <v>98</v>
      </c>
      <c r="D43" s="256" t="s">
        <v>19</v>
      </c>
      <c r="E43" s="256" t="s">
        <v>20</v>
      </c>
      <c r="F43" s="258">
        <v>25</v>
      </c>
      <c r="G43" s="259">
        <v>25.84</v>
      </c>
      <c r="H43" s="259">
        <f t="shared" si="29"/>
        <v>32.907240000000002</v>
      </c>
      <c r="I43" s="259">
        <f t="shared" si="30"/>
        <v>822.68100000000004</v>
      </c>
      <c r="J43" s="4">
        <v>25</v>
      </c>
      <c r="K43" s="20">
        <v>0</v>
      </c>
      <c r="L43" s="287">
        <f t="shared" si="33"/>
        <v>25</v>
      </c>
      <c r="M43" s="260">
        <f t="shared" si="31"/>
        <v>822.68100000000004</v>
      </c>
      <c r="N43" s="260">
        <f t="shared" si="32"/>
        <v>0</v>
      </c>
      <c r="O43" s="261">
        <f t="shared" si="34"/>
        <v>822.68100000000004</v>
      </c>
      <c r="P43" s="262">
        <f t="shared" si="35"/>
        <v>0</v>
      </c>
      <c r="Q43" s="263">
        <f t="shared" si="6"/>
        <v>1</v>
      </c>
    </row>
    <row r="44" spans="1:17" ht="25.5">
      <c r="A44" s="255" t="s">
        <v>99</v>
      </c>
      <c r="B44" s="256" t="s">
        <v>100</v>
      </c>
      <c r="C44" s="257" t="s">
        <v>101</v>
      </c>
      <c r="D44" s="256" t="s">
        <v>19</v>
      </c>
      <c r="E44" s="256" t="s">
        <v>20</v>
      </c>
      <c r="F44" s="258">
        <v>101.6</v>
      </c>
      <c r="G44" s="259">
        <v>35.19</v>
      </c>
      <c r="H44" s="259">
        <f t="shared" si="29"/>
        <v>44.814464999999998</v>
      </c>
      <c r="I44" s="259">
        <f t="shared" si="30"/>
        <v>4553.1496439999992</v>
      </c>
      <c r="J44" s="4">
        <v>77.5</v>
      </c>
      <c r="K44" s="20">
        <v>0</v>
      </c>
      <c r="L44" s="287">
        <f t="shared" si="33"/>
        <v>77.5</v>
      </c>
      <c r="M44" s="260">
        <f t="shared" si="31"/>
        <v>3473.1210375000001</v>
      </c>
      <c r="N44" s="260">
        <f t="shared" si="32"/>
        <v>0</v>
      </c>
      <c r="O44" s="261">
        <f t="shared" si="34"/>
        <v>3473.1210375000001</v>
      </c>
      <c r="P44" s="262">
        <f t="shared" si="35"/>
        <v>1080.0286064999991</v>
      </c>
      <c r="Q44" s="263">
        <f t="shared" si="6"/>
        <v>0.76279527559055138</v>
      </c>
    </row>
    <row r="45" spans="1:17">
      <c r="A45" s="254" t="s">
        <v>102</v>
      </c>
      <c r="B45" s="412" t="s">
        <v>103</v>
      </c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57"/>
      <c r="Q45" s="263"/>
    </row>
    <row r="46" spans="1:17" ht="51">
      <c r="A46" s="255" t="s">
        <v>104</v>
      </c>
      <c r="B46" s="256" t="s">
        <v>105</v>
      </c>
      <c r="C46" s="257" t="s">
        <v>106</v>
      </c>
      <c r="D46" s="256" t="s">
        <v>10</v>
      </c>
      <c r="E46" s="256" t="s">
        <v>11</v>
      </c>
      <c r="F46" s="258">
        <v>382.72</v>
      </c>
      <c r="G46" s="259">
        <v>159.99</v>
      </c>
      <c r="H46" s="259">
        <f t="shared" si="29"/>
        <v>203.74726500000003</v>
      </c>
      <c r="I46" s="259">
        <f t="shared" ref="I46" si="36">F46*H46</f>
        <v>77978.153260800013</v>
      </c>
      <c r="J46" s="4">
        <v>375.25</v>
      </c>
      <c r="K46" s="20">
        <v>0</v>
      </c>
      <c r="L46" s="287">
        <f t="shared" ref="L46" si="37">K46+J46</f>
        <v>375.25</v>
      </c>
      <c r="M46" s="260">
        <f t="shared" ref="M46" si="38">J46*H46</f>
        <v>76456.161191250008</v>
      </c>
      <c r="N46" s="260">
        <f t="shared" ref="N46" si="39">H46*K46</f>
        <v>0</v>
      </c>
      <c r="O46" s="261">
        <f t="shared" ref="O46" si="40">N46+M46</f>
        <v>76456.161191250008</v>
      </c>
      <c r="P46" s="262">
        <f t="shared" ref="P46:P47" si="41">I46-O46</f>
        <v>1521.9920695500041</v>
      </c>
      <c r="Q46" s="263">
        <f t="shared" si="6"/>
        <v>0.9804818143812708</v>
      </c>
    </row>
    <row r="47" spans="1:17">
      <c r="A47" s="264"/>
      <c r="B47" s="2"/>
      <c r="C47" s="118"/>
      <c r="D47" s="2"/>
      <c r="E47" s="2"/>
      <c r="F47" s="265"/>
      <c r="G47" s="266"/>
      <c r="H47" s="266"/>
      <c r="I47" s="267">
        <f>SUM(I35:I46)</f>
        <v>233040.92493555002</v>
      </c>
      <c r="J47" s="268"/>
      <c r="K47" s="268"/>
      <c r="L47" s="287"/>
      <c r="M47" s="267">
        <f>SUM(M35:M46)</f>
        <v>215980.778529</v>
      </c>
      <c r="N47" s="267">
        <f>SUM(N35:N46)</f>
        <v>0</v>
      </c>
      <c r="O47" s="267">
        <f>SUM(O35:O46)</f>
        <v>215980.778529</v>
      </c>
      <c r="P47" s="269">
        <f t="shared" si="41"/>
        <v>17060.146406550019</v>
      </c>
      <c r="Q47" s="263">
        <f t="shared" si="6"/>
        <v>0.92679334579851935</v>
      </c>
    </row>
    <row r="48" spans="1:17">
      <c r="A48" s="254" t="s">
        <v>107</v>
      </c>
      <c r="B48" s="412" t="s">
        <v>108</v>
      </c>
      <c r="C48" s="412"/>
      <c r="D48" s="412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57"/>
      <c r="Q48" s="263"/>
    </row>
    <row r="49" spans="1:17" ht="38.25">
      <c r="A49" s="272" t="s">
        <v>109</v>
      </c>
      <c r="B49" s="256" t="s">
        <v>110</v>
      </c>
      <c r="C49" s="257" t="s">
        <v>111</v>
      </c>
      <c r="D49" s="256" t="s">
        <v>19</v>
      </c>
      <c r="E49" s="256" t="s">
        <v>67</v>
      </c>
      <c r="F49" s="258">
        <v>876.48</v>
      </c>
      <c r="G49" s="259">
        <v>25.58</v>
      </c>
      <c r="H49" s="259">
        <f t="shared" ref="H49:H58" si="42">G49*$Q$9</f>
        <v>32.576129999999999</v>
      </c>
      <c r="I49" s="259">
        <f t="shared" ref="I49:I58" si="43">F49*H49</f>
        <v>28552.326422400001</v>
      </c>
      <c r="J49" s="4">
        <v>744.96</v>
      </c>
      <c r="K49" s="273">
        <f>'[4]MEMORIA BM 06'!E46</f>
        <v>131.45999999999992</v>
      </c>
      <c r="L49" s="287">
        <f t="shared" ref="L49:L58" si="44">K49+J49</f>
        <v>876.42</v>
      </c>
      <c r="M49" s="261">
        <f t="shared" ref="M49:M58" si="45">J49*H49</f>
        <v>24267.913804800002</v>
      </c>
      <c r="N49" s="271">
        <f t="shared" ref="N49:N58" si="46">H49*K49</f>
        <v>4282.4580497999978</v>
      </c>
      <c r="O49" s="261">
        <f t="shared" ref="O49:O58" si="47">N49+M49</f>
        <v>28550.371854600002</v>
      </c>
      <c r="P49" s="262">
        <f t="shared" ref="P49:P59" si="48">I49-O49</f>
        <v>1.954567799999495</v>
      </c>
      <c r="Q49" s="263">
        <f t="shared" si="6"/>
        <v>0.99993154435925524</v>
      </c>
    </row>
    <row r="50" spans="1:17" s="277" customFormat="1" ht="51">
      <c r="A50" s="255" t="s">
        <v>112</v>
      </c>
      <c r="B50" s="256" t="s">
        <v>113</v>
      </c>
      <c r="C50" s="257" t="s">
        <v>114</v>
      </c>
      <c r="D50" s="256" t="s">
        <v>19</v>
      </c>
      <c r="E50" s="256" t="s">
        <v>115</v>
      </c>
      <c r="F50" s="258">
        <v>18</v>
      </c>
      <c r="G50" s="259">
        <v>1497.33</v>
      </c>
      <c r="H50" s="259">
        <f t="shared" si="42"/>
        <v>1906.849755</v>
      </c>
      <c r="I50" s="259">
        <f t="shared" si="43"/>
        <v>34323.295590000002</v>
      </c>
      <c r="J50" s="274">
        <v>12</v>
      </c>
      <c r="K50" s="274">
        <f>'[4]MEMORIA BM 06'!E47</f>
        <v>0</v>
      </c>
      <c r="L50" s="287">
        <f t="shared" si="44"/>
        <v>12</v>
      </c>
      <c r="M50" s="275">
        <f t="shared" si="45"/>
        <v>22882.197059999999</v>
      </c>
      <c r="N50" s="275">
        <f t="shared" si="46"/>
        <v>0</v>
      </c>
      <c r="O50" s="275">
        <f t="shared" si="47"/>
        <v>22882.197059999999</v>
      </c>
      <c r="P50" s="276">
        <f t="shared" si="48"/>
        <v>11441.098530000003</v>
      </c>
      <c r="Q50" s="263">
        <f t="shared" si="6"/>
        <v>0.66666666666666663</v>
      </c>
    </row>
    <row r="51" spans="1:17" ht="51">
      <c r="A51" s="272" t="s">
        <v>116</v>
      </c>
      <c r="B51" s="256" t="s">
        <v>117</v>
      </c>
      <c r="C51" s="257" t="s">
        <v>118</v>
      </c>
      <c r="D51" s="256" t="s">
        <v>19</v>
      </c>
      <c r="E51" s="256" t="s">
        <v>115</v>
      </c>
      <c r="F51" s="258">
        <v>4</v>
      </c>
      <c r="G51" s="259">
        <v>1692.77</v>
      </c>
      <c r="H51" s="259">
        <f t="shared" si="42"/>
        <v>2155.7425950000002</v>
      </c>
      <c r="I51" s="259">
        <f t="shared" si="43"/>
        <v>8622.9703800000007</v>
      </c>
      <c r="J51" s="4">
        <v>3</v>
      </c>
      <c r="K51" s="273">
        <f>'[4]MEMORIA BM 06'!E48</f>
        <v>1</v>
      </c>
      <c r="L51" s="287">
        <f t="shared" si="44"/>
        <v>4</v>
      </c>
      <c r="M51" s="261">
        <f t="shared" si="45"/>
        <v>6467.2277850000009</v>
      </c>
      <c r="N51" s="271">
        <f t="shared" si="46"/>
        <v>2155.7425950000002</v>
      </c>
      <c r="O51" s="261">
        <f t="shared" si="47"/>
        <v>8622.9703800000007</v>
      </c>
      <c r="P51" s="262">
        <f t="shared" si="48"/>
        <v>0</v>
      </c>
      <c r="Q51" s="263">
        <f t="shared" si="6"/>
        <v>1</v>
      </c>
    </row>
    <row r="52" spans="1:17" ht="51">
      <c r="A52" s="272" t="s">
        <v>119</v>
      </c>
      <c r="B52" s="256" t="s">
        <v>120</v>
      </c>
      <c r="C52" s="257" t="s">
        <v>121</v>
      </c>
      <c r="D52" s="256" t="s">
        <v>19</v>
      </c>
      <c r="E52" s="256" t="s">
        <v>20</v>
      </c>
      <c r="F52" s="258">
        <v>98.35</v>
      </c>
      <c r="G52" s="259">
        <v>14.4</v>
      </c>
      <c r="H52" s="259">
        <f t="shared" si="42"/>
        <v>18.3384</v>
      </c>
      <c r="I52" s="259">
        <f t="shared" si="43"/>
        <v>1803.5816399999999</v>
      </c>
      <c r="J52" s="4"/>
      <c r="K52" s="273">
        <f>'[4]MEMORIA BM 06'!E49</f>
        <v>98.35</v>
      </c>
      <c r="L52" s="287">
        <f t="shared" si="44"/>
        <v>98.35</v>
      </c>
      <c r="M52" s="261">
        <f t="shared" si="45"/>
        <v>0</v>
      </c>
      <c r="N52" s="271">
        <f t="shared" si="46"/>
        <v>1803.5816399999999</v>
      </c>
      <c r="O52" s="261">
        <f t="shared" si="47"/>
        <v>1803.5816399999999</v>
      </c>
      <c r="P52" s="262">
        <f t="shared" si="48"/>
        <v>0</v>
      </c>
      <c r="Q52" s="263">
        <f t="shared" si="6"/>
        <v>1</v>
      </c>
    </row>
    <row r="53" spans="1:17" ht="63.75">
      <c r="A53" s="272" t="s">
        <v>122</v>
      </c>
      <c r="B53" s="256" t="s">
        <v>123</v>
      </c>
      <c r="C53" s="257" t="s">
        <v>124</v>
      </c>
      <c r="D53" s="256" t="s">
        <v>19</v>
      </c>
      <c r="E53" s="256" t="s">
        <v>67</v>
      </c>
      <c r="F53" s="258">
        <v>876.48</v>
      </c>
      <c r="G53" s="259">
        <v>50.08</v>
      </c>
      <c r="H53" s="259">
        <f t="shared" si="42"/>
        <v>63.776879999999998</v>
      </c>
      <c r="I53" s="259">
        <f t="shared" si="43"/>
        <v>55899.159782399998</v>
      </c>
      <c r="J53" s="4">
        <v>876.42</v>
      </c>
      <c r="K53" s="20">
        <f>'[4]MEMORIA BM 06'!E50</f>
        <v>0</v>
      </c>
      <c r="L53" s="287">
        <f t="shared" si="44"/>
        <v>876.42</v>
      </c>
      <c r="M53" s="261">
        <f t="shared" si="45"/>
        <v>55895.333169599995</v>
      </c>
      <c r="N53" s="260">
        <f t="shared" si="46"/>
        <v>0</v>
      </c>
      <c r="O53" s="261">
        <f t="shared" si="47"/>
        <v>55895.333169599995</v>
      </c>
      <c r="P53" s="262">
        <f t="shared" si="48"/>
        <v>3.826612800003204</v>
      </c>
      <c r="Q53" s="263">
        <f t="shared" si="6"/>
        <v>0.99993154435925513</v>
      </c>
    </row>
    <row r="54" spans="1:17" ht="25.5">
      <c r="A54" s="272" t="s">
        <v>125</v>
      </c>
      <c r="B54" s="256" t="s">
        <v>126</v>
      </c>
      <c r="C54" s="257" t="s">
        <v>127</v>
      </c>
      <c r="D54" s="256" t="s">
        <v>19</v>
      </c>
      <c r="E54" s="256" t="s">
        <v>67</v>
      </c>
      <c r="F54" s="258">
        <v>653.14</v>
      </c>
      <c r="G54" s="259">
        <v>27.72</v>
      </c>
      <c r="H54" s="259">
        <f t="shared" si="42"/>
        <v>35.30142</v>
      </c>
      <c r="I54" s="259">
        <f t="shared" si="43"/>
        <v>23056.769458800001</v>
      </c>
      <c r="J54" s="278"/>
      <c r="K54" s="20">
        <f>'[4]MEMORIA BM 06'!E51</f>
        <v>0</v>
      </c>
      <c r="L54" s="287">
        <f t="shared" si="44"/>
        <v>0</v>
      </c>
      <c r="M54" s="261">
        <f t="shared" si="45"/>
        <v>0</v>
      </c>
      <c r="N54" s="260">
        <f t="shared" si="46"/>
        <v>0</v>
      </c>
      <c r="O54" s="261">
        <f t="shared" si="47"/>
        <v>0</v>
      </c>
      <c r="P54" s="262">
        <f t="shared" si="48"/>
        <v>23056.769458800001</v>
      </c>
      <c r="Q54" s="263">
        <f t="shared" si="6"/>
        <v>0</v>
      </c>
    </row>
    <row r="55" spans="1:17" ht="25.5">
      <c r="A55" s="272" t="s">
        <v>128</v>
      </c>
      <c r="B55" s="256" t="s">
        <v>129</v>
      </c>
      <c r="C55" s="119" t="s">
        <v>130</v>
      </c>
      <c r="D55" s="256" t="s">
        <v>10</v>
      </c>
      <c r="E55" s="256" t="s">
        <v>131</v>
      </c>
      <c r="F55" s="258">
        <v>91.65</v>
      </c>
      <c r="G55" s="259">
        <v>54.54</v>
      </c>
      <c r="H55" s="259">
        <f t="shared" si="42"/>
        <v>69.456690000000009</v>
      </c>
      <c r="I55" s="259">
        <f t="shared" si="43"/>
        <v>6365.7056385000014</v>
      </c>
      <c r="J55" s="4">
        <v>91.65</v>
      </c>
      <c r="K55" s="20">
        <f>'[4]MEMORIA BM 06'!E52</f>
        <v>0</v>
      </c>
      <c r="L55" s="287">
        <f t="shared" si="44"/>
        <v>91.65</v>
      </c>
      <c r="M55" s="261">
        <f t="shared" si="45"/>
        <v>6365.7056385000014</v>
      </c>
      <c r="N55" s="260">
        <f t="shared" si="46"/>
        <v>0</v>
      </c>
      <c r="O55" s="261">
        <f t="shared" si="47"/>
        <v>6365.7056385000014</v>
      </c>
      <c r="P55" s="262">
        <f t="shared" si="48"/>
        <v>0</v>
      </c>
      <c r="Q55" s="263">
        <f t="shared" si="6"/>
        <v>1</v>
      </c>
    </row>
    <row r="56" spans="1:17" ht="38.25">
      <c r="A56" s="272" t="s">
        <v>132</v>
      </c>
      <c r="B56" s="256" t="s">
        <v>133</v>
      </c>
      <c r="C56" s="257" t="s">
        <v>134</v>
      </c>
      <c r="D56" s="256" t="s">
        <v>19</v>
      </c>
      <c r="E56" s="256" t="s">
        <v>20</v>
      </c>
      <c r="F56" s="258">
        <v>178.01</v>
      </c>
      <c r="G56" s="259">
        <v>70.53</v>
      </c>
      <c r="H56" s="259">
        <f t="shared" si="42"/>
        <v>89.819955000000007</v>
      </c>
      <c r="I56" s="259">
        <f t="shared" si="43"/>
        <v>15988.850189550001</v>
      </c>
      <c r="J56" s="4"/>
      <c r="K56" s="273">
        <f>'[4]MEMORIA BM 06'!E53</f>
        <v>178.09</v>
      </c>
      <c r="L56" s="287">
        <f t="shared" si="44"/>
        <v>178.09</v>
      </c>
      <c r="M56" s="261">
        <f t="shared" si="45"/>
        <v>0</v>
      </c>
      <c r="N56" s="271">
        <f t="shared" si="46"/>
        <v>15996.035785950002</v>
      </c>
      <c r="O56" s="261">
        <f t="shared" si="47"/>
        <v>15996.035785950002</v>
      </c>
      <c r="P56" s="262">
        <f t="shared" si="48"/>
        <v>-7.185596400000577</v>
      </c>
      <c r="Q56" s="263">
        <f t="shared" si="6"/>
        <v>1.0004494129543284</v>
      </c>
    </row>
    <row r="57" spans="1:17" s="277" customFormat="1" ht="38.25">
      <c r="A57" s="255" t="s">
        <v>135</v>
      </c>
      <c r="B57" s="256" t="s">
        <v>136</v>
      </c>
      <c r="C57" s="257" t="s">
        <v>137</v>
      </c>
      <c r="D57" s="256" t="s">
        <v>19</v>
      </c>
      <c r="E57" s="256" t="s">
        <v>20</v>
      </c>
      <c r="F57" s="258">
        <v>72</v>
      </c>
      <c r="G57" s="259">
        <v>22.25</v>
      </c>
      <c r="H57" s="259">
        <f t="shared" si="42"/>
        <v>28.335375000000003</v>
      </c>
      <c r="I57" s="259">
        <f t="shared" si="43"/>
        <v>2040.1470000000002</v>
      </c>
      <c r="J57" s="274"/>
      <c r="K57" s="274">
        <f>'[4]MEMORIA BM 06'!E54</f>
        <v>0</v>
      </c>
      <c r="L57" s="287">
        <f t="shared" si="44"/>
        <v>0</v>
      </c>
      <c r="M57" s="275">
        <f t="shared" si="45"/>
        <v>0</v>
      </c>
      <c r="N57" s="275">
        <f t="shared" si="46"/>
        <v>0</v>
      </c>
      <c r="O57" s="275">
        <f t="shared" si="47"/>
        <v>0</v>
      </c>
      <c r="P57" s="276">
        <f t="shared" si="48"/>
        <v>2040.1470000000002</v>
      </c>
      <c r="Q57" s="263">
        <f t="shared" si="6"/>
        <v>0</v>
      </c>
    </row>
    <row r="58" spans="1:17" ht="38.25">
      <c r="A58" s="272" t="s">
        <v>138</v>
      </c>
      <c r="B58" s="256" t="s">
        <v>139</v>
      </c>
      <c r="C58" s="257" t="s">
        <v>140</v>
      </c>
      <c r="D58" s="256" t="s">
        <v>19</v>
      </c>
      <c r="E58" s="256" t="s">
        <v>20</v>
      </c>
      <c r="F58" s="258">
        <v>24</v>
      </c>
      <c r="G58" s="259">
        <v>52.83</v>
      </c>
      <c r="H58" s="259">
        <f t="shared" si="42"/>
        <v>67.279004999999998</v>
      </c>
      <c r="I58" s="259">
        <f t="shared" si="43"/>
        <v>1614.6961200000001</v>
      </c>
      <c r="J58" s="4"/>
      <c r="K58" s="273">
        <v>24</v>
      </c>
      <c r="L58" s="287">
        <f t="shared" si="44"/>
        <v>24</v>
      </c>
      <c r="M58" s="261">
        <f t="shared" si="45"/>
        <v>0</v>
      </c>
      <c r="N58" s="271">
        <f t="shared" si="46"/>
        <v>1614.6961200000001</v>
      </c>
      <c r="O58" s="261">
        <f t="shared" si="47"/>
        <v>1614.6961200000001</v>
      </c>
      <c r="P58" s="262">
        <f t="shared" si="48"/>
        <v>0</v>
      </c>
      <c r="Q58" s="263">
        <f t="shared" si="6"/>
        <v>1</v>
      </c>
    </row>
    <row r="59" spans="1:17">
      <c r="A59" s="264"/>
      <c r="B59" s="2"/>
      <c r="C59" s="118"/>
      <c r="D59" s="2"/>
      <c r="E59" s="2"/>
      <c r="F59" s="265"/>
      <c r="G59" s="266"/>
      <c r="H59" s="266"/>
      <c r="I59" s="267">
        <f>SUM(I49:I58)</f>
        <v>178267.50222165001</v>
      </c>
      <c r="J59" s="268"/>
      <c r="K59" s="268"/>
      <c r="L59" s="287"/>
      <c r="M59" s="267">
        <f>SUM(M49:M58)</f>
        <v>115878.3774579</v>
      </c>
      <c r="N59" s="267">
        <f>SUM(N49:N58)</f>
        <v>25852.51419075</v>
      </c>
      <c r="O59" s="267">
        <f>SUM(O49:O58)</f>
        <v>141730.89164864999</v>
      </c>
      <c r="P59" s="269">
        <f t="shared" si="48"/>
        <v>36536.610573000013</v>
      </c>
      <c r="Q59" s="263">
        <f t="shared" si="6"/>
        <v>0.79504615189159944</v>
      </c>
    </row>
    <row r="60" spans="1:17">
      <c r="A60" s="254" t="s">
        <v>141</v>
      </c>
      <c r="B60" s="412" t="s">
        <v>142</v>
      </c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57"/>
      <c r="Q60" s="263"/>
    </row>
    <row r="61" spans="1:17" ht="38.25">
      <c r="A61" s="272" t="s">
        <v>143</v>
      </c>
      <c r="B61" s="279" t="s">
        <v>144</v>
      </c>
      <c r="C61" s="257" t="s">
        <v>145</v>
      </c>
      <c r="D61" s="256" t="s">
        <v>19</v>
      </c>
      <c r="E61" s="256" t="s">
        <v>67</v>
      </c>
      <c r="F61" s="258">
        <v>944.79</v>
      </c>
      <c r="G61" s="259">
        <v>19.420000000000002</v>
      </c>
      <c r="H61" s="259">
        <f t="shared" ref="H61:H68" si="49">G61*$Q$9</f>
        <v>24.731370000000005</v>
      </c>
      <c r="I61" s="259">
        <f t="shared" ref="I61:I68" si="50">F61*H61</f>
        <v>23365.951062300006</v>
      </c>
      <c r="J61" s="4">
        <v>607.82000000000005</v>
      </c>
      <c r="K61" s="273">
        <f>'[4]MEMORIA BM 06'!E57</f>
        <v>288.67</v>
      </c>
      <c r="L61" s="287">
        <f t="shared" ref="L61:L68" si="51">K61+J61</f>
        <v>896.49</v>
      </c>
      <c r="M61" s="261">
        <f t="shared" ref="M61:M68" si="52">J61*H61</f>
        <v>15032.221313400005</v>
      </c>
      <c r="N61" s="271">
        <f t="shared" ref="N61:N68" si="53">H61*K61</f>
        <v>7139.2045779000018</v>
      </c>
      <c r="O61" s="261">
        <f t="shared" ref="O61:O68" si="54">N61+M61</f>
        <v>22171.425891300009</v>
      </c>
      <c r="P61" s="262">
        <f t="shared" ref="P61:P69" si="55">I61-O61</f>
        <v>1194.5251709999975</v>
      </c>
      <c r="Q61" s="263">
        <f t="shared" si="6"/>
        <v>0.94887752833963113</v>
      </c>
    </row>
    <row r="62" spans="1:17" ht="38.25">
      <c r="A62" s="272" t="s">
        <v>146</v>
      </c>
      <c r="B62" s="279" t="s">
        <v>147</v>
      </c>
      <c r="C62" s="257" t="s">
        <v>148</v>
      </c>
      <c r="D62" s="256" t="s">
        <v>10</v>
      </c>
      <c r="E62" s="256" t="s">
        <v>11</v>
      </c>
      <c r="F62" s="258">
        <v>944.79</v>
      </c>
      <c r="G62" s="259">
        <v>29.29</v>
      </c>
      <c r="H62" s="259">
        <f t="shared" si="49"/>
        <v>37.300815</v>
      </c>
      <c r="I62" s="259">
        <f t="shared" si="50"/>
        <v>35241.437003849998</v>
      </c>
      <c r="J62" s="4">
        <v>607.82000000000005</v>
      </c>
      <c r="K62" s="273">
        <f>'[4]MEMORIA BM 06'!E58</f>
        <v>288.67</v>
      </c>
      <c r="L62" s="287">
        <f t="shared" si="51"/>
        <v>896.49</v>
      </c>
      <c r="M62" s="261">
        <f t="shared" si="52"/>
        <v>22672.181373300002</v>
      </c>
      <c r="N62" s="271">
        <f t="shared" si="53"/>
        <v>10767.626266050002</v>
      </c>
      <c r="O62" s="261">
        <f t="shared" si="54"/>
        <v>33439.807639350001</v>
      </c>
      <c r="P62" s="262">
        <f t="shared" si="55"/>
        <v>1801.6293644999969</v>
      </c>
      <c r="Q62" s="263">
        <f t="shared" si="6"/>
        <v>0.94887752833963113</v>
      </c>
    </row>
    <row r="63" spans="1:17" ht="51">
      <c r="A63" s="272" t="s">
        <v>149</v>
      </c>
      <c r="B63" s="279" t="s">
        <v>150</v>
      </c>
      <c r="C63" s="257" t="s">
        <v>151</v>
      </c>
      <c r="D63" s="256" t="s">
        <v>19</v>
      </c>
      <c r="E63" s="256" t="s">
        <v>67</v>
      </c>
      <c r="F63" s="258">
        <v>944.79</v>
      </c>
      <c r="G63" s="259">
        <v>27.26</v>
      </c>
      <c r="H63" s="259">
        <f t="shared" si="49"/>
        <v>34.715610000000005</v>
      </c>
      <c r="I63" s="259">
        <f t="shared" si="50"/>
        <v>32798.961171900002</v>
      </c>
      <c r="J63" s="4">
        <v>607.82000000000005</v>
      </c>
      <c r="K63" s="273">
        <f>'[4]MEMORIA BM 06'!E59</f>
        <v>336.96999999999991</v>
      </c>
      <c r="L63" s="287">
        <f t="shared" si="51"/>
        <v>944.79</v>
      </c>
      <c r="M63" s="261">
        <f t="shared" si="52"/>
        <v>21100.842070200004</v>
      </c>
      <c r="N63" s="271">
        <f t="shared" si="53"/>
        <v>11698.119101699998</v>
      </c>
      <c r="O63" s="261">
        <f t="shared" si="54"/>
        <v>32798.961171900002</v>
      </c>
      <c r="P63" s="262">
        <f t="shared" si="55"/>
        <v>0</v>
      </c>
      <c r="Q63" s="263">
        <f t="shared" si="6"/>
        <v>1</v>
      </c>
    </row>
    <row r="64" spans="1:17" s="277" customFormat="1" ht="38.25">
      <c r="A64" s="255" t="s">
        <v>152</v>
      </c>
      <c r="B64" s="256" t="s">
        <v>153</v>
      </c>
      <c r="C64" s="257" t="s">
        <v>154</v>
      </c>
      <c r="D64" s="256" t="s">
        <v>19</v>
      </c>
      <c r="E64" s="256" t="s">
        <v>29</v>
      </c>
      <c r="F64" s="258">
        <v>72.84</v>
      </c>
      <c r="G64" s="259">
        <v>101.84</v>
      </c>
      <c r="H64" s="259">
        <f t="shared" si="49"/>
        <v>129.69324</v>
      </c>
      <c r="I64" s="259">
        <f t="shared" si="50"/>
        <v>9446.8556016000002</v>
      </c>
      <c r="J64" s="274"/>
      <c r="K64" s="274">
        <f>'[4]MEMORIA BM 06'!E60</f>
        <v>0</v>
      </c>
      <c r="L64" s="287">
        <f t="shared" si="51"/>
        <v>0</v>
      </c>
      <c r="M64" s="275">
        <f t="shared" si="52"/>
        <v>0</v>
      </c>
      <c r="N64" s="275">
        <f t="shared" si="53"/>
        <v>0</v>
      </c>
      <c r="O64" s="275">
        <f t="shared" si="54"/>
        <v>0</v>
      </c>
      <c r="P64" s="276">
        <f t="shared" si="55"/>
        <v>9446.8556016000002</v>
      </c>
      <c r="Q64" s="263">
        <f t="shared" si="6"/>
        <v>0</v>
      </c>
    </row>
    <row r="65" spans="1:17" s="277" customFormat="1" ht="76.5">
      <c r="A65" s="255" t="s">
        <v>155</v>
      </c>
      <c r="B65" s="256" t="s">
        <v>156</v>
      </c>
      <c r="C65" s="257" t="s">
        <v>157</v>
      </c>
      <c r="D65" s="256" t="s">
        <v>19</v>
      </c>
      <c r="E65" s="256" t="s">
        <v>20</v>
      </c>
      <c r="F65" s="258">
        <v>46.2</v>
      </c>
      <c r="G65" s="259">
        <v>40.869999999999997</v>
      </c>
      <c r="H65" s="259">
        <f t="shared" si="49"/>
        <v>52.047944999999999</v>
      </c>
      <c r="I65" s="259">
        <f t="shared" si="50"/>
        <v>2404.6150590000002</v>
      </c>
      <c r="J65" s="274"/>
      <c r="K65" s="280">
        <f>'[4]MEMORIA BM 06'!E61</f>
        <v>0</v>
      </c>
      <c r="L65" s="287">
        <f t="shared" si="51"/>
        <v>0</v>
      </c>
      <c r="M65" s="275">
        <f t="shared" si="52"/>
        <v>0</v>
      </c>
      <c r="N65" s="275">
        <f t="shared" si="53"/>
        <v>0</v>
      </c>
      <c r="O65" s="275">
        <f t="shared" si="54"/>
        <v>0</v>
      </c>
      <c r="P65" s="276">
        <f t="shared" si="55"/>
        <v>2404.6150590000002</v>
      </c>
      <c r="Q65" s="263">
        <f t="shared" si="6"/>
        <v>0</v>
      </c>
    </row>
    <row r="66" spans="1:17" s="277" customFormat="1" ht="25.5">
      <c r="A66" s="255" t="s">
        <v>158</v>
      </c>
      <c r="B66" s="256" t="s">
        <v>159</v>
      </c>
      <c r="C66" s="257" t="s">
        <v>160</v>
      </c>
      <c r="D66" s="256" t="s">
        <v>19</v>
      </c>
      <c r="E66" s="256" t="s">
        <v>20</v>
      </c>
      <c r="F66" s="258">
        <v>436.36</v>
      </c>
      <c r="G66" s="259">
        <v>15.03</v>
      </c>
      <c r="H66" s="259">
        <f t="shared" si="49"/>
        <v>19.140705000000001</v>
      </c>
      <c r="I66" s="259">
        <f t="shared" si="50"/>
        <v>8352.2380338000003</v>
      </c>
      <c r="J66" s="274"/>
      <c r="K66" s="274">
        <f>'[4]MEMORIA BM 06'!E62</f>
        <v>0</v>
      </c>
      <c r="L66" s="287">
        <f t="shared" si="51"/>
        <v>0</v>
      </c>
      <c r="M66" s="275">
        <f t="shared" si="52"/>
        <v>0</v>
      </c>
      <c r="N66" s="275">
        <f t="shared" si="53"/>
        <v>0</v>
      </c>
      <c r="O66" s="275">
        <f t="shared" si="54"/>
        <v>0</v>
      </c>
      <c r="P66" s="276">
        <f t="shared" si="55"/>
        <v>8352.2380338000003</v>
      </c>
      <c r="Q66" s="263">
        <f t="shared" si="6"/>
        <v>0</v>
      </c>
    </row>
    <row r="67" spans="1:17" s="277" customFormat="1" ht="51">
      <c r="A67" s="255" t="s">
        <v>161</v>
      </c>
      <c r="B67" s="256" t="s">
        <v>162</v>
      </c>
      <c r="C67" s="257" t="s">
        <v>163</v>
      </c>
      <c r="D67" s="256" t="s">
        <v>19</v>
      </c>
      <c r="E67" s="256" t="s">
        <v>67</v>
      </c>
      <c r="F67" s="258">
        <v>393.34</v>
      </c>
      <c r="G67" s="259">
        <v>34.270000000000003</v>
      </c>
      <c r="H67" s="259">
        <f t="shared" si="49"/>
        <v>43.642845000000008</v>
      </c>
      <c r="I67" s="259">
        <f t="shared" si="50"/>
        <v>17166.476652300003</v>
      </c>
      <c r="J67" s="274"/>
      <c r="K67" s="274">
        <f>'[4]MEMORIA BM 06'!E63</f>
        <v>0</v>
      </c>
      <c r="L67" s="287">
        <f t="shared" si="51"/>
        <v>0</v>
      </c>
      <c r="M67" s="275">
        <f t="shared" si="52"/>
        <v>0</v>
      </c>
      <c r="N67" s="275">
        <f t="shared" si="53"/>
        <v>0</v>
      </c>
      <c r="O67" s="275">
        <f t="shared" si="54"/>
        <v>0</v>
      </c>
      <c r="P67" s="276">
        <f t="shared" si="55"/>
        <v>17166.476652300003</v>
      </c>
      <c r="Q67" s="263">
        <f t="shared" si="6"/>
        <v>0</v>
      </c>
    </row>
    <row r="68" spans="1:17" s="277" customFormat="1" ht="38.25">
      <c r="A68" s="255" t="s">
        <v>164</v>
      </c>
      <c r="B68" s="256" t="s">
        <v>165</v>
      </c>
      <c r="C68" s="257" t="s">
        <v>166</v>
      </c>
      <c r="D68" s="256" t="s">
        <v>19</v>
      </c>
      <c r="E68" s="256" t="s">
        <v>67</v>
      </c>
      <c r="F68" s="258">
        <v>944.79</v>
      </c>
      <c r="G68" s="259">
        <v>72.11</v>
      </c>
      <c r="H68" s="259">
        <f t="shared" si="49"/>
        <v>91.832085000000006</v>
      </c>
      <c r="I68" s="259">
        <f t="shared" si="50"/>
        <v>86762.035587150007</v>
      </c>
      <c r="J68" s="274"/>
      <c r="K68" s="274">
        <f>'[4]MEMORIA BM 06'!E64</f>
        <v>0</v>
      </c>
      <c r="L68" s="287">
        <f t="shared" si="51"/>
        <v>0</v>
      </c>
      <c r="M68" s="275">
        <f t="shared" si="52"/>
        <v>0</v>
      </c>
      <c r="N68" s="275">
        <f t="shared" si="53"/>
        <v>0</v>
      </c>
      <c r="O68" s="275">
        <f t="shared" si="54"/>
        <v>0</v>
      </c>
      <c r="P68" s="276">
        <f t="shared" si="55"/>
        <v>86762.035587150007</v>
      </c>
      <c r="Q68" s="263">
        <f t="shared" si="6"/>
        <v>0</v>
      </c>
    </row>
    <row r="69" spans="1:17">
      <c r="A69" s="264"/>
      <c r="B69" s="2"/>
      <c r="C69" s="118"/>
      <c r="D69" s="2"/>
      <c r="E69" s="2"/>
      <c r="F69" s="265"/>
      <c r="G69" s="266"/>
      <c r="H69" s="266"/>
      <c r="I69" s="267">
        <f>SUM(I61:I68)</f>
        <v>215538.57017190001</v>
      </c>
      <c r="J69" s="268"/>
      <c r="K69" s="268"/>
      <c r="L69" s="287"/>
      <c r="M69" s="267">
        <f>SUM(M61:M68)</f>
        <v>58805.244756900007</v>
      </c>
      <c r="N69" s="267">
        <f>SUM(N61:N68)</f>
        <v>29604.949945650002</v>
      </c>
      <c r="O69" s="267">
        <f>SUM(O61:O68)</f>
        <v>88410.194702550012</v>
      </c>
      <c r="P69" s="269">
        <f t="shared" si="55"/>
        <v>127128.37546934999</v>
      </c>
      <c r="Q69" s="263">
        <f t="shared" si="6"/>
        <v>0.41018270944286028</v>
      </c>
    </row>
    <row r="70" spans="1:17">
      <c r="A70" s="254" t="s">
        <v>167</v>
      </c>
      <c r="B70" s="412" t="s">
        <v>168</v>
      </c>
      <c r="C70" s="412"/>
      <c r="D70" s="412"/>
      <c r="E70" s="412"/>
      <c r="F70" s="412"/>
      <c r="G70" s="412"/>
      <c r="H70" s="412"/>
      <c r="I70" s="412"/>
      <c r="J70" s="412"/>
      <c r="K70" s="412"/>
      <c r="L70" s="412"/>
      <c r="M70" s="412"/>
      <c r="N70" s="412"/>
      <c r="O70" s="412"/>
      <c r="P70" s="457"/>
      <c r="Q70" s="263"/>
    </row>
    <row r="71" spans="1:17" ht="51">
      <c r="A71" s="272" t="s">
        <v>169</v>
      </c>
      <c r="B71" s="256" t="s">
        <v>170</v>
      </c>
      <c r="C71" s="281" t="s">
        <v>171</v>
      </c>
      <c r="D71" s="256" t="s">
        <v>19</v>
      </c>
      <c r="E71" s="256" t="s">
        <v>67</v>
      </c>
      <c r="F71" s="258">
        <v>2367.2199999999998</v>
      </c>
      <c r="G71" s="259">
        <v>2.64</v>
      </c>
      <c r="H71" s="259">
        <f t="shared" ref="H71:H75" si="56">G71*$Q$9</f>
        <v>3.3620400000000004</v>
      </c>
      <c r="I71" s="259">
        <f t="shared" ref="I71:I75" si="57">F71*H71</f>
        <v>7958.6883287999999</v>
      </c>
      <c r="J71" s="4">
        <v>1740.134</v>
      </c>
      <c r="K71" s="273">
        <f>'[4]MEMORIA BM 06'!E66</f>
        <v>305.08</v>
      </c>
      <c r="L71" s="287">
        <f t="shared" ref="L71:L75" si="58">K71+J71</f>
        <v>2045.2139999999999</v>
      </c>
      <c r="M71" s="260">
        <f t="shared" ref="M71:M75" si="59">J71*H71</f>
        <v>5850.4001133600004</v>
      </c>
      <c r="N71" s="271">
        <f t="shared" ref="N71:N75" si="60">H71*K71</f>
        <v>1025.6911632000001</v>
      </c>
      <c r="O71" s="261">
        <f t="shared" ref="O71:O75" si="61">N71+M71</f>
        <v>6876.0912765600006</v>
      </c>
      <c r="P71" s="262">
        <f t="shared" ref="P71:P76" si="62">I71-O71</f>
        <v>1082.5970522399994</v>
      </c>
      <c r="Q71" s="263">
        <f t="shared" si="6"/>
        <v>0.86397293027264055</v>
      </c>
    </row>
    <row r="72" spans="1:17" s="277" customFormat="1" ht="76.5">
      <c r="A72" s="255" t="s">
        <v>172</v>
      </c>
      <c r="B72" s="256" t="s">
        <v>173</v>
      </c>
      <c r="C72" s="282" t="s">
        <v>174</v>
      </c>
      <c r="D72" s="256" t="s">
        <v>19</v>
      </c>
      <c r="E72" s="256" t="s">
        <v>67</v>
      </c>
      <c r="F72" s="258">
        <v>2197.91</v>
      </c>
      <c r="G72" s="259">
        <v>14.42</v>
      </c>
      <c r="H72" s="259">
        <f t="shared" si="56"/>
        <v>18.363870000000002</v>
      </c>
      <c r="I72" s="259">
        <f t="shared" si="57"/>
        <v>40362.133511700005</v>
      </c>
      <c r="J72" s="274">
        <v>1740.134</v>
      </c>
      <c r="K72" s="274">
        <f>'[4]MEMORIA BM 06'!E67</f>
        <v>0</v>
      </c>
      <c r="L72" s="287">
        <f t="shared" si="58"/>
        <v>1740.134</v>
      </c>
      <c r="M72" s="275">
        <f t="shared" si="59"/>
        <v>31955.594558580004</v>
      </c>
      <c r="N72" s="275">
        <f t="shared" si="60"/>
        <v>0</v>
      </c>
      <c r="O72" s="275">
        <f t="shared" si="61"/>
        <v>31955.594558580004</v>
      </c>
      <c r="P72" s="276">
        <f t="shared" si="62"/>
        <v>8406.5389531200017</v>
      </c>
      <c r="Q72" s="263">
        <f t="shared" si="6"/>
        <v>0.79172213602922781</v>
      </c>
    </row>
    <row r="73" spans="1:17" s="277" customFormat="1" ht="89.25">
      <c r="A73" s="255" t="s">
        <v>175</v>
      </c>
      <c r="B73" s="256" t="s">
        <v>176</v>
      </c>
      <c r="C73" s="257" t="s">
        <v>177</v>
      </c>
      <c r="D73" s="256" t="s">
        <v>19</v>
      </c>
      <c r="E73" s="256" t="s">
        <v>67</v>
      </c>
      <c r="F73" s="258">
        <v>180.48</v>
      </c>
      <c r="G73" s="259">
        <v>11.03</v>
      </c>
      <c r="H73" s="259">
        <f t="shared" si="56"/>
        <v>14.046704999999999</v>
      </c>
      <c r="I73" s="259">
        <f t="shared" si="57"/>
        <v>2535.1493183999996</v>
      </c>
      <c r="J73" s="274">
        <v>162.423</v>
      </c>
      <c r="K73" s="274">
        <f>'[4]MEMORIA BM 06'!E68</f>
        <v>0</v>
      </c>
      <c r="L73" s="287">
        <f t="shared" si="58"/>
        <v>162.423</v>
      </c>
      <c r="M73" s="275">
        <f t="shared" si="59"/>
        <v>2281.5079662150001</v>
      </c>
      <c r="N73" s="275">
        <f t="shared" si="60"/>
        <v>0</v>
      </c>
      <c r="O73" s="275">
        <f t="shared" si="61"/>
        <v>2281.5079662150001</v>
      </c>
      <c r="P73" s="276">
        <f t="shared" si="62"/>
        <v>253.6413521849995</v>
      </c>
      <c r="Q73" s="263">
        <f t="shared" si="6"/>
        <v>0.89995013297872362</v>
      </c>
    </row>
    <row r="74" spans="1:17" s="277" customFormat="1" ht="51">
      <c r="A74" s="255" t="s">
        <v>178</v>
      </c>
      <c r="B74" s="256" t="s">
        <v>179</v>
      </c>
      <c r="C74" s="257" t="s">
        <v>180</v>
      </c>
      <c r="D74" s="256" t="s">
        <v>19</v>
      </c>
      <c r="E74" s="256" t="s">
        <v>67</v>
      </c>
      <c r="F74" s="258">
        <v>180.48</v>
      </c>
      <c r="G74" s="259">
        <v>41.91</v>
      </c>
      <c r="H74" s="259">
        <f t="shared" si="56"/>
        <v>53.372385000000001</v>
      </c>
      <c r="I74" s="259">
        <f t="shared" si="57"/>
        <v>9632.6480448000002</v>
      </c>
      <c r="J74" s="274"/>
      <c r="K74" s="274">
        <f>'[4]MEMORIA BM 06'!E69</f>
        <v>0</v>
      </c>
      <c r="L74" s="287">
        <f t="shared" si="58"/>
        <v>0</v>
      </c>
      <c r="M74" s="275">
        <f t="shared" si="59"/>
        <v>0</v>
      </c>
      <c r="N74" s="275">
        <f t="shared" si="60"/>
        <v>0</v>
      </c>
      <c r="O74" s="275">
        <f t="shared" si="61"/>
        <v>0</v>
      </c>
      <c r="P74" s="276">
        <f t="shared" si="62"/>
        <v>9632.6480448000002</v>
      </c>
      <c r="Q74" s="263">
        <f t="shared" ref="Q74:Q137" si="63">O74/I74</f>
        <v>0</v>
      </c>
    </row>
    <row r="75" spans="1:17" ht="76.5">
      <c r="A75" s="255" t="s">
        <v>181</v>
      </c>
      <c r="B75" s="256" t="s">
        <v>182</v>
      </c>
      <c r="C75" s="257" t="s">
        <v>183</v>
      </c>
      <c r="D75" s="256" t="s">
        <v>19</v>
      </c>
      <c r="E75" s="256" t="s">
        <v>29</v>
      </c>
      <c r="F75" s="258">
        <v>0.42</v>
      </c>
      <c r="G75" s="259">
        <v>263.22000000000003</v>
      </c>
      <c r="H75" s="259">
        <f t="shared" si="56"/>
        <v>335.21067000000005</v>
      </c>
      <c r="I75" s="259">
        <f t="shared" si="57"/>
        <v>140.78848140000002</v>
      </c>
      <c r="J75" s="4"/>
      <c r="K75" s="19"/>
      <c r="L75" s="287">
        <f t="shared" si="58"/>
        <v>0</v>
      </c>
      <c r="M75" s="260">
        <f t="shared" si="59"/>
        <v>0</v>
      </c>
      <c r="N75" s="260">
        <f t="shared" si="60"/>
        <v>0</v>
      </c>
      <c r="O75" s="261">
        <f t="shared" si="61"/>
        <v>0</v>
      </c>
      <c r="P75" s="262">
        <f t="shared" si="62"/>
        <v>140.78848140000002</v>
      </c>
      <c r="Q75" s="263">
        <f t="shared" si="63"/>
        <v>0</v>
      </c>
    </row>
    <row r="76" spans="1:17">
      <c r="A76" s="264"/>
      <c r="B76" s="2"/>
      <c r="C76" s="118"/>
      <c r="D76" s="2"/>
      <c r="E76" s="2"/>
      <c r="F76" s="265"/>
      <c r="G76" s="266"/>
      <c r="H76" s="266"/>
      <c r="I76" s="267">
        <f>SUM(I71:I75)</f>
        <v>60629.407685100006</v>
      </c>
      <c r="J76" s="268"/>
      <c r="K76" s="268"/>
      <c r="L76" s="287"/>
      <c r="M76" s="267">
        <f>SUM(M71:M75)</f>
        <v>40087.502638155005</v>
      </c>
      <c r="N76" s="267">
        <f>SUM(N71:N75)</f>
        <v>1025.6911632000001</v>
      </c>
      <c r="O76" s="267">
        <f>SUM(O71:O75)</f>
        <v>41113.193801355003</v>
      </c>
      <c r="P76" s="269">
        <f t="shared" si="62"/>
        <v>19516.213883745004</v>
      </c>
      <c r="Q76" s="263">
        <f t="shared" si="63"/>
        <v>0.67810647293291615</v>
      </c>
    </row>
    <row r="77" spans="1:17">
      <c r="A77" s="254" t="s">
        <v>184</v>
      </c>
      <c r="B77" s="412" t="s">
        <v>185</v>
      </c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412"/>
      <c r="N77" s="412"/>
      <c r="O77" s="412"/>
      <c r="P77" s="457"/>
      <c r="Q77" s="263"/>
    </row>
    <row r="78" spans="1:17" ht="76.5">
      <c r="A78" s="255" t="s">
        <v>186</v>
      </c>
      <c r="B78" s="256" t="s">
        <v>187</v>
      </c>
      <c r="C78" s="257" t="s">
        <v>188</v>
      </c>
      <c r="D78" s="256" t="s">
        <v>19</v>
      </c>
      <c r="E78" s="256" t="s">
        <v>115</v>
      </c>
      <c r="F78" s="258">
        <v>2</v>
      </c>
      <c r="G78" s="259">
        <v>531.51</v>
      </c>
      <c r="H78" s="259">
        <f t="shared" ref="H78:H91" si="64">G78*$Q$9</f>
        <v>676.87798500000008</v>
      </c>
      <c r="I78" s="259">
        <f t="shared" ref="I78:I91" si="65">F78*H78</f>
        <v>1353.7559700000002</v>
      </c>
      <c r="J78" s="4"/>
      <c r="K78" s="19"/>
      <c r="L78" s="287">
        <f t="shared" ref="L78:L91" si="66">K78+J78</f>
        <v>0</v>
      </c>
      <c r="M78" s="260">
        <f t="shared" ref="M78:M91" si="67">J78*H78</f>
        <v>0</v>
      </c>
      <c r="N78" s="260">
        <f t="shared" ref="N78:N91" si="68">H78*K78</f>
        <v>0</v>
      </c>
      <c r="O78" s="261">
        <f t="shared" ref="O78:O91" si="69">N78+M78</f>
        <v>0</v>
      </c>
      <c r="P78" s="262">
        <f t="shared" ref="P78:P92" si="70">I78-O78</f>
        <v>1353.7559700000002</v>
      </c>
      <c r="Q78" s="263">
        <f t="shared" si="63"/>
        <v>0</v>
      </c>
    </row>
    <row r="79" spans="1:17" ht="76.5">
      <c r="A79" s="255" t="s">
        <v>189</v>
      </c>
      <c r="B79" s="256" t="s">
        <v>190</v>
      </c>
      <c r="C79" s="257" t="s">
        <v>191</v>
      </c>
      <c r="D79" s="256" t="s">
        <v>19</v>
      </c>
      <c r="E79" s="256" t="s">
        <v>115</v>
      </c>
      <c r="F79" s="258">
        <v>4</v>
      </c>
      <c r="G79" s="259">
        <v>527.07000000000005</v>
      </c>
      <c r="H79" s="259">
        <f t="shared" si="64"/>
        <v>671.22364500000015</v>
      </c>
      <c r="I79" s="259">
        <f t="shared" si="65"/>
        <v>2684.8945800000006</v>
      </c>
      <c r="J79" s="4"/>
      <c r="K79" s="19"/>
      <c r="L79" s="287">
        <f t="shared" si="66"/>
        <v>0</v>
      </c>
      <c r="M79" s="260">
        <f t="shared" si="67"/>
        <v>0</v>
      </c>
      <c r="N79" s="260">
        <f t="shared" si="68"/>
        <v>0</v>
      </c>
      <c r="O79" s="261">
        <f t="shared" si="69"/>
        <v>0</v>
      </c>
      <c r="P79" s="262">
        <f t="shared" si="70"/>
        <v>2684.8945800000006</v>
      </c>
      <c r="Q79" s="263">
        <f t="shared" si="63"/>
        <v>0</v>
      </c>
    </row>
    <row r="80" spans="1:17" ht="76.5">
      <c r="A80" s="255" t="s">
        <v>192</v>
      </c>
      <c r="B80" s="256" t="s">
        <v>193</v>
      </c>
      <c r="C80" s="257" t="s">
        <v>194</v>
      </c>
      <c r="D80" s="256" t="s">
        <v>19</v>
      </c>
      <c r="E80" s="256" t="s">
        <v>115</v>
      </c>
      <c r="F80" s="258">
        <v>10</v>
      </c>
      <c r="G80" s="259">
        <v>552.88</v>
      </c>
      <c r="H80" s="259">
        <f t="shared" si="64"/>
        <v>704.09268000000009</v>
      </c>
      <c r="I80" s="259">
        <f t="shared" si="65"/>
        <v>7040.9268000000011</v>
      </c>
      <c r="J80" s="4"/>
      <c r="K80" s="19"/>
      <c r="L80" s="287">
        <f t="shared" si="66"/>
        <v>0</v>
      </c>
      <c r="M80" s="260">
        <f t="shared" si="67"/>
        <v>0</v>
      </c>
      <c r="N80" s="260">
        <f t="shared" si="68"/>
        <v>0</v>
      </c>
      <c r="O80" s="261">
        <f t="shared" si="69"/>
        <v>0</v>
      </c>
      <c r="P80" s="262">
        <f t="shared" si="70"/>
        <v>7040.9268000000011</v>
      </c>
      <c r="Q80" s="263">
        <f t="shared" si="63"/>
        <v>0</v>
      </c>
    </row>
    <row r="81" spans="1:17" ht="76.5">
      <c r="A81" s="255" t="s">
        <v>195</v>
      </c>
      <c r="B81" s="256" t="s">
        <v>196</v>
      </c>
      <c r="C81" s="257" t="s">
        <v>197</v>
      </c>
      <c r="D81" s="256" t="s">
        <v>19</v>
      </c>
      <c r="E81" s="256" t="s">
        <v>115</v>
      </c>
      <c r="F81" s="258">
        <v>6</v>
      </c>
      <c r="G81" s="259">
        <v>603</v>
      </c>
      <c r="H81" s="259">
        <f t="shared" si="64"/>
        <v>767.92050000000006</v>
      </c>
      <c r="I81" s="259">
        <f t="shared" si="65"/>
        <v>4607.5230000000001</v>
      </c>
      <c r="J81" s="4"/>
      <c r="K81" s="19"/>
      <c r="L81" s="287">
        <f t="shared" si="66"/>
        <v>0</v>
      </c>
      <c r="M81" s="260">
        <f t="shared" si="67"/>
        <v>0</v>
      </c>
      <c r="N81" s="260">
        <f t="shared" si="68"/>
        <v>0</v>
      </c>
      <c r="O81" s="261">
        <f t="shared" si="69"/>
        <v>0</v>
      </c>
      <c r="P81" s="262">
        <f t="shared" si="70"/>
        <v>4607.5230000000001</v>
      </c>
      <c r="Q81" s="263">
        <f t="shared" si="63"/>
        <v>0</v>
      </c>
    </row>
    <row r="82" spans="1:17" ht="38.25">
      <c r="A82" s="255" t="s">
        <v>198</v>
      </c>
      <c r="B82" s="256" t="s">
        <v>199</v>
      </c>
      <c r="C82" s="257" t="s">
        <v>200</v>
      </c>
      <c r="D82" s="256" t="s">
        <v>19</v>
      </c>
      <c r="E82" s="256" t="s">
        <v>67</v>
      </c>
      <c r="F82" s="258">
        <v>8.82</v>
      </c>
      <c r="G82" s="259">
        <v>433.8</v>
      </c>
      <c r="H82" s="259">
        <f t="shared" si="64"/>
        <v>552.4443</v>
      </c>
      <c r="I82" s="259">
        <f t="shared" si="65"/>
        <v>4872.5587260000002</v>
      </c>
      <c r="J82" s="4"/>
      <c r="K82" s="19"/>
      <c r="L82" s="287">
        <f t="shared" si="66"/>
        <v>0</v>
      </c>
      <c r="M82" s="260">
        <f t="shared" si="67"/>
        <v>0</v>
      </c>
      <c r="N82" s="260">
        <f t="shared" si="68"/>
        <v>0</v>
      </c>
      <c r="O82" s="261">
        <f t="shared" si="69"/>
        <v>0</v>
      </c>
      <c r="P82" s="262">
        <f t="shared" si="70"/>
        <v>4872.5587260000002</v>
      </c>
      <c r="Q82" s="263">
        <f t="shared" si="63"/>
        <v>0</v>
      </c>
    </row>
    <row r="83" spans="1:17" ht="25.5">
      <c r="A83" s="255" t="s">
        <v>201</v>
      </c>
      <c r="B83" s="256" t="s">
        <v>202</v>
      </c>
      <c r="C83" s="257" t="s">
        <v>203</v>
      </c>
      <c r="D83" s="256" t="s">
        <v>10</v>
      </c>
      <c r="E83" s="256" t="s">
        <v>11</v>
      </c>
      <c r="F83" s="258">
        <v>33</v>
      </c>
      <c r="G83" s="259">
        <v>445.08</v>
      </c>
      <c r="H83" s="259">
        <f t="shared" si="64"/>
        <v>566.80938000000003</v>
      </c>
      <c r="I83" s="259">
        <f t="shared" si="65"/>
        <v>18704.70954</v>
      </c>
      <c r="J83" s="4"/>
      <c r="K83" s="19"/>
      <c r="L83" s="287">
        <f t="shared" si="66"/>
        <v>0</v>
      </c>
      <c r="M83" s="260">
        <f t="shared" si="67"/>
        <v>0</v>
      </c>
      <c r="N83" s="260">
        <f t="shared" si="68"/>
        <v>0</v>
      </c>
      <c r="O83" s="261">
        <f t="shared" si="69"/>
        <v>0</v>
      </c>
      <c r="P83" s="262">
        <f t="shared" si="70"/>
        <v>18704.70954</v>
      </c>
      <c r="Q83" s="263">
        <f t="shared" si="63"/>
        <v>0</v>
      </c>
    </row>
    <row r="84" spans="1:17">
      <c r="A84" s="255" t="s">
        <v>204</v>
      </c>
      <c r="B84" s="256" t="s">
        <v>205</v>
      </c>
      <c r="C84" s="257" t="s">
        <v>206</v>
      </c>
      <c r="D84" s="256" t="s">
        <v>10</v>
      </c>
      <c r="E84" s="256" t="s">
        <v>11</v>
      </c>
      <c r="F84" s="258">
        <v>33</v>
      </c>
      <c r="G84" s="259">
        <v>122.9</v>
      </c>
      <c r="H84" s="259">
        <f t="shared" si="64"/>
        <v>156.51315000000002</v>
      </c>
      <c r="I84" s="259">
        <f t="shared" si="65"/>
        <v>5164.9339500000006</v>
      </c>
      <c r="J84" s="4"/>
      <c r="K84" s="19"/>
      <c r="L84" s="287">
        <f t="shared" si="66"/>
        <v>0</v>
      </c>
      <c r="M84" s="260">
        <f t="shared" si="67"/>
        <v>0</v>
      </c>
      <c r="N84" s="260">
        <f t="shared" si="68"/>
        <v>0</v>
      </c>
      <c r="O84" s="261">
        <f t="shared" si="69"/>
        <v>0</v>
      </c>
      <c r="P84" s="262">
        <f t="shared" si="70"/>
        <v>5164.9339500000006</v>
      </c>
      <c r="Q84" s="263">
        <f t="shared" si="63"/>
        <v>0</v>
      </c>
    </row>
    <row r="85" spans="1:17" ht="63.75">
      <c r="A85" s="255" t="s">
        <v>207</v>
      </c>
      <c r="B85" s="256" t="s">
        <v>208</v>
      </c>
      <c r="C85" s="257" t="s">
        <v>209</v>
      </c>
      <c r="D85" s="256" t="s">
        <v>19</v>
      </c>
      <c r="E85" s="256" t="s">
        <v>67</v>
      </c>
      <c r="F85" s="258">
        <v>2.25</v>
      </c>
      <c r="G85" s="259">
        <v>434.36</v>
      </c>
      <c r="H85" s="259">
        <f t="shared" si="64"/>
        <v>553.15746000000001</v>
      </c>
      <c r="I85" s="259">
        <f t="shared" si="65"/>
        <v>1244.6042850000001</v>
      </c>
      <c r="J85" s="4"/>
      <c r="K85" s="19"/>
      <c r="L85" s="287">
        <f t="shared" si="66"/>
        <v>0</v>
      </c>
      <c r="M85" s="260">
        <f t="shared" si="67"/>
        <v>0</v>
      </c>
      <c r="N85" s="260">
        <f t="shared" si="68"/>
        <v>0</v>
      </c>
      <c r="O85" s="261">
        <f t="shared" si="69"/>
        <v>0</v>
      </c>
      <c r="P85" s="262">
        <f t="shared" si="70"/>
        <v>1244.6042850000001</v>
      </c>
      <c r="Q85" s="263">
        <f t="shared" si="63"/>
        <v>0</v>
      </c>
    </row>
    <row r="86" spans="1:17" ht="51">
      <c r="A86" s="255" t="s">
        <v>210</v>
      </c>
      <c r="B86" s="256" t="s">
        <v>211</v>
      </c>
      <c r="C86" s="257" t="s">
        <v>212</v>
      </c>
      <c r="D86" s="256" t="s">
        <v>19</v>
      </c>
      <c r="E86" s="256" t="s">
        <v>67</v>
      </c>
      <c r="F86" s="258">
        <v>3.2</v>
      </c>
      <c r="G86" s="259">
        <v>666.48</v>
      </c>
      <c r="H86" s="259">
        <f t="shared" si="64"/>
        <v>848.76228000000003</v>
      </c>
      <c r="I86" s="259">
        <f t="shared" si="65"/>
        <v>2716.0392960000004</v>
      </c>
      <c r="J86" s="4"/>
      <c r="K86" s="19"/>
      <c r="L86" s="287">
        <f t="shared" si="66"/>
        <v>0</v>
      </c>
      <c r="M86" s="260">
        <f t="shared" si="67"/>
        <v>0</v>
      </c>
      <c r="N86" s="260">
        <f t="shared" si="68"/>
        <v>0</v>
      </c>
      <c r="O86" s="261">
        <f t="shared" si="69"/>
        <v>0</v>
      </c>
      <c r="P86" s="262">
        <f t="shared" si="70"/>
        <v>2716.0392960000004</v>
      </c>
      <c r="Q86" s="263">
        <f t="shared" si="63"/>
        <v>0</v>
      </c>
    </row>
    <row r="87" spans="1:17" ht="38.25">
      <c r="A87" s="255" t="s">
        <v>213</v>
      </c>
      <c r="B87" s="256" t="s">
        <v>214</v>
      </c>
      <c r="C87" s="257" t="s">
        <v>215</v>
      </c>
      <c r="D87" s="256" t="s">
        <v>10</v>
      </c>
      <c r="E87" s="256" t="s">
        <v>11</v>
      </c>
      <c r="F87" s="258">
        <v>50.71</v>
      </c>
      <c r="G87" s="259">
        <v>282.06</v>
      </c>
      <c r="H87" s="259">
        <f t="shared" si="64"/>
        <v>359.20341000000002</v>
      </c>
      <c r="I87" s="259">
        <f t="shared" si="65"/>
        <v>18215.204921100001</v>
      </c>
      <c r="J87" s="4"/>
      <c r="K87" s="19"/>
      <c r="L87" s="287">
        <f t="shared" si="66"/>
        <v>0</v>
      </c>
      <c r="M87" s="260">
        <f t="shared" si="67"/>
        <v>0</v>
      </c>
      <c r="N87" s="260">
        <f t="shared" si="68"/>
        <v>0</v>
      </c>
      <c r="O87" s="261">
        <f t="shared" si="69"/>
        <v>0</v>
      </c>
      <c r="P87" s="262">
        <f t="shared" si="70"/>
        <v>18215.204921100001</v>
      </c>
      <c r="Q87" s="263">
        <f t="shared" si="63"/>
        <v>0</v>
      </c>
    </row>
    <row r="88" spans="1:17">
      <c r="A88" s="255" t="s">
        <v>216</v>
      </c>
      <c r="B88" s="256" t="s">
        <v>217</v>
      </c>
      <c r="C88" s="257" t="s">
        <v>218</v>
      </c>
      <c r="D88" s="256" t="s">
        <v>10</v>
      </c>
      <c r="E88" s="256" t="s">
        <v>11</v>
      </c>
      <c r="F88" s="258">
        <v>16.350000000000001</v>
      </c>
      <c r="G88" s="259">
        <v>174.8</v>
      </c>
      <c r="H88" s="259">
        <f t="shared" si="64"/>
        <v>222.60780000000003</v>
      </c>
      <c r="I88" s="259">
        <f t="shared" si="65"/>
        <v>3639.6375300000009</v>
      </c>
      <c r="J88" s="4"/>
      <c r="K88" s="19"/>
      <c r="L88" s="287">
        <f t="shared" si="66"/>
        <v>0</v>
      </c>
      <c r="M88" s="260">
        <f t="shared" si="67"/>
        <v>0</v>
      </c>
      <c r="N88" s="260">
        <f t="shared" si="68"/>
        <v>0</v>
      </c>
      <c r="O88" s="261">
        <f t="shared" si="69"/>
        <v>0</v>
      </c>
      <c r="P88" s="262">
        <f t="shared" si="70"/>
        <v>3639.6375300000009</v>
      </c>
      <c r="Q88" s="263">
        <f t="shared" si="63"/>
        <v>0</v>
      </c>
    </row>
    <row r="89" spans="1:17" ht="25.5">
      <c r="A89" s="255" t="s">
        <v>219</v>
      </c>
      <c r="B89" s="256" t="s">
        <v>220</v>
      </c>
      <c r="C89" s="257" t="s">
        <v>221</v>
      </c>
      <c r="D89" s="256" t="s">
        <v>10</v>
      </c>
      <c r="E89" s="256" t="s">
        <v>11</v>
      </c>
      <c r="F89" s="258">
        <v>14.35</v>
      </c>
      <c r="G89" s="259">
        <v>430.88</v>
      </c>
      <c r="H89" s="259">
        <f t="shared" si="64"/>
        <v>548.72568000000001</v>
      </c>
      <c r="I89" s="259">
        <f t="shared" si="65"/>
        <v>7874.2135079999998</v>
      </c>
      <c r="J89" s="4"/>
      <c r="K89" s="19"/>
      <c r="L89" s="287">
        <f t="shared" si="66"/>
        <v>0</v>
      </c>
      <c r="M89" s="260">
        <f t="shared" si="67"/>
        <v>0</v>
      </c>
      <c r="N89" s="260">
        <f t="shared" si="68"/>
        <v>0</v>
      </c>
      <c r="O89" s="261">
        <f t="shared" si="69"/>
        <v>0</v>
      </c>
      <c r="P89" s="262">
        <f t="shared" si="70"/>
        <v>7874.2135079999998</v>
      </c>
      <c r="Q89" s="263">
        <f t="shared" si="63"/>
        <v>0</v>
      </c>
    </row>
    <row r="90" spans="1:17">
      <c r="A90" s="255" t="s">
        <v>222</v>
      </c>
      <c r="B90" s="256" t="s">
        <v>223</v>
      </c>
      <c r="C90" s="257" t="s">
        <v>224</v>
      </c>
      <c r="D90" s="256" t="s">
        <v>10</v>
      </c>
      <c r="E90" s="256" t="s">
        <v>11</v>
      </c>
      <c r="F90" s="258">
        <v>35.159999999999997</v>
      </c>
      <c r="G90" s="259">
        <v>285.70999999999998</v>
      </c>
      <c r="H90" s="259">
        <f t="shared" si="64"/>
        <v>363.85168499999997</v>
      </c>
      <c r="I90" s="259">
        <f t="shared" si="65"/>
        <v>12793.025244599998</v>
      </c>
      <c r="J90" s="4"/>
      <c r="K90" s="19"/>
      <c r="L90" s="287">
        <f t="shared" si="66"/>
        <v>0</v>
      </c>
      <c r="M90" s="260">
        <f t="shared" si="67"/>
        <v>0</v>
      </c>
      <c r="N90" s="260">
        <f t="shared" si="68"/>
        <v>0</v>
      </c>
      <c r="O90" s="261">
        <f t="shared" si="69"/>
        <v>0</v>
      </c>
      <c r="P90" s="262">
        <f t="shared" si="70"/>
        <v>12793.025244599998</v>
      </c>
      <c r="Q90" s="263">
        <f t="shared" si="63"/>
        <v>0</v>
      </c>
    </row>
    <row r="91" spans="1:17">
      <c r="A91" s="255" t="s">
        <v>225</v>
      </c>
      <c r="B91" s="256" t="s">
        <v>226</v>
      </c>
      <c r="C91" s="257" t="s">
        <v>227</v>
      </c>
      <c r="D91" s="256" t="s">
        <v>10</v>
      </c>
      <c r="E91" s="256" t="s">
        <v>11</v>
      </c>
      <c r="F91" s="258">
        <v>0.36</v>
      </c>
      <c r="G91" s="259">
        <v>389.08</v>
      </c>
      <c r="H91" s="259">
        <f t="shared" si="64"/>
        <v>495.49338</v>
      </c>
      <c r="I91" s="259">
        <f t="shared" si="65"/>
        <v>178.3776168</v>
      </c>
      <c r="J91" s="4"/>
      <c r="K91" s="19"/>
      <c r="L91" s="287">
        <f t="shared" si="66"/>
        <v>0</v>
      </c>
      <c r="M91" s="260">
        <f t="shared" si="67"/>
        <v>0</v>
      </c>
      <c r="N91" s="260">
        <f t="shared" si="68"/>
        <v>0</v>
      </c>
      <c r="O91" s="261">
        <f t="shared" si="69"/>
        <v>0</v>
      </c>
      <c r="P91" s="262">
        <f t="shared" si="70"/>
        <v>178.3776168</v>
      </c>
      <c r="Q91" s="263">
        <f t="shared" si="63"/>
        <v>0</v>
      </c>
    </row>
    <row r="92" spans="1:17">
      <c r="A92" s="264"/>
      <c r="B92" s="2"/>
      <c r="C92" s="118"/>
      <c r="D92" s="2"/>
      <c r="E92" s="2"/>
      <c r="F92" s="265"/>
      <c r="G92" s="266"/>
      <c r="H92" s="266"/>
      <c r="I92" s="267">
        <f>SUM(I78:I91)</f>
        <v>91090.404967500013</v>
      </c>
      <c r="J92" s="268"/>
      <c r="K92" s="268"/>
      <c r="L92" s="287"/>
      <c r="M92" s="267">
        <f>SUM(M78:M91)</f>
        <v>0</v>
      </c>
      <c r="N92" s="267">
        <f>SUM(N78:N91)</f>
        <v>0</v>
      </c>
      <c r="O92" s="267">
        <f>SUM(O78:O91)</f>
        <v>0</v>
      </c>
      <c r="P92" s="269">
        <f t="shared" si="70"/>
        <v>91090.404967500013</v>
      </c>
      <c r="Q92" s="263">
        <f t="shared" si="63"/>
        <v>0</v>
      </c>
    </row>
    <row r="93" spans="1:17">
      <c r="A93" s="254" t="s">
        <v>228</v>
      </c>
      <c r="B93" s="412" t="s">
        <v>229</v>
      </c>
      <c r="C93" s="412"/>
      <c r="D93" s="412"/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2"/>
      <c r="P93" s="457"/>
      <c r="Q93" s="263"/>
    </row>
    <row r="94" spans="1:17" s="277" customFormat="1" ht="25.5">
      <c r="A94" s="255" t="s">
        <v>230</v>
      </c>
      <c r="B94" s="256" t="s">
        <v>231</v>
      </c>
      <c r="C94" s="257" t="s">
        <v>232</v>
      </c>
      <c r="D94" s="256" t="s">
        <v>10</v>
      </c>
      <c r="E94" s="256" t="s">
        <v>11</v>
      </c>
      <c r="F94" s="258">
        <v>345.83</v>
      </c>
      <c r="G94" s="259">
        <v>96.53</v>
      </c>
      <c r="H94" s="259">
        <f t="shared" ref="H94:H95" si="71">G94*$Q$9</f>
        <v>122.93095500000001</v>
      </c>
      <c r="I94" s="259">
        <f t="shared" ref="I94:I95" si="72">F94*H94</f>
        <v>42513.212167650003</v>
      </c>
      <c r="J94" s="274"/>
      <c r="K94" s="280">
        <f>'[4]MEMORIA BM 06'!E87</f>
        <v>0</v>
      </c>
      <c r="L94" s="288">
        <f t="shared" ref="L94:L95" si="73">K94+J94</f>
        <v>0</v>
      </c>
      <c r="M94" s="275">
        <f t="shared" ref="M94:M95" si="74">J94*H94</f>
        <v>0</v>
      </c>
      <c r="N94" s="275">
        <f t="shared" ref="N94:N95" si="75">H94*K94</f>
        <v>0</v>
      </c>
      <c r="O94" s="275">
        <f t="shared" ref="O94:O95" si="76">N94+M94</f>
        <v>0</v>
      </c>
      <c r="P94" s="276">
        <f t="shared" ref="P94:P96" si="77">I94-O94</f>
        <v>42513.212167650003</v>
      </c>
      <c r="Q94" s="263">
        <f t="shared" si="63"/>
        <v>0</v>
      </c>
    </row>
    <row r="95" spans="1:17" s="277" customFormat="1" ht="38.25">
      <c r="A95" s="255" t="s">
        <v>233</v>
      </c>
      <c r="B95" s="256" t="s">
        <v>234</v>
      </c>
      <c r="C95" s="257" t="s">
        <v>235</v>
      </c>
      <c r="D95" s="256" t="s">
        <v>19</v>
      </c>
      <c r="E95" s="256" t="s">
        <v>67</v>
      </c>
      <c r="F95" s="258">
        <v>183.4</v>
      </c>
      <c r="G95" s="259">
        <v>64.89</v>
      </c>
      <c r="H95" s="259">
        <f t="shared" si="71"/>
        <v>82.637415000000004</v>
      </c>
      <c r="I95" s="259">
        <f t="shared" si="72"/>
        <v>15155.701911000002</v>
      </c>
      <c r="J95" s="274"/>
      <c r="K95" s="280">
        <f>'[4]MEMORIA BM 06'!E88</f>
        <v>0</v>
      </c>
      <c r="L95" s="287">
        <f t="shared" si="73"/>
        <v>0</v>
      </c>
      <c r="M95" s="275">
        <f t="shared" si="74"/>
        <v>0</v>
      </c>
      <c r="N95" s="275">
        <f t="shared" si="75"/>
        <v>0</v>
      </c>
      <c r="O95" s="275">
        <f t="shared" si="76"/>
        <v>0</v>
      </c>
      <c r="P95" s="276">
        <f t="shared" si="77"/>
        <v>15155.701911000002</v>
      </c>
      <c r="Q95" s="263">
        <f t="shared" si="63"/>
        <v>0</v>
      </c>
    </row>
    <row r="96" spans="1:17">
      <c r="A96" s="264"/>
      <c r="B96" s="2"/>
      <c r="C96" s="118"/>
      <c r="D96" s="2"/>
      <c r="E96" s="2"/>
      <c r="F96" s="265"/>
      <c r="G96" s="266"/>
      <c r="H96" s="266"/>
      <c r="I96" s="267">
        <f>SUM(I94:I95)</f>
        <v>57668.914078650007</v>
      </c>
      <c r="J96" s="268"/>
      <c r="K96" s="268"/>
      <c r="L96" s="287"/>
      <c r="M96" s="267">
        <f>SUM(M94:M95)</f>
        <v>0</v>
      </c>
      <c r="N96" s="267">
        <f>SUM(N94:N95)</f>
        <v>0</v>
      </c>
      <c r="O96" s="267">
        <f>SUM(O94:O95)</f>
        <v>0</v>
      </c>
      <c r="P96" s="269">
        <f t="shared" si="77"/>
        <v>57668.914078650007</v>
      </c>
      <c r="Q96" s="263">
        <f t="shared" si="63"/>
        <v>0</v>
      </c>
    </row>
    <row r="97" spans="1:17">
      <c r="A97" s="254" t="s">
        <v>236</v>
      </c>
      <c r="B97" s="412" t="s">
        <v>237</v>
      </c>
      <c r="C97" s="412"/>
      <c r="D97" s="412"/>
      <c r="E97" s="412"/>
      <c r="F97" s="412"/>
      <c r="G97" s="412"/>
      <c r="H97" s="412"/>
      <c r="I97" s="412"/>
      <c r="J97" s="412"/>
      <c r="K97" s="412"/>
      <c r="L97" s="412"/>
      <c r="M97" s="412"/>
      <c r="N97" s="412"/>
      <c r="O97" s="412"/>
      <c r="P97" s="457"/>
      <c r="Q97" s="263"/>
    </row>
    <row r="98" spans="1:17" ht="38.25">
      <c r="A98" s="255" t="s">
        <v>238</v>
      </c>
      <c r="B98" s="256" t="s">
        <v>239</v>
      </c>
      <c r="C98" s="257" t="s">
        <v>240</v>
      </c>
      <c r="D98" s="256" t="s">
        <v>19</v>
      </c>
      <c r="E98" s="256" t="s">
        <v>115</v>
      </c>
      <c r="F98" s="258">
        <v>2</v>
      </c>
      <c r="G98" s="259">
        <v>186.33</v>
      </c>
      <c r="H98" s="259">
        <f t="shared" ref="H98:H102" si="78">G98*$Q$9</f>
        <v>237.29125500000004</v>
      </c>
      <c r="I98" s="259">
        <f t="shared" ref="I98:I102" si="79">F98*H98</f>
        <v>474.58251000000007</v>
      </c>
      <c r="J98" s="4"/>
      <c r="K98" s="19"/>
      <c r="L98" s="287">
        <f t="shared" ref="L98:L102" si="80">K98+J98</f>
        <v>0</v>
      </c>
      <c r="M98" s="260">
        <f t="shared" ref="M98:M102" si="81">J98*H98</f>
        <v>0</v>
      </c>
      <c r="N98" s="260">
        <f t="shared" ref="N98:N102" si="82">H98*K98</f>
        <v>0</v>
      </c>
      <c r="O98" s="261">
        <f t="shared" ref="O98:O102" si="83">N98+M98</f>
        <v>0</v>
      </c>
      <c r="P98" s="262">
        <f t="shared" ref="P98:P103" si="84">I98-O98</f>
        <v>474.58251000000007</v>
      </c>
      <c r="Q98" s="263">
        <f t="shared" si="63"/>
        <v>0</v>
      </c>
    </row>
    <row r="99" spans="1:17" ht="38.25">
      <c r="A99" s="255" t="s">
        <v>241</v>
      </c>
      <c r="B99" s="256" t="s">
        <v>242</v>
      </c>
      <c r="C99" s="257" t="s">
        <v>243</v>
      </c>
      <c r="D99" s="256" t="s">
        <v>19</v>
      </c>
      <c r="E99" s="256" t="s">
        <v>115</v>
      </c>
      <c r="F99" s="258">
        <v>3</v>
      </c>
      <c r="G99" s="259">
        <v>180.65</v>
      </c>
      <c r="H99" s="259">
        <f t="shared" si="78"/>
        <v>230.05777500000002</v>
      </c>
      <c r="I99" s="259">
        <f t="shared" si="79"/>
        <v>690.17332500000009</v>
      </c>
      <c r="J99" s="4"/>
      <c r="K99" s="19"/>
      <c r="L99" s="287">
        <f t="shared" si="80"/>
        <v>0</v>
      </c>
      <c r="M99" s="260">
        <f t="shared" si="81"/>
        <v>0</v>
      </c>
      <c r="N99" s="260">
        <f t="shared" si="82"/>
        <v>0</v>
      </c>
      <c r="O99" s="261">
        <f t="shared" si="83"/>
        <v>0</v>
      </c>
      <c r="P99" s="262">
        <f t="shared" si="84"/>
        <v>690.17332500000009</v>
      </c>
      <c r="Q99" s="263">
        <f t="shared" si="63"/>
        <v>0</v>
      </c>
    </row>
    <row r="100" spans="1:17" ht="38.25">
      <c r="A100" s="255" t="s">
        <v>244</v>
      </c>
      <c r="B100" s="256" t="s">
        <v>245</v>
      </c>
      <c r="C100" s="257" t="s">
        <v>246</v>
      </c>
      <c r="D100" s="256" t="s">
        <v>10</v>
      </c>
      <c r="E100" s="256" t="s">
        <v>15</v>
      </c>
      <c r="F100" s="258">
        <v>4</v>
      </c>
      <c r="G100" s="259">
        <v>204.75</v>
      </c>
      <c r="H100" s="259">
        <f t="shared" si="78"/>
        <v>260.74912499999999</v>
      </c>
      <c r="I100" s="259">
        <f t="shared" si="79"/>
        <v>1042.9965</v>
      </c>
      <c r="J100" s="4"/>
      <c r="K100" s="19"/>
      <c r="L100" s="287">
        <f t="shared" si="80"/>
        <v>0</v>
      </c>
      <c r="M100" s="260">
        <f t="shared" si="81"/>
        <v>0</v>
      </c>
      <c r="N100" s="260">
        <f t="shared" si="82"/>
        <v>0</v>
      </c>
      <c r="O100" s="261">
        <f t="shared" si="83"/>
        <v>0</v>
      </c>
      <c r="P100" s="262">
        <f t="shared" si="84"/>
        <v>1042.9965</v>
      </c>
      <c r="Q100" s="263">
        <f t="shared" si="63"/>
        <v>0</v>
      </c>
    </row>
    <row r="101" spans="1:17" ht="51">
      <c r="A101" s="255" t="s">
        <v>247</v>
      </c>
      <c r="B101" s="256" t="s">
        <v>248</v>
      </c>
      <c r="C101" s="257" t="s">
        <v>249</v>
      </c>
      <c r="D101" s="256" t="s">
        <v>10</v>
      </c>
      <c r="E101" s="256" t="s">
        <v>250</v>
      </c>
      <c r="F101" s="258">
        <v>9</v>
      </c>
      <c r="G101" s="259">
        <v>26.04</v>
      </c>
      <c r="H101" s="259">
        <f t="shared" si="78"/>
        <v>33.161940000000001</v>
      </c>
      <c r="I101" s="259">
        <f t="shared" si="79"/>
        <v>298.45746000000003</v>
      </c>
      <c r="J101" s="4"/>
      <c r="K101" s="19"/>
      <c r="L101" s="287">
        <f t="shared" si="80"/>
        <v>0</v>
      </c>
      <c r="M101" s="260">
        <f t="shared" si="81"/>
        <v>0</v>
      </c>
      <c r="N101" s="260">
        <f t="shared" si="82"/>
        <v>0</v>
      </c>
      <c r="O101" s="261">
        <f t="shared" si="83"/>
        <v>0</v>
      </c>
      <c r="P101" s="262">
        <f t="shared" si="84"/>
        <v>298.45746000000003</v>
      </c>
      <c r="Q101" s="263">
        <f t="shared" si="63"/>
        <v>0</v>
      </c>
    </row>
    <row r="102" spans="1:17" ht="25.5">
      <c r="A102" s="255" t="s">
        <v>251</v>
      </c>
      <c r="B102" s="256" t="s">
        <v>252</v>
      </c>
      <c r="C102" s="257" t="s">
        <v>253</v>
      </c>
      <c r="D102" s="256" t="s">
        <v>10</v>
      </c>
      <c r="E102" s="256" t="s">
        <v>15</v>
      </c>
      <c r="F102" s="258">
        <v>5</v>
      </c>
      <c r="G102" s="259">
        <v>12.94</v>
      </c>
      <c r="H102" s="259">
        <f t="shared" si="78"/>
        <v>16.479089999999999</v>
      </c>
      <c r="I102" s="259">
        <f t="shared" si="79"/>
        <v>82.395449999999997</v>
      </c>
      <c r="J102" s="4"/>
      <c r="K102" s="19"/>
      <c r="L102" s="287">
        <f t="shared" si="80"/>
        <v>0</v>
      </c>
      <c r="M102" s="260">
        <f t="shared" si="81"/>
        <v>0</v>
      </c>
      <c r="N102" s="260">
        <f t="shared" si="82"/>
        <v>0</v>
      </c>
      <c r="O102" s="261">
        <f t="shared" si="83"/>
        <v>0</v>
      </c>
      <c r="P102" s="262">
        <f t="shared" si="84"/>
        <v>82.395449999999997</v>
      </c>
      <c r="Q102" s="263">
        <f t="shared" si="63"/>
        <v>0</v>
      </c>
    </row>
    <row r="103" spans="1:17">
      <c r="A103" s="264"/>
      <c r="B103" s="2"/>
      <c r="C103" s="118"/>
      <c r="D103" s="2"/>
      <c r="E103" s="2"/>
      <c r="F103" s="265"/>
      <c r="G103" s="266"/>
      <c r="H103" s="266"/>
      <c r="I103" s="267">
        <f>SUM(I98:I102)</f>
        <v>2588.6052450000002</v>
      </c>
      <c r="J103" s="268"/>
      <c r="K103" s="268"/>
      <c r="L103" s="287"/>
      <c r="M103" s="267">
        <f>SUM(M98:M102)</f>
        <v>0</v>
      </c>
      <c r="N103" s="267">
        <f>SUM(N98:N102)</f>
        <v>0</v>
      </c>
      <c r="O103" s="267">
        <f>SUM(O98:O102)</f>
        <v>0</v>
      </c>
      <c r="P103" s="269">
        <f t="shared" si="84"/>
        <v>2588.6052450000002</v>
      </c>
      <c r="Q103" s="263">
        <f t="shared" si="63"/>
        <v>0</v>
      </c>
    </row>
    <row r="104" spans="1:17">
      <c r="A104" s="254" t="s">
        <v>254</v>
      </c>
      <c r="B104" s="412" t="s">
        <v>255</v>
      </c>
      <c r="C104" s="412"/>
      <c r="D104" s="412"/>
      <c r="E104" s="412"/>
      <c r="F104" s="412"/>
      <c r="G104" s="412"/>
      <c r="H104" s="412"/>
      <c r="I104" s="412"/>
      <c r="J104" s="412"/>
      <c r="K104" s="412"/>
      <c r="L104" s="412"/>
      <c r="M104" s="412"/>
      <c r="N104" s="412"/>
      <c r="O104" s="412"/>
      <c r="P104" s="457"/>
      <c r="Q104" s="263"/>
    </row>
    <row r="105" spans="1:17" s="277" customFormat="1">
      <c r="A105" s="255" t="s">
        <v>256</v>
      </c>
      <c r="B105" s="256" t="s">
        <v>257</v>
      </c>
      <c r="C105" s="257" t="s">
        <v>258</v>
      </c>
      <c r="D105" s="256" t="s">
        <v>259</v>
      </c>
      <c r="E105" s="256" t="s">
        <v>115</v>
      </c>
      <c r="F105" s="258">
        <v>119</v>
      </c>
      <c r="G105" s="259">
        <v>7.07</v>
      </c>
      <c r="H105" s="259">
        <f t="shared" ref="H105:H151" si="85">G105*$Q$9</f>
        <v>9.0036450000000006</v>
      </c>
      <c r="I105" s="259">
        <f t="shared" ref="I105:I151" si="86">F105*H105</f>
        <v>1071.433755</v>
      </c>
      <c r="J105" s="274"/>
      <c r="K105" s="280">
        <f>'[4]MEMORIA BM 06'!E96</f>
        <v>0</v>
      </c>
      <c r="L105" s="287">
        <f t="shared" ref="L105:L151" si="87">K105+J105</f>
        <v>0</v>
      </c>
      <c r="M105" s="275">
        <f t="shared" ref="M105:M151" si="88">J105*H105</f>
        <v>0</v>
      </c>
      <c r="N105" s="275">
        <f t="shared" ref="N105:N151" si="89">H105*K105</f>
        <v>0</v>
      </c>
      <c r="O105" s="275">
        <f t="shared" ref="O105:O151" si="90">N105+M105</f>
        <v>0</v>
      </c>
      <c r="P105" s="276">
        <f t="shared" ref="P105:P152" si="91">I105-O105</f>
        <v>1071.433755</v>
      </c>
      <c r="Q105" s="263">
        <f t="shared" si="63"/>
        <v>0</v>
      </c>
    </row>
    <row r="106" spans="1:17" s="277" customFormat="1" ht="38.25">
      <c r="A106" s="255" t="s">
        <v>260</v>
      </c>
      <c r="B106" s="256" t="s">
        <v>261</v>
      </c>
      <c r="C106" s="257" t="s">
        <v>262</v>
      </c>
      <c r="D106" s="256" t="s">
        <v>19</v>
      </c>
      <c r="E106" s="256" t="s">
        <v>115</v>
      </c>
      <c r="F106" s="258">
        <v>8</v>
      </c>
      <c r="G106" s="259">
        <v>5.83</v>
      </c>
      <c r="H106" s="259">
        <f t="shared" si="85"/>
        <v>7.4245050000000008</v>
      </c>
      <c r="I106" s="259">
        <f t="shared" si="86"/>
        <v>59.396040000000006</v>
      </c>
      <c r="J106" s="274"/>
      <c r="K106" s="280">
        <f>'[4]MEMORIA BM 06'!E97</f>
        <v>0</v>
      </c>
      <c r="L106" s="287">
        <f t="shared" si="87"/>
        <v>0</v>
      </c>
      <c r="M106" s="275">
        <f t="shared" si="88"/>
        <v>0</v>
      </c>
      <c r="N106" s="275">
        <f t="shared" si="89"/>
        <v>0</v>
      </c>
      <c r="O106" s="275">
        <f t="shared" si="90"/>
        <v>0</v>
      </c>
      <c r="P106" s="276">
        <f t="shared" si="91"/>
        <v>59.396040000000006</v>
      </c>
      <c r="Q106" s="263">
        <f t="shared" si="63"/>
        <v>0</v>
      </c>
    </row>
    <row r="107" spans="1:17" s="277" customFormat="1" ht="51">
      <c r="A107" s="255" t="s">
        <v>263</v>
      </c>
      <c r="B107" s="256" t="s">
        <v>264</v>
      </c>
      <c r="C107" s="257" t="s">
        <v>265</v>
      </c>
      <c r="D107" s="256" t="s">
        <v>19</v>
      </c>
      <c r="E107" s="256" t="s">
        <v>115</v>
      </c>
      <c r="F107" s="258">
        <v>10</v>
      </c>
      <c r="G107" s="259">
        <v>10.97</v>
      </c>
      <c r="H107" s="259">
        <f t="shared" si="85"/>
        <v>13.970295000000002</v>
      </c>
      <c r="I107" s="259">
        <f t="shared" si="86"/>
        <v>139.70295000000002</v>
      </c>
      <c r="J107" s="274"/>
      <c r="K107" s="280">
        <f>'[4]MEMORIA BM 06'!E98</f>
        <v>0</v>
      </c>
      <c r="L107" s="287">
        <f t="shared" si="87"/>
        <v>0</v>
      </c>
      <c r="M107" s="275">
        <f t="shared" si="88"/>
        <v>0</v>
      </c>
      <c r="N107" s="275">
        <f t="shared" si="89"/>
        <v>0</v>
      </c>
      <c r="O107" s="275">
        <f t="shared" si="90"/>
        <v>0</v>
      </c>
      <c r="P107" s="276">
        <f t="shared" si="91"/>
        <v>139.70295000000002</v>
      </c>
      <c r="Q107" s="263">
        <f t="shared" si="63"/>
        <v>0</v>
      </c>
    </row>
    <row r="108" spans="1:17" s="277" customFormat="1" ht="51">
      <c r="A108" s="255" t="s">
        <v>266</v>
      </c>
      <c r="B108" s="256" t="s">
        <v>267</v>
      </c>
      <c r="C108" s="257" t="s">
        <v>268</v>
      </c>
      <c r="D108" s="256" t="s">
        <v>19</v>
      </c>
      <c r="E108" s="256" t="s">
        <v>115</v>
      </c>
      <c r="F108" s="258">
        <v>6</v>
      </c>
      <c r="G108" s="259">
        <v>12.5</v>
      </c>
      <c r="H108" s="259">
        <f t="shared" si="85"/>
        <v>15.918750000000001</v>
      </c>
      <c r="I108" s="259">
        <f t="shared" si="86"/>
        <v>95.512500000000003</v>
      </c>
      <c r="J108" s="274"/>
      <c r="K108" s="280">
        <f>'[4]MEMORIA BM 06'!E99</f>
        <v>0</v>
      </c>
      <c r="L108" s="287">
        <f t="shared" si="87"/>
        <v>0</v>
      </c>
      <c r="M108" s="275">
        <f t="shared" si="88"/>
        <v>0</v>
      </c>
      <c r="N108" s="275">
        <f t="shared" si="89"/>
        <v>0</v>
      </c>
      <c r="O108" s="275">
        <f t="shared" si="90"/>
        <v>0</v>
      </c>
      <c r="P108" s="276">
        <f t="shared" si="91"/>
        <v>95.512500000000003</v>
      </c>
      <c r="Q108" s="263">
        <f t="shared" si="63"/>
        <v>0</v>
      </c>
    </row>
    <row r="109" spans="1:17" s="277" customFormat="1" ht="51">
      <c r="A109" s="255" t="s">
        <v>269</v>
      </c>
      <c r="B109" s="256" t="s">
        <v>270</v>
      </c>
      <c r="C109" s="257" t="s">
        <v>271</v>
      </c>
      <c r="D109" s="256" t="s">
        <v>19</v>
      </c>
      <c r="E109" s="256" t="s">
        <v>20</v>
      </c>
      <c r="F109" s="258">
        <v>203.96</v>
      </c>
      <c r="G109" s="259">
        <v>8.6</v>
      </c>
      <c r="H109" s="259">
        <f t="shared" si="85"/>
        <v>10.9521</v>
      </c>
      <c r="I109" s="259">
        <f t="shared" si="86"/>
        <v>2233.7903160000001</v>
      </c>
      <c r="J109" s="274"/>
      <c r="K109" s="280">
        <f>'[4]MEMORIA BM 06'!E100</f>
        <v>0</v>
      </c>
      <c r="L109" s="287">
        <f t="shared" si="87"/>
        <v>0</v>
      </c>
      <c r="M109" s="275">
        <f t="shared" si="88"/>
        <v>0</v>
      </c>
      <c r="N109" s="275">
        <f t="shared" si="89"/>
        <v>0</v>
      </c>
      <c r="O109" s="275">
        <f t="shared" si="90"/>
        <v>0</v>
      </c>
      <c r="P109" s="276">
        <f t="shared" si="91"/>
        <v>2233.7903160000001</v>
      </c>
      <c r="Q109" s="263">
        <f t="shared" si="63"/>
        <v>0</v>
      </c>
    </row>
    <row r="110" spans="1:17" s="277" customFormat="1" ht="51">
      <c r="A110" s="255" t="s">
        <v>272</v>
      </c>
      <c r="B110" s="256" t="s">
        <v>273</v>
      </c>
      <c r="C110" s="257" t="s">
        <v>274</v>
      </c>
      <c r="D110" s="256" t="s">
        <v>19</v>
      </c>
      <c r="E110" s="256" t="s">
        <v>20</v>
      </c>
      <c r="F110" s="258">
        <v>18.809999999999999</v>
      </c>
      <c r="G110" s="259">
        <v>9.2899999999999991</v>
      </c>
      <c r="H110" s="259">
        <f t="shared" si="85"/>
        <v>11.830814999999999</v>
      </c>
      <c r="I110" s="259">
        <f t="shared" si="86"/>
        <v>222.53763014999998</v>
      </c>
      <c r="J110" s="274"/>
      <c r="K110" s="280">
        <f>'[4]MEMORIA BM 06'!E101</f>
        <v>0</v>
      </c>
      <c r="L110" s="287">
        <f t="shared" si="87"/>
        <v>0</v>
      </c>
      <c r="M110" s="275">
        <f t="shared" si="88"/>
        <v>0</v>
      </c>
      <c r="N110" s="275">
        <f t="shared" si="89"/>
        <v>0</v>
      </c>
      <c r="O110" s="275">
        <f t="shared" si="90"/>
        <v>0</v>
      </c>
      <c r="P110" s="276">
        <f t="shared" si="91"/>
        <v>222.53763014999998</v>
      </c>
      <c r="Q110" s="263">
        <f t="shared" si="63"/>
        <v>0</v>
      </c>
    </row>
    <row r="111" spans="1:17" s="277" customFormat="1" ht="51">
      <c r="A111" s="255" t="s">
        <v>275</v>
      </c>
      <c r="B111" s="256" t="s">
        <v>276</v>
      </c>
      <c r="C111" s="257" t="s">
        <v>277</v>
      </c>
      <c r="D111" s="256" t="s">
        <v>19</v>
      </c>
      <c r="E111" s="256" t="s">
        <v>20</v>
      </c>
      <c r="F111" s="258">
        <v>0</v>
      </c>
      <c r="G111" s="259">
        <v>5.36</v>
      </c>
      <c r="H111" s="259">
        <f t="shared" si="85"/>
        <v>6.8259600000000011</v>
      </c>
      <c r="I111" s="259">
        <f t="shared" si="86"/>
        <v>0</v>
      </c>
      <c r="J111" s="274"/>
      <c r="K111" s="280">
        <f>'[4]MEMORIA BM 06'!E102</f>
        <v>0</v>
      </c>
      <c r="L111" s="287">
        <f t="shared" si="87"/>
        <v>0</v>
      </c>
      <c r="M111" s="275">
        <f t="shared" si="88"/>
        <v>0</v>
      </c>
      <c r="N111" s="275">
        <f t="shared" si="89"/>
        <v>0</v>
      </c>
      <c r="O111" s="275">
        <f t="shared" si="90"/>
        <v>0</v>
      </c>
      <c r="P111" s="276">
        <f t="shared" si="91"/>
        <v>0</v>
      </c>
      <c r="Q111" s="263"/>
    </row>
    <row r="112" spans="1:17" s="277" customFormat="1" ht="25.5">
      <c r="A112" s="255" t="s">
        <v>278</v>
      </c>
      <c r="B112" s="256" t="s">
        <v>279</v>
      </c>
      <c r="C112" s="257" t="s">
        <v>280</v>
      </c>
      <c r="D112" s="256" t="s">
        <v>19</v>
      </c>
      <c r="E112" s="256" t="s">
        <v>20</v>
      </c>
      <c r="F112" s="258">
        <v>0</v>
      </c>
      <c r="G112" s="259">
        <v>9.08</v>
      </c>
      <c r="H112" s="259">
        <f t="shared" si="85"/>
        <v>11.56338</v>
      </c>
      <c r="I112" s="259">
        <f t="shared" si="86"/>
        <v>0</v>
      </c>
      <c r="J112" s="274"/>
      <c r="K112" s="280">
        <f>'[4]MEMORIA BM 06'!E103</f>
        <v>0</v>
      </c>
      <c r="L112" s="287">
        <f t="shared" si="87"/>
        <v>0</v>
      </c>
      <c r="M112" s="275">
        <f t="shared" si="88"/>
        <v>0</v>
      </c>
      <c r="N112" s="275">
        <f t="shared" si="89"/>
        <v>0</v>
      </c>
      <c r="O112" s="275">
        <f t="shared" si="90"/>
        <v>0</v>
      </c>
      <c r="P112" s="276">
        <f t="shared" si="91"/>
        <v>0</v>
      </c>
      <c r="Q112" s="263"/>
    </row>
    <row r="113" spans="1:17" s="277" customFormat="1" ht="51">
      <c r="A113" s="255" t="s">
        <v>281</v>
      </c>
      <c r="B113" s="256" t="s">
        <v>282</v>
      </c>
      <c r="C113" s="257" t="s">
        <v>283</v>
      </c>
      <c r="D113" s="256" t="s">
        <v>19</v>
      </c>
      <c r="E113" s="256" t="s">
        <v>20</v>
      </c>
      <c r="F113" s="258">
        <v>20.3</v>
      </c>
      <c r="G113" s="259">
        <v>11.61</v>
      </c>
      <c r="H113" s="259">
        <f t="shared" si="85"/>
        <v>14.785335</v>
      </c>
      <c r="I113" s="259">
        <f t="shared" si="86"/>
        <v>300.14230050000003</v>
      </c>
      <c r="J113" s="274"/>
      <c r="K113" s="280">
        <f>'[4]MEMORIA BM 06'!E104</f>
        <v>0</v>
      </c>
      <c r="L113" s="287">
        <f t="shared" si="87"/>
        <v>0</v>
      </c>
      <c r="M113" s="275">
        <f t="shared" si="88"/>
        <v>0</v>
      </c>
      <c r="N113" s="275">
        <f t="shared" si="89"/>
        <v>0</v>
      </c>
      <c r="O113" s="275">
        <f t="shared" si="90"/>
        <v>0</v>
      </c>
      <c r="P113" s="276">
        <f t="shared" si="91"/>
        <v>300.14230050000003</v>
      </c>
      <c r="Q113" s="263">
        <f t="shared" si="63"/>
        <v>0</v>
      </c>
    </row>
    <row r="114" spans="1:17" s="277" customFormat="1" ht="51">
      <c r="A114" s="255" t="s">
        <v>284</v>
      </c>
      <c r="B114" s="256" t="s">
        <v>285</v>
      </c>
      <c r="C114" s="257" t="s">
        <v>286</v>
      </c>
      <c r="D114" s="256" t="s">
        <v>19</v>
      </c>
      <c r="E114" s="256" t="s">
        <v>20</v>
      </c>
      <c r="F114" s="258">
        <v>205</v>
      </c>
      <c r="G114" s="259">
        <v>9.59</v>
      </c>
      <c r="H114" s="259">
        <f t="shared" si="85"/>
        <v>12.212865000000001</v>
      </c>
      <c r="I114" s="259">
        <f t="shared" si="86"/>
        <v>2503.6373250000001</v>
      </c>
      <c r="J114" s="274"/>
      <c r="K114" s="280">
        <f>'[4]MEMORIA BM 06'!E105</f>
        <v>0</v>
      </c>
      <c r="L114" s="287">
        <f t="shared" si="87"/>
        <v>0</v>
      </c>
      <c r="M114" s="275">
        <f t="shared" si="88"/>
        <v>0</v>
      </c>
      <c r="N114" s="275">
        <f t="shared" si="89"/>
        <v>0</v>
      </c>
      <c r="O114" s="275">
        <f t="shared" si="90"/>
        <v>0</v>
      </c>
      <c r="P114" s="276">
        <f t="shared" si="91"/>
        <v>2503.6373250000001</v>
      </c>
      <c r="Q114" s="263">
        <f t="shared" si="63"/>
        <v>0</v>
      </c>
    </row>
    <row r="115" spans="1:17" s="277" customFormat="1" ht="51">
      <c r="A115" s="255" t="s">
        <v>287</v>
      </c>
      <c r="B115" s="256" t="s">
        <v>288</v>
      </c>
      <c r="C115" s="257" t="s">
        <v>289</v>
      </c>
      <c r="D115" s="256" t="s">
        <v>19</v>
      </c>
      <c r="E115" s="256" t="s">
        <v>115</v>
      </c>
      <c r="F115" s="258">
        <v>6</v>
      </c>
      <c r="G115" s="259">
        <v>5.3</v>
      </c>
      <c r="H115" s="259">
        <f t="shared" si="85"/>
        <v>6.7495500000000002</v>
      </c>
      <c r="I115" s="259">
        <f t="shared" si="86"/>
        <v>40.497300000000003</v>
      </c>
      <c r="J115" s="274"/>
      <c r="K115" s="274"/>
      <c r="L115" s="287">
        <f t="shared" si="87"/>
        <v>0</v>
      </c>
      <c r="M115" s="275">
        <f t="shared" si="88"/>
        <v>0</v>
      </c>
      <c r="N115" s="275">
        <f t="shared" si="89"/>
        <v>0</v>
      </c>
      <c r="O115" s="275">
        <f t="shared" si="90"/>
        <v>0</v>
      </c>
      <c r="P115" s="276">
        <f t="shared" si="91"/>
        <v>40.497300000000003</v>
      </c>
      <c r="Q115" s="263">
        <f t="shared" si="63"/>
        <v>0</v>
      </c>
    </row>
    <row r="116" spans="1:17" ht="51">
      <c r="A116" s="255" t="s">
        <v>290</v>
      </c>
      <c r="B116" s="256" t="s">
        <v>291</v>
      </c>
      <c r="C116" s="257" t="s">
        <v>292</v>
      </c>
      <c r="D116" s="256" t="s">
        <v>19</v>
      </c>
      <c r="E116" s="256" t="s">
        <v>115</v>
      </c>
      <c r="F116" s="258">
        <v>14</v>
      </c>
      <c r="G116" s="259">
        <v>7.01</v>
      </c>
      <c r="H116" s="259">
        <f t="shared" si="85"/>
        <v>8.9272349999999996</v>
      </c>
      <c r="I116" s="259">
        <f t="shared" si="86"/>
        <v>124.98129</v>
      </c>
      <c r="J116" s="4"/>
      <c r="K116" s="19"/>
      <c r="L116" s="287">
        <f t="shared" si="87"/>
        <v>0</v>
      </c>
      <c r="M116" s="260">
        <f t="shared" si="88"/>
        <v>0</v>
      </c>
      <c r="N116" s="260">
        <f t="shared" si="89"/>
        <v>0</v>
      </c>
      <c r="O116" s="261">
        <f t="shared" si="90"/>
        <v>0</v>
      </c>
      <c r="P116" s="262">
        <f t="shared" si="91"/>
        <v>124.98129</v>
      </c>
      <c r="Q116" s="263">
        <f t="shared" si="63"/>
        <v>0</v>
      </c>
    </row>
    <row r="117" spans="1:17" ht="38.25">
      <c r="A117" s="255" t="s">
        <v>293</v>
      </c>
      <c r="B117" s="256" t="s">
        <v>294</v>
      </c>
      <c r="C117" s="257" t="s">
        <v>295</v>
      </c>
      <c r="D117" s="256" t="s">
        <v>19</v>
      </c>
      <c r="E117" s="256" t="s">
        <v>115</v>
      </c>
      <c r="F117" s="258">
        <v>0</v>
      </c>
      <c r="G117" s="259">
        <v>9.07</v>
      </c>
      <c r="H117" s="259">
        <f t="shared" si="85"/>
        <v>11.550645000000001</v>
      </c>
      <c r="I117" s="259">
        <f t="shared" si="86"/>
        <v>0</v>
      </c>
      <c r="J117" s="4"/>
      <c r="K117" s="19"/>
      <c r="L117" s="287">
        <f t="shared" si="87"/>
        <v>0</v>
      </c>
      <c r="M117" s="260">
        <f t="shared" si="88"/>
        <v>0</v>
      </c>
      <c r="N117" s="260">
        <f t="shared" si="89"/>
        <v>0</v>
      </c>
      <c r="O117" s="261">
        <f t="shared" si="90"/>
        <v>0</v>
      </c>
      <c r="P117" s="262">
        <f t="shared" si="91"/>
        <v>0</v>
      </c>
      <c r="Q117" s="263"/>
    </row>
    <row r="118" spans="1:17" ht="63.75">
      <c r="A118" s="255" t="s">
        <v>296</v>
      </c>
      <c r="B118" s="256" t="s">
        <v>297</v>
      </c>
      <c r="C118" s="257" t="s">
        <v>298</v>
      </c>
      <c r="D118" s="256" t="s">
        <v>19</v>
      </c>
      <c r="E118" s="256" t="s">
        <v>115</v>
      </c>
      <c r="F118" s="258">
        <v>1</v>
      </c>
      <c r="G118" s="259">
        <v>490.95</v>
      </c>
      <c r="H118" s="259">
        <f t="shared" si="85"/>
        <v>625.22482500000001</v>
      </c>
      <c r="I118" s="259">
        <f t="shared" si="86"/>
        <v>625.22482500000001</v>
      </c>
      <c r="J118" s="4"/>
      <c r="K118" s="19"/>
      <c r="L118" s="287">
        <f t="shared" si="87"/>
        <v>0</v>
      </c>
      <c r="M118" s="260">
        <f t="shared" si="88"/>
        <v>0</v>
      </c>
      <c r="N118" s="260">
        <f t="shared" si="89"/>
        <v>0</v>
      </c>
      <c r="O118" s="261">
        <f t="shared" si="90"/>
        <v>0</v>
      </c>
      <c r="P118" s="262">
        <f t="shared" si="91"/>
        <v>625.22482500000001</v>
      </c>
      <c r="Q118" s="263">
        <f t="shared" si="63"/>
        <v>0</v>
      </c>
    </row>
    <row r="119" spans="1:17" ht="63.75">
      <c r="A119" s="255" t="s">
        <v>299</v>
      </c>
      <c r="B119" s="256" t="s">
        <v>300</v>
      </c>
      <c r="C119" s="257" t="s">
        <v>301</v>
      </c>
      <c r="D119" s="256" t="s">
        <v>19</v>
      </c>
      <c r="E119" s="256" t="s">
        <v>115</v>
      </c>
      <c r="F119" s="258">
        <v>1</v>
      </c>
      <c r="G119" s="259">
        <v>460.24</v>
      </c>
      <c r="H119" s="259">
        <f t="shared" si="85"/>
        <v>586.1156400000001</v>
      </c>
      <c r="I119" s="259">
        <f t="shared" si="86"/>
        <v>586.1156400000001</v>
      </c>
      <c r="J119" s="4"/>
      <c r="K119" s="19"/>
      <c r="L119" s="287">
        <f t="shared" si="87"/>
        <v>0</v>
      </c>
      <c r="M119" s="260">
        <f t="shared" si="88"/>
        <v>0</v>
      </c>
      <c r="N119" s="260">
        <f t="shared" si="89"/>
        <v>0</v>
      </c>
      <c r="O119" s="261">
        <f t="shared" si="90"/>
        <v>0</v>
      </c>
      <c r="P119" s="262">
        <f t="shared" si="91"/>
        <v>586.1156400000001</v>
      </c>
      <c r="Q119" s="263">
        <f t="shared" si="63"/>
        <v>0</v>
      </c>
    </row>
    <row r="120" spans="1:17">
      <c r="A120" s="255" t="s">
        <v>302</v>
      </c>
      <c r="B120" s="256" t="s">
        <v>303</v>
      </c>
      <c r="C120" s="257" t="s">
        <v>304</v>
      </c>
      <c r="D120" s="256"/>
      <c r="E120" s="256" t="s">
        <v>305</v>
      </c>
      <c r="F120" s="258">
        <v>41</v>
      </c>
      <c r="G120" s="259">
        <v>22.26</v>
      </c>
      <c r="H120" s="259">
        <f t="shared" si="85"/>
        <v>28.348110000000002</v>
      </c>
      <c r="I120" s="259">
        <f t="shared" si="86"/>
        <v>1162.27251</v>
      </c>
      <c r="J120" s="4"/>
      <c r="K120" s="19"/>
      <c r="L120" s="287">
        <f t="shared" si="87"/>
        <v>0</v>
      </c>
      <c r="M120" s="260">
        <f t="shared" si="88"/>
        <v>0</v>
      </c>
      <c r="N120" s="260">
        <f t="shared" si="89"/>
        <v>0</v>
      </c>
      <c r="O120" s="261">
        <f t="shared" si="90"/>
        <v>0</v>
      </c>
      <c r="P120" s="262">
        <f t="shared" si="91"/>
        <v>1162.27251</v>
      </c>
      <c r="Q120" s="263">
        <f t="shared" si="63"/>
        <v>0</v>
      </c>
    </row>
    <row r="121" spans="1:17" ht="25.5">
      <c r="A121" s="255" t="s">
        <v>306</v>
      </c>
      <c r="B121" s="256" t="s">
        <v>307</v>
      </c>
      <c r="C121" s="257" t="s">
        <v>308</v>
      </c>
      <c r="D121" s="256" t="s">
        <v>10</v>
      </c>
      <c r="E121" s="256" t="s">
        <v>15</v>
      </c>
      <c r="F121" s="258">
        <v>6</v>
      </c>
      <c r="G121" s="259">
        <v>71.28</v>
      </c>
      <c r="H121" s="259">
        <f t="shared" si="85"/>
        <v>90.775080000000003</v>
      </c>
      <c r="I121" s="259">
        <f t="shared" si="86"/>
        <v>544.65048000000002</v>
      </c>
      <c r="J121" s="4"/>
      <c r="K121" s="19"/>
      <c r="L121" s="287">
        <f t="shared" si="87"/>
        <v>0</v>
      </c>
      <c r="M121" s="260">
        <f t="shared" si="88"/>
        <v>0</v>
      </c>
      <c r="N121" s="260">
        <f t="shared" si="89"/>
        <v>0</v>
      </c>
      <c r="O121" s="261">
        <f t="shared" si="90"/>
        <v>0</v>
      </c>
      <c r="P121" s="262">
        <f t="shared" si="91"/>
        <v>544.65048000000002</v>
      </c>
      <c r="Q121" s="263">
        <f t="shared" si="63"/>
        <v>0</v>
      </c>
    </row>
    <row r="122" spans="1:17" ht="38.25">
      <c r="A122" s="255" t="s">
        <v>309</v>
      </c>
      <c r="B122" s="256" t="s">
        <v>310</v>
      </c>
      <c r="C122" s="257" t="s">
        <v>311</v>
      </c>
      <c r="D122" s="256" t="s">
        <v>19</v>
      </c>
      <c r="E122" s="256" t="s">
        <v>115</v>
      </c>
      <c r="F122" s="258">
        <v>11</v>
      </c>
      <c r="G122" s="259">
        <v>26.34</v>
      </c>
      <c r="H122" s="259">
        <f t="shared" si="85"/>
        <v>33.543990000000001</v>
      </c>
      <c r="I122" s="259">
        <f t="shared" si="86"/>
        <v>368.98389000000003</v>
      </c>
      <c r="J122" s="4"/>
      <c r="K122" s="19"/>
      <c r="L122" s="287">
        <f t="shared" si="87"/>
        <v>0</v>
      </c>
      <c r="M122" s="260">
        <f t="shared" si="88"/>
        <v>0</v>
      </c>
      <c r="N122" s="260">
        <f t="shared" si="89"/>
        <v>0</v>
      </c>
      <c r="O122" s="261">
        <f t="shared" si="90"/>
        <v>0</v>
      </c>
      <c r="P122" s="262">
        <f t="shared" si="91"/>
        <v>368.98389000000003</v>
      </c>
      <c r="Q122" s="263">
        <f t="shared" si="63"/>
        <v>0</v>
      </c>
    </row>
    <row r="123" spans="1:17" ht="38.25">
      <c r="A123" s="255" t="s">
        <v>312</v>
      </c>
      <c r="B123" s="256" t="s">
        <v>313</v>
      </c>
      <c r="C123" s="257" t="s">
        <v>314</v>
      </c>
      <c r="D123" s="256" t="s">
        <v>19</v>
      </c>
      <c r="E123" s="256" t="s">
        <v>115</v>
      </c>
      <c r="F123" s="258">
        <v>8</v>
      </c>
      <c r="G123" s="259">
        <v>30.42</v>
      </c>
      <c r="H123" s="259">
        <f t="shared" si="85"/>
        <v>38.739870000000003</v>
      </c>
      <c r="I123" s="259">
        <f t="shared" si="86"/>
        <v>309.91896000000003</v>
      </c>
      <c r="J123" s="4"/>
      <c r="K123" s="19"/>
      <c r="L123" s="287">
        <f t="shared" si="87"/>
        <v>0</v>
      </c>
      <c r="M123" s="260">
        <f t="shared" si="88"/>
        <v>0</v>
      </c>
      <c r="N123" s="260">
        <f t="shared" si="89"/>
        <v>0</v>
      </c>
      <c r="O123" s="261">
        <f t="shared" si="90"/>
        <v>0</v>
      </c>
      <c r="P123" s="262">
        <f t="shared" si="91"/>
        <v>309.91896000000003</v>
      </c>
      <c r="Q123" s="263">
        <f t="shared" si="63"/>
        <v>0</v>
      </c>
    </row>
    <row r="124" spans="1:17" ht="51">
      <c r="A124" s="255" t="s">
        <v>315</v>
      </c>
      <c r="B124" s="256" t="s">
        <v>316</v>
      </c>
      <c r="C124" s="257" t="s">
        <v>317</v>
      </c>
      <c r="D124" s="256" t="s">
        <v>19</v>
      </c>
      <c r="E124" s="256" t="s">
        <v>115</v>
      </c>
      <c r="F124" s="258">
        <v>1</v>
      </c>
      <c r="G124" s="259">
        <v>54.64</v>
      </c>
      <c r="H124" s="259">
        <f t="shared" si="85"/>
        <v>69.584040000000002</v>
      </c>
      <c r="I124" s="259">
        <f t="shared" si="86"/>
        <v>69.584040000000002</v>
      </c>
      <c r="J124" s="4"/>
      <c r="K124" s="19"/>
      <c r="L124" s="287">
        <f t="shared" si="87"/>
        <v>0</v>
      </c>
      <c r="M124" s="260">
        <f t="shared" si="88"/>
        <v>0</v>
      </c>
      <c r="N124" s="260">
        <f t="shared" si="89"/>
        <v>0</v>
      </c>
      <c r="O124" s="261">
        <f t="shared" si="90"/>
        <v>0</v>
      </c>
      <c r="P124" s="262">
        <f t="shared" si="91"/>
        <v>69.584040000000002</v>
      </c>
      <c r="Q124" s="263">
        <f t="shared" si="63"/>
        <v>0</v>
      </c>
    </row>
    <row r="125" spans="1:17" ht="51">
      <c r="A125" s="255" t="s">
        <v>318</v>
      </c>
      <c r="B125" s="256" t="s">
        <v>319</v>
      </c>
      <c r="C125" s="257" t="s">
        <v>320</v>
      </c>
      <c r="D125" s="256" t="s">
        <v>19</v>
      </c>
      <c r="E125" s="256" t="s">
        <v>115</v>
      </c>
      <c r="F125" s="258">
        <v>6</v>
      </c>
      <c r="G125" s="259">
        <v>85.63</v>
      </c>
      <c r="H125" s="259">
        <f t="shared" si="85"/>
        <v>109.04980500000001</v>
      </c>
      <c r="I125" s="259">
        <f t="shared" si="86"/>
        <v>654.29883000000007</v>
      </c>
      <c r="J125" s="4"/>
      <c r="K125" s="19"/>
      <c r="L125" s="287">
        <f t="shared" si="87"/>
        <v>0</v>
      </c>
      <c r="M125" s="260">
        <f t="shared" si="88"/>
        <v>0</v>
      </c>
      <c r="N125" s="260">
        <f t="shared" si="89"/>
        <v>0</v>
      </c>
      <c r="O125" s="261">
        <f t="shared" si="90"/>
        <v>0</v>
      </c>
      <c r="P125" s="262">
        <f t="shared" si="91"/>
        <v>654.29883000000007</v>
      </c>
      <c r="Q125" s="263">
        <f t="shared" si="63"/>
        <v>0</v>
      </c>
    </row>
    <row r="126" spans="1:17" ht="51">
      <c r="A126" s="255" t="s">
        <v>321</v>
      </c>
      <c r="B126" s="256" t="s">
        <v>322</v>
      </c>
      <c r="C126" s="257" t="s">
        <v>323</v>
      </c>
      <c r="D126" s="256" t="s">
        <v>19</v>
      </c>
      <c r="E126" s="256" t="s">
        <v>115</v>
      </c>
      <c r="F126" s="258">
        <v>81</v>
      </c>
      <c r="G126" s="259">
        <v>117.08</v>
      </c>
      <c r="H126" s="259">
        <f t="shared" si="85"/>
        <v>149.10138000000001</v>
      </c>
      <c r="I126" s="259">
        <f t="shared" si="86"/>
        <v>12077.21178</v>
      </c>
      <c r="J126" s="4"/>
      <c r="K126" s="19"/>
      <c r="L126" s="287">
        <f t="shared" si="87"/>
        <v>0</v>
      </c>
      <c r="M126" s="260">
        <f t="shared" si="88"/>
        <v>0</v>
      </c>
      <c r="N126" s="260">
        <f t="shared" si="89"/>
        <v>0</v>
      </c>
      <c r="O126" s="261">
        <f t="shared" si="90"/>
        <v>0</v>
      </c>
      <c r="P126" s="262">
        <f t="shared" si="91"/>
        <v>12077.21178</v>
      </c>
      <c r="Q126" s="263">
        <f t="shared" si="63"/>
        <v>0</v>
      </c>
    </row>
    <row r="127" spans="1:17" ht="51">
      <c r="A127" s="255" t="s">
        <v>324</v>
      </c>
      <c r="B127" s="256" t="s">
        <v>325</v>
      </c>
      <c r="C127" s="257" t="s">
        <v>326</v>
      </c>
      <c r="D127" s="256" t="s">
        <v>19</v>
      </c>
      <c r="E127" s="256" t="s">
        <v>20</v>
      </c>
      <c r="F127" s="258">
        <v>64.95</v>
      </c>
      <c r="G127" s="259">
        <v>13.87</v>
      </c>
      <c r="H127" s="259">
        <f t="shared" si="85"/>
        <v>17.663444999999999</v>
      </c>
      <c r="I127" s="259">
        <f t="shared" si="86"/>
        <v>1147.24075275</v>
      </c>
      <c r="J127" s="4"/>
      <c r="K127" s="19"/>
      <c r="L127" s="287">
        <f t="shared" si="87"/>
        <v>0</v>
      </c>
      <c r="M127" s="260">
        <f t="shared" si="88"/>
        <v>0</v>
      </c>
      <c r="N127" s="260">
        <f t="shared" si="89"/>
        <v>0</v>
      </c>
      <c r="O127" s="261">
        <f t="shared" si="90"/>
        <v>0</v>
      </c>
      <c r="P127" s="262">
        <f t="shared" si="91"/>
        <v>1147.24075275</v>
      </c>
      <c r="Q127" s="263">
        <f t="shared" si="63"/>
        <v>0</v>
      </c>
    </row>
    <row r="128" spans="1:17" ht="51">
      <c r="A128" s="255" t="s">
        <v>327</v>
      </c>
      <c r="B128" s="256" t="s">
        <v>325</v>
      </c>
      <c r="C128" s="257" t="s">
        <v>326</v>
      </c>
      <c r="D128" s="256" t="s">
        <v>19</v>
      </c>
      <c r="E128" s="256" t="s">
        <v>20</v>
      </c>
      <c r="F128" s="258">
        <v>21.65</v>
      </c>
      <c r="G128" s="259">
        <v>13.87</v>
      </c>
      <c r="H128" s="259">
        <f t="shared" si="85"/>
        <v>17.663444999999999</v>
      </c>
      <c r="I128" s="259">
        <f t="shared" si="86"/>
        <v>382.41358424999999</v>
      </c>
      <c r="J128" s="4"/>
      <c r="K128" s="19"/>
      <c r="L128" s="287">
        <f t="shared" si="87"/>
        <v>0</v>
      </c>
      <c r="M128" s="260">
        <f t="shared" si="88"/>
        <v>0</v>
      </c>
      <c r="N128" s="260">
        <f t="shared" si="89"/>
        <v>0</v>
      </c>
      <c r="O128" s="261">
        <f t="shared" si="90"/>
        <v>0</v>
      </c>
      <c r="P128" s="262">
        <f t="shared" si="91"/>
        <v>382.41358424999999</v>
      </c>
      <c r="Q128" s="263">
        <f t="shared" si="63"/>
        <v>0</v>
      </c>
    </row>
    <row r="129" spans="1:17" ht="51">
      <c r="A129" s="255" t="s">
        <v>328</v>
      </c>
      <c r="B129" s="256" t="s">
        <v>325</v>
      </c>
      <c r="C129" s="257" t="s">
        <v>326</v>
      </c>
      <c r="D129" s="256" t="s">
        <v>19</v>
      </c>
      <c r="E129" s="256" t="s">
        <v>20</v>
      </c>
      <c r="F129" s="258">
        <v>30.65</v>
      </c>
      <c r="G129" s="259">
        <v>13.87</v>
      </c>
      <c r="H129" s="259">
        <f t="shared" si="85"/>
        <v>17.663444999999999</v>
      </c>
      <c r="I129" s="259">
        <f t="shared" si="86"/>
        <v>541.38458924999998</v>
      </c>
      <c r="J129" s="4"/>
      <c r="K129" s="19"/>
      <c r="L129" s="287">
        <f t="shared" si="87"/>
        <v>0</v>
      </c>
      <c r="M129" s="260">
        <f t="shared" si="88"/>
        <v>0</v>
      </c>
      <c r="N129" s="260">
        <f t="shared" si="89"/>
        <v>0</v>
      </c>
      <c r="O129" s="261">
        <f t="shared" si="90"/>
        <v>0</v>
      </c>
      <c r="P129" s="262">
        <f t="shared" si="91"/>
        <v>541.38458924999998</v>
      </c>
      <c r="Q129" s="263">
        <f t="shared" si="63"/>
        <v>0</v>
      </c>
    </row>
    <row r="130" spans="1:17" ht="38.25">
      <c r="A130" s="255" t="s">
        <v>329</v>
      </c>
      <c r="B130" s="256" t="s">
        <v>330</v>
      </c>
      <c r="C130" s="257" t="s">
        <v>331</v>
      </c>
      <c r="D130" s="256" t="s">
        <v>10</v>
      </c>
      <c r="E130" s="256" t="s">
        <v>15</v>
      </c>
      <c r="F130" s="258">
        <v>4</v>
      </c>
      <c r="G130" s="259">
        <v>137.51</v>
      </c>
      <c r="H130" s="259">
        <f t="shared" si="85"/>
        <v>175.11898500000001</v>
      </c>
      <c r="I130" s="259">
        <f t="shared" si="86"/>
        <v>700.47594000000004</v>
      </c>
      <c r="J130" s="4"/>
      <c r="K130" s="19"/>
      <c r="L130" s="287">
        <f t="shared" si="87"/>
        <v>0</v>
      </c>
      <c r="M130" s="260">
        <f t="shared" si="88"/>
        <v>0</v>
      </c>
      <c r="N130" s="260">
        <f t="shared" si="89"/>
        <v>0</v>
      </c>
      <c r="O130" s="261">
        <f t="shared" si="90"/>
        <v>0</v>
      </c>
      <c r="P130" s="262">
        <f t="shared" si="91"/>
        <v>700.47594000000004</v>
      </c>
      <c r="Q130" s="263">
        <f t="shared" si="63"/>
        <v>0</v>
      </c>
    </row>
    <row r="131" spans="1:17" ht="38.25">
      <c r="A131" s="255" t="s">
        <v>332</v>
      </c>
      <c r="B131" s="256" t="s">
        <v>333</v>
      </c>
      <c r="C131" s="257" t="s">
        <v>334</v>
      </c>
      <c r="D131" s="256" t="s">
        <v>19</v>
      </c>
      <c r="E131" s="256" t="s">
        <v>115</v>
      </c>
      <c r="F131" s="258">
        <v>15</v>
      </c>
      <c r="G131" s="259">
        <v>8.34</v>
      </c>
      <c r="H131" s="259">
        <f t="shared" si="85"/>
        <v>10.620990000000001</v>
      </c>
      <c r="I131" s="259">
        <f t="shared" si="86"/>
        <v>159.31485000000001</v>
      </c>
      <c r="J131" s="4"/>
      <c r="K131" s="19"/>
      <c r="L131" s="287">
        <f t="shared" si="87"/>
        <v>0</v>
      </c>
      <c r="M131" s="260">
        <f t="shared" si="88"/>
        <v>0</v>
      </c>
      <c r="N131" s="260">
        <f t="shared" si="89"/>
        <v>0</v>
      </c>
      <c r="O131" s="261">
        <f t="shared" si="90"/>
        <v>0</v>
      </c>
      <c r="P131" s="262">
        <f t="shared" si="91"/>
        <v>159.31485000000001</v>
      </c>
      <c r="Q131" s="263">
        <f t="shared" si="63"/>
        <v>0</v>
      </c>
    </row>
    <row r="132" spans="1:17" ht="38.25">
      <c r="A132" s="255" t="s">
        <v>335</v>
      </c>
      <c r="B132" s="256" t="s">
        <v>336</v>
      </c>
      <c r="C132" s="257" t="s">
        <v>337</v>
      </c>
      <c r="D132" s="256" t="s">
        <v>19</v>
      </c>
      <c r="E132" s="256" t="s">
        <v>115</v>
      </c>
      <c r="F132" s="258">
        <v>3</v>
      </c>
      <c r="G132" s="259">
        <v>7.22</v>
      </c>
      <c r="H132" s="259">
        <f t="shared" si="85"/>
        <v>9.1946700000000003</v>
      </c>
      <c r="I132" s="259">
        <f t="shared" si="86"/>
        <v>27.584009999999999</v>
      </c>
      <c r="J132" s="4"/>
      <c r="K132" s="19"/>
      <c r="L132" s="287">
        <f t="shared" si="87"/>
        <v>0</v>
      </c>
      <c r="M132" s="260">
        <f t="shared" si="88"/>
        <v>0</v>
      </c>
      <c r="N132" s="260">
        <f t="shared" si="89"/>
        <v>0</v>
      </c>
      <c r="O132" s="261">
        <f t="shared" si="90"/>
        <v>0</v>
      </c>
      <c r="P132" s="262">
        <f t="shared" si="91"/>
        <v>27.584009999999999</v>
      </c>
      <c r="Q132" s="263">
        <f t="shared" si="63"/>
        <v>0</v>
      </c>
    </row>
    <row r="133" spans="1:17" ht="38.25">
      <c r="A133" s="255" t="s">
        <v>338</v>
      </c>
      <c r="B133" s="256" t="s">
        <v>339</v>
      </c>
      <c r="C133" s="257" t="s">
        <v>340</v>
      </c>
      <c r="D133" s="256" t="s">
        <v>19</v>
      </c>
      <c r="E133" s="256" t="s">
        <v>115</v>
      </c>
      <c r="F133" s="258">
        <v>2</v>
      </c>
      <c r="G133" s="259">
        <v>57.46</v>
      </c>
      <c r="H133" s="259">
        <f t="shared" si="85"/>
        <v>73.17531000000001</v>
      </c>
      <c r="I133" s="259">
        <f t="shared" si="86"/>
        <v>146.35062000000002</v>
      </c>
      <c r="J133" s="4"/>
      <c r="K133" s="19"/>
      <c r="L133" s="287">
        <f t="shared" si="87"/>
        <v>0</v>
      </c>
      <c r="M133" s="260">
        <f t="shared" si="88"/>
        <v>0</v>
      </c>
      <c r="N133" s="260">
        <f t="shared" si="89"/>
        <v>0</v>
      </c>
      <c r="O133" s="261">
        <f t="shared" si="90"/>
        <v>0</v>
      </c>
      <c r="P133" s="262">
        <f t="shared" si="91"/>
        <v>146.35062000000002</v>
      </c>
      <c r="Q133" s="263">
        <f t="shared" si="63"/>
        <v>0</v>
      </c>
    </row>
    <row r="134" spans="1:17" ht="38.25">
      <c r="A134" s="255" t="s">
        <v>341</v>
      </c>
      <c r="B134" s="256" t="s">
        <v>339</v>
      </c>
      <c r="C134" s="257" t="s">
        <v>340</v>
      </c>
      <c r="D134" s="256" t="s">
        <v>19</v>
      </c>
      <c r="E134" s="256" t="s">
        <v>115</v>
      </c>
      <c r="F134" s="258">
        <v>2</v>
      </c>
      <c r="G134" s="259">
        <v>57.46</v>
      </c>
      <c r="H134" s="259">
        <f t="shared" si="85"/>
        <v>73.17531000000001</v>
      </c>
      <c r="I134" s="259">
        <f t="shared" si="86"/>
        <v>146.35062000000002</v>
      </c>
      <c r="J134" s="4"/>
      <c r="K134" s="19"/>
      <c r="L134" s="287">
        <f t="shared" si="87"/>
        <v>0</v>
      </c>
      <c r="M134" s="260">
        <f t="shared" si="88"/>
        <v>0</v>
      </c>
      <c r="N134" s="260">
        <f t="shared" si="89"/>
        <v>0</v>
      </c>
      <c r="O134" s="261">
        <f t="shared" si="90"/>
        <v>0</v>
      </c>
      <c r="P134" s="262">
        <f t="shared" si="91"/>
        <v>146.35062000000002</v>
      </c>
      <c r="Q134" s="263">
        <f t="shared" si="63"/>
        <v>0</v>
      </c>
    </row>
    <row r="135" spans="1:17" ht="38.25">
      <c r="A135" s="255" t="s">
        <v>342</v>
      </c>
      <c r="B135" s="256" t="s">
        <v>343</v>
      </c>
      <c r="C135" s="257" t="s">
        <v>344</v>
      </c>
      <c r="D135" s="256" t="s">
        <v>19</v>
      </c>
      <c r="E135" s="256" t="s">
        <v>20</v>
      </c>
      <c r="F135" s="258">
        <v>585.29999999999995</v>
      </c>
      <c r="G135" s="259">
        <v>5.22</v>
      </c>
      <c r="H135" s="259">
        <f t="shared" si="85"/>
        <v>6.6476699999999997</v>
      </c>
      <c r="I135" s="259">
        <f t="shared" si="86"/>
        <v>3890.8812509999993</v>
      </c>
      <c r="J135" s="4"/>
      <c r="K135" s="19"/>
      <c r="L135" s="287">
        <f t="shared" si="87"/>
        <v>0</v>
      </c>
      <c r="M135" s="260">
        <f t="shared" si="88"/>
        <v>0</v>
      </c>
      <c r="N135" s="260">
        <f t="shared" si="89"/>
        <v>0</v>
      </c>
      <c r="O135" s="261">
        <f t="shared" si="90"/>
        <v>0</v>
      </c>
      <c r="P135" s="262">
        <f t="shared" si="91"/>
        <v>3890.8812509999993</v>
      </c>
      <c r="Q135" s="263">
        <f t="shared" si="63"/>
        <v>0</v>
      </c>
    </row>
    <row r="136" spans="1:17" ht="38.25">
      <c r="A136" s="255" t="s">
        <v>345</v>
      </c>
      <c r="B136" s="256" t="s">
        <v>346</v>
      </c>
      <c r="C136" s="257" t="s">
        <v>347</v>
      </c>
      <c r="D136" s="256" t="s">
        <v>19</v>
      </c>
      <c r="E136" s="256" t="s">
        <v>20</v>
      </c>
      <c r="F136" s="258">
        <v>451.74</v>
      </c>
      <c r="G136" s="259">
        <v>2.14</v>
      </c>
      <c r="H136" s="259">
        <f t="shared" si="85"/>
        <v>2.7252900000000002</v>
      </c>
      <c r="I136" s="259">
        <f t="shared" si="86"/>
        <v>1231.1225046000002</v>
      </c>
      <c r="J136" s="4"/>
      <c r="K136" s="19"/>
      <c r="L136" s="287">
        <f t="shared" si="87"/>
        <v>0</v>
      </c>
      <c r="M136" s="260">
        <f t="shared" si="88"/>
        <v>0</v>
      </c>
      <c r="N136" s="260">
        <f t="shared" si="89"/>
        <v>0</v>
      </c>
      <c r="O136" s="261">
        <f t="shared" si="90"/>
        <v>0</v>
      </c>
      <c r="P136" s="262">
        <f t="shared" si="91"/>
        <v>1231.1225046000002</v>
      </c>
      <c r="Q136" s="263">
        <f t="shared" si="63"/>
        <v>0</v>
      </c>
    </row>
    <row r="137" spans="1:17" ht="25.5">
      <c r="A137" s="255" t="s">
        <v>348</v>
      </c>
      <c r="B137" s="256" t="s">
        <v>349</v>
      </c>
      <c r="C137" s="257" t="s">
        <v>350</v>
      </c>
      <c r="D137" s="256"/>
      <c r="E137" s="256" t="s">
        <v>351</v>
      </c>
      <c r="F137" s="258">
        <v>1</v>
      </c>
      <c r="G137" s="259">
        <v>180</v>
      </c>
      <c r="H137" s="259">
        <f t="shared" si="85"/>
        <v>229.23000000000002</v>
      </c>
      <c r="I137" s="259">
        <f t="shared" si="86"/>
        <v>229.23000000000002</v>
      </c>
      <c r="J137" s="4"/>
      <c r="K137" s="19"/>
      <c r="L137" s="287">
        <f t="shared" si="87"/>
        <v>0</v>
      </c>
      <c r="M137" s="260">
        <f t="shared" si="88"/>
        <v>0</v>
      </c>
      <c r="N137" s="260">
        <f t="shared" si="89"/>
        <v>0</v>
      </c>
      <c r="O137" s="261">
        <f t="shared" si="90"/>
        <v>0</v>
      </c>
      <c r="P137" s="262">
        <f t="shared" si="91"/>
        <v>229.23000000000002</v>
      </c>
      <c r="Q137" s="263">
        <f t="shared" si="63"/>
        <v>0</v>
      </c>
    </row>
    <row r="138" spans="1:17" ht="38.25">
      <c r="A138" s="255" t="s">
        <v>352</v>
      </c>
      <c r="B138" s="256" t="s">
        <v>353</v>
      </c>
      <c r="C138" s="257" t="s">
        <v>354</v>
      </c>
      <c r="D138" s="256" t="s">
        <v>19</v>
      </c>
      <c r="E138" s="256" t="s">
        <v>115</v>
      </c>
      <c r="F138" s="258">
        <v>3</v>
      </c>
      <c r="G138" s="259">
        <v>31.04</v>
      </c>
      <c r="H138" s="259">
        <f t="shared" si="85"/>
        <v>39.529440000000001</v>
      </c>
      <c r="I138" s="259">
        <f t="shared" si="86"/>
        <v>118.58832000000001</v>
      </c>
      <c r="J138" s="4"/>
      <c r="K138" s="19"/>
      <c r="L138" s="287">
        <f t="shared" si="87"/>
        <v>0</v>
      </c>
      <c r="M138" s="260">
        <f t="shared" si="88"/>
        <v>0</v>
      </c>
      <c r="N138" s="260">
        <f t="shared" si="89"/>
        <v>0</v>
      </c>
      <c r="O138" s="261">
        <f t="shared" si="90"/>
        <v>0</v>
      </c>
      <c r="P138" s="262">
        <f t="shared" si="91"/>
        <v>118.58832000000001</v>
      </c>
      <c r="Q138" s="263">
        <f t="shared" ref="Q138:Q201" si="92">O138/I138</f>
        <v>0</v>
      </c>
    </row>
    <row r="139" spans="1:17" ht="25.5">
      <c r="A139" s="255" t="s">
        <v>355</v>
      </c>
      <c r="B139" s="256" t="s">
        <v>349</v>
      </c>
      <c r="C139" s="257" t="s">
        <v>350</v>
      </c>
      <c r="D139" s="256"/>
      <c r="E139" s="256" t="s">
        <v>305</v>
      </c>
      <c r="F139" s="258">
        <v>3</v>
      </c>
      <c r="G139" s="259">
        <v>4.0199999999999996</v>
      </c>
      <c r="H139" s="259">
        <f t="shared" si="85"/>
        <v>5.1194699999999997</v>
      </c>
      <c r="I139" s="259">
        <f t="shared" si="86"/>
        <v>15.358409999999999</v>
      </c>
      <c r="J139" s="4"/>
      <c r="K139" s="19"/>
      <c r="L139" s="287">
        <f t="shared" si="87"/>
        <v>0</v>
      </c>
      <c r="M139" s="260">
        <f t="shared" si="88"/>
        <v>0</v>
      </c>
      <c r="N139" s="260">
        <f t="shared" si="89"/>
        <v>0</v>
      </c>
      <c r="O139" s="261">
        <f t="shared" si="90"/>
        <v>0</v>
      </c>
      <c r="P139" s="262">
        <f t="shared" si="91"/>
        <v>15.358409999999999</v>
      </c>
      <c r="Q139" s="263">
        <f t="shared" si="92"/>
        <v>0</v>
      </c>
    </row>
    <row r="140" spans="1:17">
      <c r="A140" s="255" t="s">
        <v>356</v>
      </c>
      <c r="B140" s="256" t="s">
        <v>357</v>
      </c>
      <c r="C140" s="257" t="s">
        <v>358</v>
      </c>
      <c r="D140" s="256" t="s">
        <v>10</v>
      </c>
      <c r="E140" s="256" t="s">
        <v>359</v>
      </c>
      <c r="F140" s="258">
        <v>0.5</v>
      </c>
      <c r="G140" s="259">
        <v>20.49</v>
      </c>
      <c r="H140" s="259">
        <f t="shared" si="85"/>
        <v>26.094014999999999</v>
      </c>
      <c r="I140" s="259">
        <f t="shared" si="86"/>
        <v>13.047007499999999</v>
      </c>
      <c r="J140" s="4"/>
      <c r="K140" s="19"/>
      <c r="L140" s="287">
        <f t="shared" si="87"/>
        <v>0</v>
      </c>
      <c r="M140" s="260">
        <f t="shared" si="88"/>
        <v>0</v>
      </c>
      <c r="N140" s="260">
        <f t="shared" si="89"/>
        <v>0</v>
      </c>
      <c r="O140" s="261">
        <f t="shared" si="90"/>
        <v>0</v>
      </c>
      <c r="P140" s="262">
        <f t="shared" si="91"/>
        <v>13.047007499999999</v>
      </c>
      <c r="Q140" s="263">
        <f t="shared" si="92"/>
        <v>0</v>
      </c>
    </row>
    <row r="141" spans="1:17" ht="25.5">
      <c r="A141" s="255" t="s">
        <v>360</v>
      </c>
      <c r="B141" s="256" t="s">
        <v>361</v>
      </c>
      <c r="C141" s="257" t="s">
        <v>362</v>
      </c>
      <c r="D141" s="256" t="s">
        <v>19</v>
      </c>
      <c r="E141" s="256" t="s">
        <v>115</v>
      </c>
      <c r="F141" s="258">
        <v>3</v>
      </c>
      <c r="G141" s="259">
        <v>47.34</v>
      </c>
      <c r="H141" s="259">
        <f t="shared" si="85"/>
        <v>60.287490000000005</v>
      </c>
      <c r="I141" s="259">
        <f t="shared" si="86"/>
        <v>180.86247000000003</v>
      </c>
      <c r="J141" s="4"/>
      <c r="K141" s="19"/>
      <c r="L141" s="287">
        <f t="shared" si="87"/>
        <v>0</v>
      </c>
      <c r="M141" s="260">
        <f t="shared" si="88"/>
        <v>0</v>
      </c>
      <c r="N141" s="260">
        <f t="shared" si="89"/>
        <v>0</v>
      </c>
      <c r="O141" s="261">
        <f t="shared" si="90"/>
        <v>0</v>
      </c>
      <c r="P141" s="262">
        <f t="shared" si="91"/>
        <v>180.86247000000003</v>
      </c>
      <c r="Q141" s="263">
        <f t="shared" si="92"/>
        <v>0</v>
      </c>
    </row>
    <row r="142" spans="1:17">
      <c r="A142" s="255" t="s">
        <v>363</v>
      </c>
      <c r="B142" s="256" t="s">
        <v>364</v>
      </c>
      <c r="C142" s="257" t="s">
        <v>365</v>
      </c>
      <c r="D142" s="256" t="s">
        <v>10</v>
      </c>
      <c r="E142" s="256" t="s">
        <v>250</v>
      </c>
      <c r="F142" s="258">
        <v>10</v>
      </c>
      <c r="G142" s="259">
        <v>9.59</v>
      </c>
      <c r="H142" s="259">
        <f t="shared" si="85"/>
        <v>12.212865000000001</v>
      </c>
      <c r="I142" s="259">
        <f t="shared" si="86"/>
        <v>122.12865000000001</v>
      </c>
      <c r="J142" s="4"/>
      <c r="K142" s="19"/>
      <c r="L142" s="287">
        <f t="shared" si="87"/>
        <v>0</v>
      </c>
      <c r="M142" s="260">
        <f t="shared" si="88"/>
        <v>0</v>
      </c>
      <c r="N142" s="260">
        <f t="shared" si="89"/>
        <v>0</v>
      </c>
      <c r="O142" s="261">
        <f t="shared" si="90"/>
        <v>0</v>
      </c>
      <c r="P142" s="262">
        <f t="shared" si="91"/>
        <v>122.12865000000001</v>
      </c>
      <c r="Q142" s="263">
        <f t="shared" si="92"/>
        <v>0</v>
      </c>
    </row>
    <row r="143" spans="1:17" ht="38.25">
      <c r="A143" s="255" t="s">
        <v>366</v>
      </c>
      <c r="B143" s="256" t="s">
        <v>367</v>
      </c>
      <c r="C143" s="257" t="s">
        <v>368</v>
      </c>
      <c r="D143" s="256" t="s">
        <v>19</v>
      </c>
      <c r="E143" s="256" t="s">
        <v>20</v>
      </c>
      <c r="F143" s="258">
        <v>585.29999999999995</v>
      </c>
      <c r="G143" s="259">
        <v>3.16</v>
      </c>
      <c r="H143" s="259">
        <f t="shared" si="85"/>
        <v>4.0242600000000008</v>
      </c>
      <c r="I143" s="259">
        <f t="shared" si="86"/>
        <v>2355.3993780000005</v>
      </c>
      <c r="J143" s="4"/>
      <c r="K143" s="19"/>
      <c r="L143" s="287">
        <f t="shared" si="87"/>
        <v>0</v>
      </c>
      <c r="M143" s="260">
        <f t="shared" si="88"/>
        <v>0</v>
      </c>
      <c r="N143" s="260">
        <f t="shared" si="89"/>
        <v>0</v>
      </c>
      <c r="O143" s="261">
        <f t="shared" si="90"/>
        <v>0</v>
      </c>
      <c r="P143" s="262">
        <f t="shared" si="91"/>
        <v>2355.3993780000005</v>
      </c>
      <c r="Q143" s="263">
        <f t="shared" si="92"/>
        <v>0</v>
      </c>
    </row>
    <row r="144" spans="1:17" ht="38.25">
      <c r="A144" s="255" t="s">
        <v>369</v>
      </c>
      <c r="B144" s="256" t="s">
        <v>346</v>
      </c>
      <c r="C144" s="257" t="s">
        <v>347</v>
      </c>
      <c r="D144" s="256" t="s">
        <v>19</v>
      </c>
      <c r="E144" s="256" t="s">
        <v>20</v>
      </c>
      <c r="F144" s="258">
        <v>451.74</v>
      </c>
      <c r="G144" s="259">
        <v>2.14</v>
      </c>
      <c r="H144" s="259">
        <f t="shared" si="85"/>
        <v>2.7252900000000002</v>
      </c>
      <c r="I144" s="259">
        <f t="shared" si="86"/>
        <v>1231.1225046000002</v>
      </c>
      <c r="J144" s="4"/>
      <c r="K144" s="19"/>
      <c r="L144" s="287">
        <f t="shared" si="87"/>
        <v>0</v>
      </c>
      <c r="M144" s="260">
        <f t="shared" si="88"/>
        <v>0</v>
      </c>
      <c r="N144" s="260">
        <f t="shared" si="89"/>
        <v>0</v>
      </c>
      <c r="O144" s="261">
        <f t="shared" si="90"/>
        <v>0</v>
      </c>
      <c r="P144" s="262">
        <f t="shared" si="91"/>
        <v>1231.1225046000002</v>
      </c>
      <c r="Q144" s="263">
        <f t="shared" si="92"/>
        <v>0</v>
      </c>
    </row>
    <row r="145" spans="1:17" ht="38.25">
      <c r="A145" s="255" t="s">
        <v>370</v>
      </c>
      <c r="B145" s="256" t="s">
        <v>367</v>
      </c>
      <c r="C145" s="257" t="s">
        <v>368</v>
      </c>
      <c r="D145" s="256" t="s">
        <v>19</v>
      </c>
      <c r="E145" s="256" t="s">
        <v>20</v>
      </c>
      <c r="F145" s="258">
        <v>275.5</v>
      </c>
      <c r="G145" s="259">
        <v>3.16</v>
      </c>
      <c r="H145" s="259">
        <f t="shared" si="85"/>
        <v>4.0242600000000008</v>
      </c>
      <c r="I145" s="259">
        <f t="shared" si="86"/>
        <v>1108.6836300000002</v>
      </c>
      <c r="J145" s="4"/>
      <c r="K145" s="19"/>
      <c r="L145" s="287">
        <f t="shared" si="87"/>
        <v>0</v>
      </c>
      <c r="M145" s="260">
        <f t="shared" si="88"/>
        <v>0</v>
      </c>
      <c r="N145" s="260">
        <f t="shared" si="89"/>
        <v>0</v>
      </c>
      <c r="O145" s="261">
        <f t="shared" si="90"/>
        <v>0</v>
      </c>
      <c r="P145" s="262">
        <f t="shared" si="91"/>
        <v>1108.6836300000002</v>
      </c>
      <c r="Q145" s="263">
        <f t="shared" si="92"/>
        <v>0</v>
      </c>
    </row>
    <row r="146" spans="1:17" ht="38.25">
      <c r="A146" s="255" t="s">
        <v>371</v>
      </c>
      <c r="B146" s="256" t="s">
        <v>367</v>
      </c>
      <c r="C146" s="257" t="s">
        <v>368</v>
      </c>
      <c r="D146" s="256" t="s">
        <v>19</v>
      </c>
      <c r="E146" s="256" t="s">
        <v>20</v>
      </c>
      <c r="F146" s="258">
        <v>299.24</v>
      </c>
      <c r="G146" s="259">
        <v>3.16</v>
      </c>
      <c r="H146" s="259">
        <f t="shared" si="85"/>
        <v>4.0242600000000008</v>
      </c>
      <c r="I146" s="259">
        <f t="shared" si="86"/>
        <v>1204.2195624000003</v>
      </c>
      <c r="J146" s="4"/>
      <c r="K146" s="19"/>
      <c r="L146" s="287">
        <f t="shared" si="87"/>
        <v>0</v>
      </c>
      <c r="M146" s="260">
        <f t="shared" si="88"/>
        <v>0</v>
      </c>
      <c r="N146" s="260">
        <f t="shared" si="89"/>
        <v>0</v>
      </c>
      <c r="O146" s="261">
        <f t="shared" si="90"/>
        <v>0</v>
      </c>
      <c r="P146" s="262">
        <f t="shared" si="91"/>
        <v>1204.2195624000003</v>
      </c>
      <c r="Q146" s="263">
        <f t="shared" si="92"/>
        <v>0</v>
      </c>
    </row>
    <row r="147" spans="1:17" ht="76.5">
      <c r="A147" s="255" t="s">
        <v>372</v>
      </c>
      <c r="B147" s="256" t="s">
        <v>373</v>
      </c>
      <c r="C147" s="257" t="s">
        <v>374</v>
      </c>
      <c r="D147" s="256" t="s">
        <v>19</v>
      </c>
      <c r="E147" s="256" t="s">
        <v>20</v>
      </c>
      <c r="F147" s="258">
        <v>63.81</v>
      </c>
      <c r="G147" s="259">
        <v>12.72</v>
      </c>
      <c r="H147" s="259">
        <f t="shared" si="85"/>
        <v>16.198920000000001</v>
      </c>
      <c r="I147" s="259">
        <f t="shared" si="86"/>
        <v>1033.6530852000001</v>
      </c>
      <c r="J147" s="4"/>
      <c r="K147" s="19"/>
      <c r="L147" s="287">
        <f t="shared" si="87"/>
        <v>0</v>
      </c>
      <c r="M147" s="260">
        <f t="shared" si="88"/>
        <v>0</v>
      </c>
      <c r="N147" s="260">
        <f t="shared" si="89"/>
        <v>0</v>
      </c>
      <c r="O147" s="261">
        <f t="shared" si="90"/>
        <v>0</v>
      </c>
      <c r="P147" s="262">
        <f t="shared" si="91"/>
        <v>1033.6530852000001</v>
      </c>
      <c r="Q147" s="263">
        <f t="shared" si="92"/>
        <v>0</v>
      </c>
    </row>
    <row r="148" spans="1:17" ht="38.25">
      <c r="A148" s="255" t="s">
        <v>375</v>
      </c>
      <c r="B148" s="256" t="s">
        <v>373</v>
      </c>
      <c r="C148" s="257" t="s">
        <v>376</v>
      </c>
      <c r="D148" s="256" t="s">
        <v>19</v>
      </c>
      <c r="E148" s="256" t="s">
        <v>20</v>
      </c>
      <c r="F148" s="258">
        <v>21.27</v>
      </c>
      <c r="G148" s="259">
        <v>12.72</v>
      </c>
      <c r="H148" s="259">
        <f t="shared" si="85"/>
        <v>16.198920000000001</v>
      </c>
      <c r="I148" s="259">
        <f t="shared" si="86"/>
        <v>344.55102840000001</v>
      </c>
      <c r="J148" s="4"/>
      <c r="K148" s="19"/>
      <c r="L148" s="287">
        <f t="shared" si="87"/>
        <v>0</v>
      </c>
      <c r="M148" s="260">
        <f t="shared" si="88"/>
        <v>0</v>
      </c>
      <c r="N148" s="260">
        <f t="shared" si="89"/>
        <v>0</v>
      </c>
      <c r="O148" s="261">
        <f t="shared" si="90"/>
        <v>0</v>
      </c>
      <c r="P148" s="262">
        <f t="shared" si="91"/>
        <v>344.55102840000001</v>
      </c>
      <c r="Q148" s="263">
        <f t="shared" si="92"/>
        <v>0</v>
      </c>
    </row>
    <row r="149" spans="1:17" ht="38.25">
      <c r="A149" s="255" t="s">
        <v>377</v>
      </c>
      <c r="B149" s="256" t="s">
        <v>373</v>
      </c>
      <c r="C149" s="257" t="s">
        <v>376</v>
      </c>
      <c r="D149" s="256" t="s">
        <v>19</v>
      </c>
      <c r="E149" s="256" t="s">
        <v>20</v>
      </c>
      <c r="F149" s="258">
        <v>21.27</v>
      </c>
      <c r="G149" s="259">
        <v>12.72</v>
      </c>
      <c r="H149" s="259">
        <f t="shared" si="85"/>
        <v>16.198920000000001</v>
      </c>
      <c r="I149" s="259">
        <f t="shared" si="86"/>
        <v>344.55102840000001</v>
      </c>
      <c r="J149" s="4"/>
      <c r="K149" s="19"/>
      <c r="L149" s="287">
        <f t="shared" si="87"/>
        <v>0</v>
      </c>
      <c r="M149" s="260">
        <f t="shared" si="88"/>
        <v>0</v>
      </c>
      <c r="N149" s="260">
        <f t="shared" si="89"/>
        <v>0</v>
      </c>
      <c r="O149" s="261">
        <f t="shared" si="90"/>
        <v>0</v>
      </c>
      <c r="P149" s="262">
        <f t="shared" si="91"/>
        <v>344.55102840000001</v>
      </c>
      <c r="Q149" s="263">
        <f t="shared" si="92"/>
        <v>0</v>
      </c>
    </row>
    <row r="150" spans="1:17" ht="38.25">
      <c r="A150" s="255" t="s">
        <v>378</v>
      </c>
      <c r="B150" s="256" t="s">
        <v>313</v>
      </c>
      <c r="C150" s="257" t="s">
        <v>314</v>
      </c>
      <c r="D150" s="256" t="s">
        <v>19</v>
      </c>
      <c r="E150" s="256" t="s">
        <v>115</v>
      </c>
      <c r="F150" s="258">
        <v>15</v>
      </c>
      <c r="G150" s="259">
        <v>30.42</v>
      </c>
      <c r="H150" s="259">
        <f t="shared" si="85"/>
        <v>38.739870000000003</v>
      </c>
      <c r="I150" s="259">
        <f t="shared" si="86"/>
        <v>581.09805000000006</v>
      </c>
      <c r="J150" s="4"/>
      <c r="K150" s="19"/>
      <c r="L150" s="287">
        <f t="shared" si="87"/>
        <v>0</v>
      </c>
      <c r="M150" s="260">
        <f t="shared" si="88"/>
        <v>0</v>
      </c>
      <c r="N150" s="260">
        <f t="shared" si="89"/>
        <v>0</v>
      </c>
      <c r="O150" s="261">
        <f t="shared" si="90"/>
        <v>0</v>
      </c>
      <c r="P150" s="262">
        <f t="shared" si="91"/>
        <v>581.09805000000006</v>
      </c>
      <c r="Q150" s="263">
        <f t="shared" si="92"/>
        <v>0</v>
      </c>
    </row>
    <row r="151" spans="1:17" ht="38.25">
      <c r="A151" s="255" t="s">
        <v>379</v>
      </c>
      <c r="B151" s="256" t="s">
        <v>380</v>
      </c>
      <c r="C151" s="257" t="s">
        <v>381</v>
      </c>
      <c r="D151" s="256" t="s">
        <v>19</v>
      </c>
      <c r="E151" s="256" t="s">
        <v>115</v>
      </c>
      <c r="F151" s="258">
        <v>24</v>
      </c>
      <c r="G151" s="259">
        <v>25.12</v>
      </c>
      <c r="H151" s="259">
        <f t="shared" si="85"/>
        <v>31.990320000000004</v>
      </c>
      <c r="I151" s="259">
        <f t="shared" si="86"/>
        <v>767.76768000000015</v>
      </c>
      <c r="J151" s="4"/>
      <c r="K151" s="19"/>
      <c r="L151" s="287">
        <f t="shared" si="87"/>
        <v>0</v>
      </c>
      <c r="M151" s="260">
        <f t="shared" si="88"/>
        <v>0</v>
      </c>
      <c r="N151" s="260">
        <f t="shared" si="89"/>
        <v>0</v>
      </c>
      <c r="O151" s="261">
        <f t="shared" si="90"/>
        <v>0</v>
      </c>
      <c r="P151" s="262">
        <f t="shared" si="91"/>
        <v>767.76768000000015</v>
      </c>
      <c r="Q151" s="263">
        <f t="shared" si="92"/>
        <v>0</v>
      </c>
    </row>
    <row r="152" spans="1:17">
      <c r="A152" s="264"/>
      <c r="B152" s="2"/>
      <c r="C152" s="118"/>
      <c r="D152" s="2"/>
      <c r="E152" s="2"/>
      <c r="F152" s="265"/>
      <c r="G152" s="266"/>
      <c r="H152" s="266"/>
      <c r="I152" s="267">
        <f>SUM(I105:I151)</f>
        <v>41213.271887999996</v>
      </c>
      <c r="J152" s="268"/>
      <c r="K152" s="268"/>
      <c r="L152" s="287"/>
      <c r="M152" s="267">
        <f>SUM(M105:M151)</f>
        <v>0</v>
      </c>
      <c r="N152" s="267">
        <f>SUM(N105:N151)</f>
        <v>0</v>
      </c>
      <c r="O152" s="267">
        <f>SUM(O105:O151)</f>
        <v>0</v>
      </c>
      <c r="P152" s="269">
        <f t="shared" si="91"/>
        <v>41213.271887999996</v>
      </c>
      <c r="Q152" s="263">
        <f t="shared" si="92"/>
        <v>0</v>
      </c>
    </row>
    <row r="153" spans="1:17">
      <c r="A153" s="254" t="s">
        <v>382</v>
      </c>
      <c r="B153" s="412" t="s">
        <v>383</v>
      </c>
      <c r="C153" s="412"/>
      <c r="D153" s="412"/>
      <c r="E153" s="412"/>
      <c r="F153" s="412"/>
      <c r="G153" s="412"/>
      <c r="H153" s="412"/>
      <c r="I153" s="412"/>
      <c r="J153" s="412"/>
      <c r="K153" s="412"/>
      <c r="L153" s="412"/>
      <c r="M153" s="412"/>
      <c r="N153" s="412"/>
      <c r="O153" s="412"/>
      <c r="P153" s="457"/>
      <c r="Q153" s="263"/>
    </row>
    <row r="154" spans="1:17" ht="51">
      <c r="A154" s="255" t="s">
        <v>384</v>
      </c>
      <c r="B154" s="256" t="s">
        <v>385</v>
      </c>
      <c r="C154" s="257" t="s">
        <v>386</v>
      </c>
      <c r="D154" s="256" t="s">
        <v>19</v>
      </c>
      <c r="E154" s="256" t="s">
        <v>115</v>
      </c>
      <c r="F154" s="258">
        <v>6</v>
      </c>
      <c r="G154" s="259">
        <v>23.62</v>
      </c>
      <c r="H154" s="259">
        <f t="shared" ref="H154:H213" si="93">G154*$Q$9</f>
        <v>30.080070000000003</v>
      </c>
      <c r="I154" s="259">
        <f t="shared" ref="I154:I213" si="94">F154*H154</f>
        <v>180.48042000000001</v>
      </c>
      <c r="J154" s="4"/>
      <c r="K154" s="19"/>
      <c r="L154" s="287">
        <f t="shared" ref="L154:L213" si="95">K154+J154</f>
        <v>0</v>
      </c>
      <c r="M154" s="260">
        <f t="shared" ref="M154:M213" si="96">J154*H154</f>
        <v>0</v>
      </c>
      <c r="N154" s="260">
        <f t="shared" ref="N154:N213" si="97">H154*K154</f>
        <v>0</v>
      </c>
      <c r="O154" s="261">
        <f t="shared" ref="O154:O213" si="98">N154+M154</f>
        <v>0</v>
      </c>
      <c r="P154" s="262">
        <f t="shared" ref="P154:P214" si="99">I154-O154</f>
        <v>180.48042000000001</v>
      </c>
      <c r="Q154" s="263">
        <f t="shared" si="92"/>
        <v>0</v>
      </c>
    </row>
    <row r="155" spans="1:17" ht="25.5">
      <c r="A155" s="255" t="s">
        <v>387</v>
      </c>
      <c r="B155" s="256" t="s">
        <v>388</v>
      </c>
      <c r="C155" s="257" t="s">
        <v>389</v>
      </c>
      <c r="D155" s="256" t="s">
        <v>19</v>
      </c>
      <c r="E155" s="256" t="s">
        <v>115</v>
      </c>
      <c r="F155" s="258">
        <v>0</v>
      </c>
      <c r="G155" s="259">
        <v>24.17</v>
      </c>
      <c r="H155" s="259">
        <f t="shared" si="93"/>
        <v>30.780495000000005</v>
      </c>
      <c r="I155" s="259">
        <f t="shared" si="94"/>
        <v>0</v>
      </c>
      <c r="J155" s="4"/>
      <c r="K155" s="19"/>
      <c r="L155" s="287">
        <f t="shared" si="95"/>
        <v>0</v>
      </c>
      <c r="M155" s="260">
        <f t="shared" si="96"/>
        <v>0</v>
      </c>
      <c r="N155" s="260">
        <f t="shared" si="97"/>
        <v>0</v>
      </c>
      <c r="O155" s="261">
        <f t="shared" si="98"/>
        <v>0</v>
      </c>
      <c r="P155" s="262">
        <f t="shared" si="99"/>
        <v>0</v>
      </c>
      <c r="Q155" s="263"/>
    </row>
    <row r="156" spans="1:17" ht="51">
      <c r="A156" s="255" t="s">
        <v>390</v>
      </c>
      <c r="B156" s="256" t="s">
        <v>391</v>
      </c>
      <c r="C156" s="257" t="s">
        <v>392</v>
      </c>
      <c r="D156" s="256" t="s">
        <v>19</v>
      </c>
      <c r="E156" s="256" t="s">
        <v>115</v>
      </c>
      <c r="F156" s="258">
        <v>6</v>
      </c>
      <c r="G156" s="259">
        <v>7.69</v>
      </c>
      <c r="H156" s="259">
        <f t="shared" si="93"/>
        <v>9.7932150000000018</v>
      </c>
      <c r="I156" s="259">
        <f t="shared" si="94"/>
        <v>58.759290000000007</v>
      </c>
      <c r="J156" s="4"/>
      <c r="K156" s="19"/>
      <c r="L156" s="287">
        <f t="shared" si="95"/>
        <v>0</v>
      </c>
      <c r="M156" s="260">
        <f t="shared" si="96"/>
        <v>0</v>
      </c>
      <c r="N156" s="260">
        <f t="shared" si="97"/>
        <v>0</v>
      </c>
      <c r="O156" s="261">
        <f t="shared" si="98"/>
        <v>0</v>
      </c>
      <c r="P156" s="262">
        <f t="shared" si="99"/>
        <v>58.759290000000007</v>
      </c>
      <c r="Q156" s="263">
        <f t="shared" si="92"/>
        <v>0</v>
      </c>
    </row>
    <row r="157" spans="1:17" ht="51">
      <c r="A157" s="255" t="s">
        <v>393</v>
      </c>
      <c r="B157" s="256" t="s">
        <v>394</v>
      </c>
      <c r="C157" s="257" t="s">
        <v>395</v>
      </c>
      <c r="D157" s="256" t="s">
        <v>19</v>
      </c>
      <c r="E157" s="256" t="s">
        <v>115</v>
      </c>
      <c r="F157" s="258">
        <v>12</v>
      </c>
      <c r="G157" s="259">
        <v>422.31</v>
      </c>
      <c r="H157" s="259">
        <f t="shared" si="93"/>
        <v>537.81178499999999</v>
      </c>
      <c r="I157" s="259">
        <f t="shared" si="94"/>
        <v>6453.7414200000003</v>
      </c>
      <c r="J157" s="4"/>
      <c r="K157" s="19"/>
      <c r="L157" s="287">
        <f t="shared" si="95"/>
        <v>0</v>
      </c>
      <c r="M157" s="260">
        <f t="shared" si="96"/>
        <v>0</v>
      </c>
      <c r="N157" s="260">
        <f t="shared" si="97"/>
        <v>0</v>
      </c>
      <c r="O157" s="261">
        <f t="shared" si="98"/>
        <v>0</v>
      </c>
      <c r="P157" s="262">
        <f t="shared" si="99"/>
        <v>6453.7414200000003</v>
      </c>
      <c r="Q157" s="263">
        <f t="shared" si="92"/>
        <v>0</v>
      </c>
    </row>
    <row r="158" spans="1:17" ht="25.5">
      <c r="A158" s="255" t="s">
        <v>396</v>
      </c>
      <c r="B158" s="256" t="s">
        <v>397</v>
      </c>
      <c r="C158" s="257" t="s">
        <v>398</v>
      </c>
      <c r="D158" s="256" t="s">
        <v>19</v>
      </c>
      <c r="E158" s="256" t="s">
        <v>115</v>
      </c>
      <c r="F158" s="258">
        <v>2</v>
      </c>
      <c r="G158" s="259">
        <v>5.42</v>
      </c>
      <c r="H158" s="259">
        <f t="shared" si="93"/>
        <v>6.9023700000000003</v>
      </c>
      <c r="I158" s="259">
        <f t="shared" si="94"/>
        <v>13.804740000000001</v>
      </c>
      <c r="J158" s="4"/>
      <c r="K158" s="19"/>
      <c r="L158" s="287">
        <f t="shared" si="95"/>
        <v>0</v>
      </c>
      <c r="M158" s="260">
        <f t="shared" si="96"/>
        <v>0</v>
      </c>
      <c r="N158" s="260">
        <f t="shared" si="97"/>
        <v>0</v>
      </c>
      <c r="O158" s="261">
        <f t="shared" si="98"/>
        <v>0</v>
      </c>
      <c r="P158" s="262">
        <f t="shared" si="99"/>
        <v>13.804740000000001</v>
      </c>
      <c r="Q158" s="263">
        <f t="shared" si="92"/>
        <v>0</v>
      </c>
    </row>
    <row r="159" spans="1:17" ht="25.5">
      <c r="A159" s="255" t="s">
        <v>399</v>
      </c>
      <c r="B159" s="256" t="s">
        <v>400</v>
      </c>
      <c r="C159" s="257" t="s">
        <v>401</v>
      </c>
      <c r="D159" s="256" t="s">
        <v>19</v>
      </c>
      <c r="E159" s="256" t="s">
        <v>115</v>
      </c>
      <c r="F159" s="258">
        <v>1</v>
      </c>
      <c r="G159" s="259">
        <v>0.43</v>
      </c>
      <c r="H159" s="259">
        <f t="shared" si="93"/>
        <v>0.54760500000000001</v>
      </c>
      <c r="I159" s="259">
        <f t="shared" si="94"/>
        <v>0.54760500000000001</v>
      </c>
      <c r="J159" s="4"/>
      <c r="K159" s="19"/>
      <c r="L159" s="287">
        <f t="shared" si="95"/>
        <v>0</v>
      </c>
      <c r="M159" s="260">
        <f t="shared" si="96"/>
        <v>0</v>
      </c>
      <c r="N159" s="260">
        <f t="shared" si="97"/>
        <v>0</v>
      </c>
      <c r="O159" s="261">
        <f t="shared" si="98"/>
        <v>0</v>
      </c>
      <c r="P159" s="262">
        <f t="shared" si="99"/>
        <v>0.54760500000000001</v>
      </c>
      <c r="Q159" s="263">
        <f t="shared" si="92"/>
        <v>0</v>
      </c>
    </row>
    <row r="160" spans="1:17" ht="25.5">
      <c r="A160" s="255" t="s">
        <v>402</v>
      </c>
      <c r="B160" s="256" t="s">
        <v>403</v>
      </c>
      <c r="C160" s="257" t="s">
        <v>404</v>
      </c>
      <c r="D160" s="256" t="s">
        <v>19</v>
      </c>
      <c r="E160" s="256" t="s">
        <v>115</v>
      </c>
      <c r="F160" s="258">
        <v>1</v>
      </c>
      <c r="G160" s="259">
        <v>4.17</v>
      </c>
      <c r="H160" s="259">
        <f t="shared" si="93"/>
        <v>5.3104950000000004</v>
      </c>
      <c r="I160" s="259">
        <f t="shared" si="94"/>
        <v>5.3104950000000004</v>
      </c>
      <c r="J160" s="4"/>
      <c r="K160" s="19"/>
      <c r="L160" s="287">
        <f t="shared" si="95"/>
        <v>0</v>
      </c>
      <c r="M160" s="260">
        <f t="shared" si="96"/>
        <v>0</v>
      </c>
      <c r="N160" s="260">
        <f t="shared" si="97"/>
        <v>0</v>
      </c>
      <c r="O160" s="261">
        <f t="shared" si="98"/>
        <v>0</v>
      </c>
      <c r="P160" s="262">
        <f t="shared" si="99"/>
        <v>5.3104950000000004</v>
      </c>
      <c r="Q160" s="263">
        <f t="shared" si="92"/>
        <v>0</v>
      </c>
    </row>
    <row r="161" spans="1:17" ht="25.5">
      <c r="A161" s="255" t="s">
        <v>405</v>
      </c>
      <c r="B161" s="256" t="s">
        <v>406</v>
      </c>
      <c r="C161" s="257" t="s">
        <v>407</v>
      </c>
      <c r="D161" s="256" t="s">
        <v>19</v>
      </c>
      <c r="E161" s="256" t="s">
        <v>115</v>
      </c>
      <c r="F161" s="258">
        <v>11</v>
      </c>
      <c r="G161" s="259">
        <v>5.29</v>
      </c>
      <c r="H161" s="259">
        <f t="shared" si="93"/>
        <v>6.7368150000000009</v>
      </c>
      <c r="I161" s="259">
        <f t="shared" si="94"/>
        <v>74.104965000000007</v>
      </c>
      <c r="J161" s="4"/>
      <c r="K161" s="19"/>
      <c r="L161" s="287">
        <f t="shared" si="95"/>
        <v>0</v>
      </c>
      <c r="M161" s="260">
        <f t="shared" si="96"/>
        <v>0</v>
      </c>
      <c r="N161" s="260">
        <f t="shared" si="97"/>
        <v>0</v>
      </c>
      <c r="O161" s="261">
        <f t="shared" si="98"/>
        <v>0</v>
      </c>
      <c r="P161" s="262">
        <f t="shared" si="99"/>
        <v>74.104965000000007</v>
      </c>
      <c r="Q161" s="263">
        <f t="shared" si="92"/>
        <v>0</v>
      </c>
    </row>
    <row r="162" spans="1:17" ht="38.25">
      <c r="A162" s="255" t="s">
        <v>408</v>
      </c>
      <c r="B162" s="256" t="s">
        <v>409</v>
      </c>
      <c r="C162" s="257" t="s">
        <v>410</v>
      </c>
      <c r="D162" s="256" t="s">
        <v>19</v>
      </c>
      <c r="E162" s="256" t="s">
        <v>115</v>
      </c>
      <c r="F162" s="258">
        <v>64</v>
      </c>
      <c r="G162" s="259">
        <v>5.89</v>
      </c>
      <c r="H162" s="259">
        <f t="shared" si="93"/>
        <v>7.500915</v>
      </c>
      <c r="I162" s="259">
        <f t="shared" si="94"/>
        <v>480.05856</v>
      </c>
      <c r="J162" s="4"/>
      <c r="K162" s="19"/>
      <c r="L162" s="287">
        <f t="shared" si="95"/>
        <v>0</v>
      </c>
      <c r="M162" s="260">
        <f t="shared" si="96"/>
        <v>0</v>
      </c>
      <c r="N162" s="260">
        <f t="shared" si="97"/>
        <v>0</v>
      </c>
      <c r="O162" s="261">
        <f t="shared" si="98"/>
        <v>0</v>
      </c>
      <c r="P162" s="262">
        <f t="shared" si="99"/>
        <v>480.05856</v>
      </c>
      <c r="Q162" s="263">
        <f t="shared" si="92"/>
        <v>0</v>
      </c>
    </row>
    <row r="163" spans="1:17" ht="38.25">
      <c r="A163" s="255" t="s">
        <v>411</v>
      </c>
      <c r="B163" s="256" t="s">
        <v>412</v>
      </c>
      <c r="C163" s="257" t="s">
        <v>413</v>
      </c>
      <c r="D163" s="256" t="s">
        <v>19</v>
      </c>
      <c r="E163" s="256" t="s">
        <v>115</v>
      </c>
      <c r="F163" s="258">
        <v>5</v>
      </c>
      <c r="G163" s="259">
        <v>10.46</v>
      </c>
      <c r="H163" s="259">
        <f t="shared" si="93"/>
        <v>13.320810000000002</v>
      </c>
      <c r="I163" s="259">
        <f t="shared" si="94"/>
        <v>66.604050000000001</v>
      </c>
      <c r="J163" s="4"/>
      <c r="K163" s="19"/>
      <c r="L163" s="287">
        <f t="shared" si="95"/>
        <v>0</v>
      </c>
      <c r="M163" s="260">
        <f t="shared" si="96"/>
        <v>0</v>
      </c>
      <c r="N163" s="260">
        <f t="shared" si="97"/>
        <v>0</v>
      </c>
      <c r="O163" s="261">
        <f t="shared" si="98"/>
        <v>0</v>
      </c>
      <c r="P163" s="262">
        <f t="shared" si="99"/>
        <v>66.604050000000001</v>
      </c>
      <c r="Q163" s="263">
        <f t="shared" si="92"/>
        <v>0</v>
      </c>
    </row>
    <row r="164" spans="1:17" ht="38.25">
      <c r="A164" s="255" t="s">
        <v>414</v>
      </c>
      <c r="B164" s="256" t="s">
        <v>415</v>
      </c>
      <c r="C164" s="257" t="s">
        <v>416</v>
      </c>
      <c r="D164" s="256" t="s">
        <v>19</v>
      </c>
      <c r="E164" s="256" t="s">
        <v>115</v>
      </c>
      <c r="F164" s="258">
        <v>20</v>
      </c>
      <c r="G164" s="259">
        <v>12.41</v>
      </c>
      <c r="H164" s="259">
        <f t="shared" si="93"/>
        <v>15.804135</v>
      </c>
      <c r="I164" s="259">
        <f t="shared" si="94"/>
        <v>316.08269999999999</v>
      </c>
      <c r="J164" s="4"/>
      <c r="K164" s="19"/>
      <c r="L164" s="287">
        <f t="shared" si="95"/>
        <v>0</v>
      </c>
      <c r="M164" s="260">
        <f t="shared" si="96"/>
        <v>0</v>
      </c>
      <c r="N164" s="260">
        <f t="shared" si="97"/>
        <v>0</v>
      </c>
      <c r="O164" s="261">
        <f t="shared" si="98"/>
        <v>0</v>
      </c>
      <c r="P164" s="262">
        <f t="shared" si="99"/>
        <v>316.08269999999999</v>
      </c>
      <c r="Q164" s="263">
        <f t="shared" si="92"/>
        <v>0</v>
      </c>
    </row>
    <row r="165" spans="1:17" ht="38.25">
      <c r="A165" s="255" t="s">
        <v>417</v>
      </c>
      <c r="B165" s="256" t="s">
        <v>418</v>
      </c>
      <c r="C165" s="257" t="s">
        <v>419</v>
      </c>
      <c r="D165" s="256" t="s">
        <v>19</v>
      </c>
      <c r="E165" s="256" t="s">
        <v>115</v>
      </c>
      <c r="F165" s="258">
        <v>1</v>
      </c>
      <c r="G165" s="259">
        <v>8.6199999999999992</v>
      </c>
      <c r="H165" s="259">
        <f t="shared" si="93"/>
        <v>10.97757</v>
      </c>
      <c r="I165" s="259">
        <f t="shared" si="94"/>
        <v>10.97757</v>
      </c>
      <c r="J165" s="4"/>
      <c r="K165" s="19"/>
      <c r="L165" s="287">
        <f t="shared" si="95"/>
        <v>0</v>
      </c>
      <c r="M165" s="260">
        <f t="shared" si="96"/>
        <v>0</v>
      </c>
      <c r="N165" s="260">
        <f t="shared" si="97"/>
        <v>0</v>
      </c>
      <c r="O165" s="261">
        <f t="shared" si="98"/>
        <v>0</v>
      </c>
      <c r="P165" s="262">
        <f t="shared" si="99"/>
        <v>10.97757</v>
      </c>
      <c r="Q165" s="263">
        <f t="shared" si="92"/>
        <v>0</v>
      </c>
    </row>
    <row r="166" spans="1:17" ht="38.25">
      <c r="A166" s="255" t="s">
        <v>420</v>
      </c>
      <c r="B166" s="256" t="s">
        <v>421</v>
      </c>
      <c r="C166" s="257" t="s">
        <v>422</v>
      </c>
      <c r="D166" s="256" t="s">
        <v>19</v>
      </c>
      <c r="E166" s="256" t="s">
        <v>115</v>
      </c>
      <c r="F166" s="258">
        <v>2</v>
      </c>
      <c r="G166" s="259">
        <v>15.64</v>
      </c>
      <c r="H166" s="259">
        <f t="shared" si="93"/>
        <v>19.917540000000002</v>
      </c>
      <c r="I166" s="259">
        <f t="shared" si="94"/>
        <v>39.835080000000005</v>
      </c>
      <c r="J166" s="4"/>
      <c r="K166" s="19"/>
      <c r="L166" s="287">
        <f t="shared" si="95"/>
        <v>0</v>
      </c>
      <c r="M166" s="260">
        <f t="shared" si="96"/>
        <v>0</v>
      </c>
      <c r="N166" s="260">
        <f t="shared" si="97"/>
        <v>0</v>
      </c>
      <c r="O166" s="261">
        <f t="shared" si="98"/>
        <v>0</v>
      </c>
      <c r="P166" s="262">
        <f t="shared" si="99"/>
        <v>39.835080000000005</v>
      </c>
      <c r="Q166" s="263">
        <f t="shared" si="92"/>
        <v>0</v>
      </c>
    </row>
    <row r="167" spans="1:17" ht="38.25">
      <c r="A167" s="255" t="s">
        <v>423</v>
      </c>
      <c r="B167" s="256" t="s">
        <v>424</v>
      </c>
      <c r="C167" s="257" t="s">
        <v>425</v>
      </c>
      <c r="D167" s="256" t="s">
        <v>19</v>
      </c>
      <c r="E167" s="256" t="s">
        <v>115</v>
      </c>
      <c r="F167" s="258">
        <v>2</v>
      </c>
      <c r="G167" s="259">
        <v>6.91</v>
      </c>
      <c r="H167" s="259">
        <f t="shared" si="93"/>
        <v>8.7998850000000015</v>
      </c>
      <c r="I167" s="259">
        <f t="shared" si="94"/>
        <v>17.599770000000003</v>
      </c>
      <c r="J167" s="4"/>
      <c r="K167" s="19"/>
      <c r="L167" s="287">
        <f t="shared" si="95"/>
        <v>0</v>
      </c>
      <c r="M167" s="260">
        <f t="shared" si="96"/>
        <v>0</v>
      </c>
      <c r="N167" s="260">
        <f t="shared" si="97"/>
        <v>0</v>
      </c>
      <c r="O167" s="261">
        <f t="shared" si="98"/>
        <v>0</v>
      </c>
      <c r="P167" s="262">
        <f t="shared" si="99"/>
        <v>17.599770000000003</v>
      </c>
      <c r="Q167" s="263">
        <f t="shared" si="92"/>
        <v>0</v>
      </c>
    </row>
    <row r="168" spans="1:17" ht="38.25">
      <c r="A168" s="255" t="s">
        <v>426</v>
      </c>
      <c r="B168" s="256" t="s">
        <v>427</v>
      </c>
      <c r="C168" s="257" t="s">
        <v>428</v>
      </c>
      <c r="D168" s="256" t="s">
        <v>19</v>
      </c>
      <c r="E168" s="256" t="s">
        <v>115</v>
      </c>
      <c r="F168" s="258">
        <v>22</v>
      </c>
      <c r="G168" s="259">
        <v>8.26</v>
      </c>
      <c r="H168" s="259">
        <f t="shared" si="93"/>
        <v>10.51911</v>
      </c>
      <c r="I168" s="259">
        <f t="shared" si="94"/>
        <v>231.42041999999998</v>
      </c>
      <c r="J168" s="4"/>
      <c r="K168" s="19"/>
      <c r="L168" s="287">
        <f t="shared" si="95"/>
        <v>0</v>
      </c>
      <c r="M168" s="260">
        <f t="shared" si="96"/>
        <v>0</v>
      </c>
      <c r="N168" s="260">
        <f t="shared" si="97"/>
        <v>0</v>
      </c>
      <c r="O168" s="261">
        <f t="shared" si="98"/>
        <v>0</v>
      </c>
      <c r="P168" s="262">
        <f t="shared" si="99"/>
        <v>231.42041999999998</v>
      </c>
      <c r="Q168" s="263">
        <f t="shared" si="92"/>
        <v>0</v>
      </c>
    </row>
    <row r="169" spans="1:17" ht="38.25">
      <c r="A169" s="255" t="s">
        <v>429</v>
      </c>
      <c r="B169" s="256" t="s">
        <v>430</v>
      </c>
      <c r="C169" s="257" t="s">
        <v>431</v>
      </c>
      <c r="D169" s="256" t="s">
        <v>19</v>
      </c>
      <c r="E169" s="256" t="s">
        <v>115</v>
      </c>
      <c r="F169" s="258">
        <v>1</v>
      </c>
      <c r="G169" s="259">
        <v>16.8</v>
      </c>
      <c r="H169" s="259">
        <f t="shared" si="93"/>
        <v>21.394800000000004</v>
      </c>
      <c r="I169" s="259">
        <f t="shared" si="94"/>
        <v>21.394800000000004</v>
      </c>
      <c r="J169" s="4"/>
      <c r="K169" s="19"/>
      <c r="L169" s="287">
        <f t="shared" si="95"/>
        <v>0</v>
      </c>
      <c r="M169" s="260">
        <f t="shared" si="96"/>
        <v>0</v>
      </c>
      <c r="N169" s="260">
        <f t="shared" si="97"/>
        <v>0</v>
      </c>
      <c r="O169" s="261">
        <f t="shared" si="98"/>
        <v>0</v>
      </c>
      <c r="P169" s="262">
        <f t="shared" si="99"/>
        <v>21.394800000000004</v>
      </c>
      <c r="Q169" s="263">
        <f t="shared" si="92"/>
        <v>0</v>
      </c>
    </row>
    <row r="170" spans="1:17" ht="51">
      <c r="A170" s="255" t="s">
        <v>432</v>
      </c>
      <c r="B170" s="256" t="s">
        <v>433</v>
      </c>
      <c r="C170" s="257" t="s">
        <v>434</v>
      </c>
      <c r="D170" s="256" t="s">
        <v>19</v>
      </c>
      <c r="E170" s="256" t="s">
        <v>115</v>
      </c>
      <c r="F170" s="258">
        <v>17</v>
      </c>
      <c r="G170" s="259">
        <v>18.010000000000002</v>
      </c>
      <c r="H170" s="259">
        <f t="shared" si="93"/>
        <v>22.935735000000005</v>
      </c>
      <c r="I170" s="259">
        <f t="shared" si="94"/>
        <v>389.9074950000001</v>
      </c>
      <c r="J170" s="4"/>
      <c r="K170" s="19"/>
      <c r="L170" s="287">
        <f t="shared" si="95"/>
        <v>0</v>
      </c>
      <c r="M170" s="260">
        <f t="shared" si="96"/>
        <v>0</v>
      </c>
      <c r="N170" s="260">
        <f t="shared" si="97"/>
        <v>0</v>
      </c>
      <c r="O170" s="261">
        <f t="shared" si="98"/>
        <v>0</v>
      </c>
      <c r="P170" s="262">
        <f t="shared" si="99"/>
        <v>389.9074950000001</v>
      </c>
      <c r="Q170" s="263">
        <f t="shared" si="92"/>
        <v>0</v>
      </c>
    </row>
    <row r="171" spans="1:17" ht="38.25">
      <c r="A171" s="255" t="s">
        <v>435</v>
      </c>
      <c r="B171" s="256" t="s">
        <v>436</v>
      </c>
      <c r="C171" s="257" t="s">
        <v>437</v>
      </c>
      <c r="D171" s="256" t="s">
        <v>19</v>
      </c>
      <c r="E171" s="256" t="s">
        <v>20</v>
      </c>
      <c r="F171" s="258">
        <v>63.76</v>
      </c>
      <c r="G171" s="259">
        <v>6.01</v>
      </c>
      <c r="H171" s="259">
        <f t="shared" si="93"/>
        <v>7.6537350000000002</v>
      </c>
      <c r="I171" s="259">
        <f t="shared" si="94"/>
        <v>488.00214360000001</v>
      </c>
      <c r="J171" s="4"/>
      <c r="K171" s="19"/>
      <c r="L171" s="287">
        <f t="shared" si="95"/>
        <v>0</v>
      </c>
      <c r="M171" s="260">
        <f t="shared" si="96"/>
        <v>0</v>
      </c>
      <c r="N171" s="260">
        <f t="shared" si="97"/>
        <v>0</v>
      </c>
      <c r="O171" s="261">
        <f t="shared" si="98"/>
        <v>0</v>
      </c>
      <c r="P171" s="262">
        <f t="shared" si="99"/>
        <v>488.00214360000001</v>
      </c>
      <c r="Q171" s="263">
        <f t="shared" si="92"/>
        <v>0</v>
      </c>
    </row>
    <row r="172" spans="1:17" ht="38.25">
      <c r="A172" s="255" t="s">
        <v>438</v>
      </c>
      <c r="B172" s="256" t="s">
        <v>439</v>
      </c>
      <c r="C172" s="257" t="s">
        <v>440</v>
      </c>
      <c r="D172" s="256" t="s">
        <v>19</v>
      </c>
      <c r="E172" s="256" t="s">
        <v>20</v>
      </c>
      <c r="F172" s="258">
        <v>148.68</v>
      </c>
      <c r="G172" s="259">
        <v>4.4000000000000004</v>
      </c>
      <c r="H172" s="259">
        <f t="shared" si="93"/>
        <v>5.6034000000000006</v>
      </c>
      <c r="I172" s="259">
        <f t="shared" si="94"/>
        <v>833.11351200000013</v>
      </c>
      <c r="J172" s="4"/>
      <c r="K172" s="19"/>
      <c r="L172" s="287">
        <f t="shared" si="95"/>
        <v>0</v>
      </c>
      <c r="M172" s="260">
        <f t="shared" si="96"/>
        <v>0</v>
      </c>
      <c r="N172" s="260">
        <f t="shared" si="97"/>
        <v>0</v>
      </c>
      <c r="O172" s="261">
        <f t="shared" si="98"/>
        <v>0</v>
      </c>
      <c r="P172" s="262">
        <f t="shared" si="99"/>
        <v>833.11351200000013</v>
      </c>
      <c r="Q172" s="263">
        <f t="shared" si="92"/>
        <v>0</v>
      </c>
    </row>
    <row r="173" spans="1:17" ht="38.25">
      <c r="A173" s="255" t="s">
        <v>441</v>
      </c>
      <c r="B173" s="256" t="s">
        <v>442</v>
      </c>
      <c r="C173" s="257" t="s">
        <v>443</v>
      </c>
      <c r="D173" s="256" t="s">
        <v>19</v>
      </c>
      <c r="E173" s="256" t="s">
        <v>20</v>
      </c>
      <c r="F173" s="258">
        <v>28.03</v>
      </c>
      <c r="G173" s="259">
        <v>15.6</v>
      </c>
      <c r="H173" s="259">
        <f t="shared" si="93"/>
        <v>19.866600000000002</v>
      </c>
      <c r="I173" s="259">
        <f t="shared" si="94"/>
        <v>556.86079800000005</v>
      </c>
      <c r="J173" s="4"/>
      <c r="K173" s="19"/>
      <c r="L173" s="287">
        <f t="shared" si="95"/>
        <v>0</v>
      </c>
      <c r="M173" s="260">
        <f t="shared" si="96"/>
        <v>0</v>
      </c>
      <c r="N173" s="260">
        <f t="shared" si="97"/>
        <v>0</v>
      </c>
      <c r="O173" s="261">
        <f t="shared" si="98"/>
        <v>0</v>
      </c>
      <c r="P173" s="262">
        <f t="shared" si="99"/>
        <v>556.86079800000005</v>
      </c>
      <c r="Q173" s="263">
        <f t="shared" si="92"/>
        <v>0</v>
      </c>
    </row>
    <row r="174" spans="1:17" ht="51">
      <c r="A174" s="255" t="s">
        <v>444</v>
      </c>
      <c r="B174" s="256" t="s">
        <v>445</v>
      </c>
      <c r="C174" s="257" t="s">
        <v>446</v>
      </c>
      <c r="D174" s="256" t="s">
        <v>19</v>
      </c>
      <c r="E174" s="256" t="s">
        <v>20</v>
      </c>
      <c r="F174" s="258">
        <v>65.42</v>
      </c>
      <c r="G174" s="259">
        <v>14.3</v>
      </c>
      <c r="H174" s="259">
        <f t="shared" si="93"/>
        <v>18.211050000000004</v>
      </c>
      <c r="I174" s="259">
        <f t="shared" si="94"/>
        <v>1191.3668910000004</v>
      </c>
      <c r="J174" s="4"/>
      <c r="K174" s="19"/>
      <c r="L174" s="287">
        <f t="shared" si="95"/>
        <v>0</v>
      </c>
      <c r="M174" s="260">
        <f t="shared" si="96"/>
        <v>0</v>
      </c>
      <c r="N174" s="260">
        <f t="shared" si="97"/>
        <v>0</v>
      </c>
      <c r="O174" s="261">
        <f t="shared" si="98"/>
        <v>0</v>
      </c>
      <c r="P174" s="262">
        <f t="shared" si="99"/>
        <v>1191.3668910000004</v>
      </c>
      <c r="Q174" s="263">
        <f t="shared" si="92"/>
        <v>0</v>
      </c>
    </row>
    <row r="175" spans="1:17" ht="38.25">
      <c r="A175" s="255" t="s">
        <v>447</v>
      </c>
      <c r="B175" s="256" t="s">
        <v>448</v>
      </c>
      <c r="C175" s="257" t="s">
        <v>449</v>
      </c>
      <c r="D175" s="256" t="s">
        <v>19</v>
      </c>
      <c r="E175" s="256" t="s">
        <v>20</v>
      </c>
      <c r="F175" s="258">
        <v>38.299999999999997</v>
      </c>
      <c r="G175" s="259">
        <v>10.55</v>
      </c>
      <c r="H175" s="259">
        <f t="shared" si="93"/>
        <v>13.435425000000002</v>
      </c>
      <c r="I175" s="259">
        <f t="shared" si="94"/>
        <v>514.57677750000005</v>
      </c>
      <c r="J175" s="4"/>
      <c r="K175" s="19"/>
      <c r="L175" s="287">
        <f t="shared" si="95"/>
        <v>0</v>
      </c>
      <c r="M175" s="260">
        <f t="shared" si="96"/>
        <v>0</v>
      </c>
      <c r="N175" s="260">
        <f t="shared" si="97"/>
        <v>0</v>
      </c>
      <c r="O175" s="261">
        <f t="shared" si="98"/>
        <v>0</v>
      </c>
      <c r="P175" s="262">
        <f t="shared" si="99"/>
        <v>514.57677750000005</v>
      </c>
      <c r="Q175" s="263">
        <f t="shared" si="92"/>
        <v>0</v>
      </c>
    </row>
    <row r="176" spans="1:17" ht="51">
      <c r="A176" s="255" t="s">
        <v>450</v>
      </c>
      <c r="B176" s="256" t="s">
        <v>451</v>
      </c>
      <c r="C176" s="257" t="s">
        <v>452</v>
      </c>
      <c r="D176" s="256" t="s">
        <v>19</v>
      </c>
      <c r="E176" s="256" t="s">
        <v>20</v>
      </c>
      <c r="F176" s="258">
        <v>30</v>
      </c>
      <c r="G176" s="259">
        <v>20.3</v>
      </c>
      <c r="H176" s="259">
        <f t="shared" si="93"/>
        <v>25.852050000000002</v>
      </c>
      <c r="I176" s="259">
        <f t="shared" si="94"/>
        <v>775.56150000000002</v>
      </c>
      <c r="J176" s="4"/>
      <c r="K176" s="19"/>
      <c r="L176" s="287">
        <f t="shared" si="95"/>
        <v>0</v>
      </c>
      <c r="M176" s="260">
        <f t="shared" si="96"/>
        <v>0</v>
      </c>
      <c r="N176" s="260">
        <f t="shared" si="97"/>
        <v>0</v>
      </c>
      <c r="O176" s="261">
        <f t="shared" si="98"/>
        <v>0</v>
      </c>
      <c r="P176" s="262">
        <f t="shared" si="99"/>
        <v>775.56150000000002</v>
      </c>
      <c r="Q176" s="263">
        <f t="shared" si="92"/>
        <v>0</v>
      </c>
    </row>
    <row r="177" spans="1:17" ht="51">
      <c r="A177" s="255" t="s">
        <v>453</v>
      </c>
      <c r="B177" s="256" t="s">
        <v>454</v>
      </c>
      <c r="C177" s="257" t="s">
        <v>455</v>
      </c>
      <c r="D177" s="256" t="s">
        <v>19</v>
      </c>
      <c r="E177" s="256" t="s">
        <v>115</v>
      </c>
      <c r="F177" s="258">
        <v>10</v>
      </c>
      <c r="G177" s="259">
        <v>329.84</v>
      </c>
      <c r="H177" s="259">
        <f t="shared" si="93"/>
        <v>420.05124000000001</v>
      </c>
      <c r="I177" s="259">
        <f t="shared" si="94"/>
        <v>4200.5123999999996</v>
      </c>
      <c r="J177" s="4"/>
      <c r="K177" s="19"/>
      <c r="L177" s="287">
        <f t="shared" si="95"/>
        <v>0</v>
      </c>
      <c r="M177" s="260">
        <f t="shared" si="96"/>
        <v>0</v>
      </c>
      <c r="N177" s="260">
        <f t="shared" si="97"/>
        <v>0</v>
      </c>
      <c r="O177" s="261">
        <f t="shared" si="98"/>
        <v>0</v>
      </c>
      <c r="P177" s="262">
        <f t="shared" si="99"/>
        <v>4200.5123999999996</v>
      </c>
      <c r="Q177" s="263">
        <f t="shared" si="92"/>
        <v>0</v>
      </c>
    </row>
    <row r="178" spans="1:17" ht="25.5">
      <c r="A178" s="255" t="s">
        <v>456</v>
      </c>
      <c r="B178" s="256" t="s">
        <v>457</v>
      </c>
      <c r="C178" s="257" t="s">
        <v>458</v>
      </c>
      <c r="D178" s="256" t="s">
        <v>19</v>
      </c>
      <c r="E178" s="256" t="s">
        <v>115</v>
      </c>
      <c r="F178" s="258">
        <v>10</v>
      </c>
      <c r="G178" s="259">
        <v>28.68</v>
      </c>
      <c r="H178" s="259">
        <f t="shared" si="93"/>
        <v>36.523980000000002</v>
      </c>
      <c r="I178" s="259">
        <f t="shared" si="94"/>
        <v>365.2398</v>
      </c>
      <c r="J178" s="4"/>
      <c r="K178" s="19"/>
      <c r="L178" s="287">
        <f t="shared" si="95"/>
        <v>0</v>
      </c>
      <c r="M178" s="260">
        <f t="shared" si="96"/>
        <v>0</v>
      </c>
      <c r="N178" s="260">
        <f t="shared" si="97"/>
        <v>0</v>
      </c>
      <c r="O178" s="261">
        <f t="shared" si="98"/>
        <v>0</v>
      </c>
      <c r="P178" s="262">
        <f t="shared" si="99"/>
        <v>365.2398</v>
      </c>
      <c r="Q178" s="263">
        <f t="shared" si="92"/>
        <v>0</v>
      </c>
    </row>
    <row r="179" spans="1:17" ht="25.5">
      <c r="A179" s="255" t="s">
        <v>459</v>
      </c>
      <c r="B179" s="256" t="s">
        <v>460</v>
      </c>
      <c r="C179" s="257" t="s">
        <v>461</v>
      </c>
      <c r="D179" s="256" t="s">
        <v>19</v>
      </c>
      <c r="E179" s="256" t="s">
        <v>115</v>
      </c>
      <c r="F179" s="258">
        <v>10</v>
      </c>
      <c r="G179" s="259">
        <v>86.47</v>
      </c>
      <c r="H179" s="259">
        <f t="shared" si="93"/>
        <v>110.119545</v>
      </c>
      <c r="I179" s="259">
        <f t="shared" si="94"/>
        <v>1101.1954499999999</v>
      </c>
      <c r="J179" s="4"/>
      <c r="K179" s="19"/>
      <c r="L179" s="287">
        <f t="shared" si="95"/>
        <v>0</v>
      </c>
      <c r="M179" s="260">
        <f t="shared" si="96"/>
        <v>0</v>
      </c>
      <c r="N179" s="260">
        <f t="shared" si="97"/>
        <v>0</v>
      </c>
      <c r="O179" s="261">
        <f t="shared" si="98"/>
        <v>0</v>
      </c>
      <c r="P179" s="262">
        <f t="shared" si="99"/>
        <v>1101.1954499999999</v>
      </c>
      <c r="Q179" s="263">
        <f t="shared" si="92"/>
        <v>0</v>
      </c>
    </row>
    <row r="180" spans="1:17" ht="38.25">
      <c r="A180" s="255" t="s">
        <v>462</v>
      </c>
      <c r="B180" s="256" t="s">
        <v>463</v>
      </c>
      <c r="C180" s="257" t="s">
        <v>464</v>
      </c>
      <c r="D180" s="256" t="s">
        <v>19</v>
      </c>
      <c r="E180" s="256" t="s">
        <v>115</v>
      </c>
      <c r="F180" s="258">
        <v>2</v>
      </c>
      <c r="G180" s="259">
        <v>6.61</v>
      </c>
      <c r="H180" s="259">
        <f t="shared" si="93"/>
        <v>8.4178350000000002</v>
      </c>
      <c r="I180" s="259">
        <f t="shared" si="94"/>
        <v>16.83567</v>
      </c>
      <c r="J180" s="4"/>
      <c r="K180" s="19"/>
      <c r="L180" s="287">
        <f t="shared" si="95"/>
        <v>0</v>
      </c>
      <c r="M180" s="260">
        <f t="shared" si="96"/>
        <v>0</v>
      </c>
      <c r="N180" s="260">
        <f t="shared" si="97"/>
        <v>0</v>
      </c>
      <c r="O180" s="261">
        <f t="shared" si="98"/>
        <v>0</v>
      </c>
      <c r="P180" s="262">
        <f t="shared" si="99"/>
        <v>16.83567</v>
      </c>
      <c r="Q180" s="263">
        <f t="shared" si="92"/>
        <v>0</v>
      </c>
    </row>
    <row r="181" spans="1:17" ht="38.25">
      <c r="A181" s="255" t="s">
        <v>465</v>
      </c>
      <c r="B181" s="256" t="s">
        <v>466</v>
      </c>
      <c r="C181" s="257" t="s">
        <v>467</v>
      </c>
      <c r="D181" s="256" t="s">
        <v>19</v>
      </c>
      <c r="E181" s="256" t="s">
        <v>115</v>
      </c>
      <c r="F181" s="258">
        <v>3</v>
      </c>
      <c r="G181" s="259">
        <v>451.43</v>
      </c>
      <c r="H181" s="259">
        <f t="shared" si="93"/>
        <v>574.89610500000003</v>
      </c>
      <c r="I181" s="259">
        <f t="shared" si="94"/>
        <v>1724.6883150000001</v>
      </c>
      <c r="J181" s="4"/>
      <c r="K181" s="19"/>
      <c r="L181" s="287">
        <f t="shared" si="95"/>
        <v>0</v>
      </c>
      <c r="M181" s="260">
        <f t="shared" si="96"/>
        <v>0</v>
      </c>
      <c r="N181" s="260">
        <f t="shared" si="97"/>
        <v>0</v>
      </c>
      <c r="O181" s="261">
        <f t="shared" si="98"/>
        <v>0</v>
      </c>
      <c r="P181" s="262">
        <f t="shared" si="99"/>
        <v>1724.6883150000001</v>
      </c>
      <c r="Q181" s="263">
        <f t="shared" si="92"/>
        <v>0</v>
      </c>
    </row>
    <row r="182" spans="1:17" ht="25.5">
      <c r="A182" s="255" t="s">
        <v>468</v>
      </c>
      <c r="B182" s="256" t="s">
        <v>469</v>
      </c>
      <c r="C182" s="257" t="s">
        <v>470</v>
      </c>
      <c r="D182" s="256" t="s">
        <v>19</v>
      </c>
      <c r="E182" s="256" t="s">
        <v>115</v>
      </c>
      <c r="F182" s="258">
        <v>4</v>
      </c>
      <c r="G182" s="259">
        <v>20.2</v>
      </c>
      <c r="H182" s="259">
        <f t="shared" si="93"/>
        <v>25.724700000000002</v>
      </c>
      <c r="I182" s="259">
        <f t="shared" si="94"/>
        <v>102.89880000000001</v>
      </c>
      <c r="J182" s="4"/>
      <c r="K182" s="19"/>
      <c r="L182" s="287">
        <f t="shared" si="95"/>
        <v>0</v>
      </c>
      <c r="M182" s="260">
        <f t="shared" si="96"/>
        <v>0</v>
      </c>
      <c r="N182" s="260">
        <f t="shared" si="97"/>
        <v>0</v>
      </c>
      <c r="O182" s="261">
        <f t="shared" si="98"/>
        <v>0</v>
      </c>
      <c r="P182" s="262">
        <f t="shared" si="99"/>
        <v>102.89880000000001</v>
      </c>
      <c r="Q182" s="263">
        <f t="shared" si="92"/>
        <v>0</v>
      </c>
    </row>
    <row r="183" spans="1:17" ht="51">
      <c r="A183" s="255" t="s">
        <v>471</v>
      </c>
      <c r="B183" s="256" t="s">
        <v>472</v>
      </c>
      <c r="C183" s="257" t="s">
        <v>473</v>
      </c>
      <c r="D183" s="256" t="s">
        <v>19</v>
      </c>
      <c r="E183" s="256" t="s">
        <v>115</v>
      </c>
      <c r="F183" s="258">
        <v>1</v>
      </c>
      <c r="G183" s="259">
        <v>136.12</v>
      </c>
      <c r="H183" s="259">
        <f t="shared" si="93"/>
        <v>173.34882000000002</v>
      </c>
      <c r="I183" s="259">
        <f t="shared" si="94"/>
        <v>173.34882000000002</v>
      </c>
      <c r="J183" s="4"/>
      <c r="K183" s="19"/>
      <c r="L183" s="287">
        <f t="shared" si="95"/>
        <v>0</v>
      </c>
      <c r="M183" s="260">
        <f t="shared" si="96"/>
        <v>0</v>
      </c>
      <c r="N183" s="260">
        <f t="shared" si="97"/>
        <v>0</v>
      </c>
      <c r="O183" s="261">
        <f t="shared" si="98"/>
        <v>0</v>
      </c>
      <c r="P183" s="262">
        <f t="shared" si="99"/>
        <v>173.34882000000002</v>
      </c>
      <c r="Q183" s="263">
        <f t="shared" si="92"/>
        <v>0</v>
      </c>
    </row>
    <row r="184" spans="1:17" ht="51">
      <c r="A184" s="255" t="s">
        <v>474</v>
      </c>
      <c r="B184" s="256" t="s">
        <v>475</v>
      </c>
      <c r="C184" s="257" t="s">
        <v>476</v>
      </c>
      <c r="D184" s="256" t="s">
        <v>19</v>
      </c>
      <c r="E184" s="256" t="s">
        <v>115</v>
      </c>
      <c r="F184" s="258">
        <v>4</v>
      </c>
      <c r="G184" s="259">
        <v>187.71</v>
      </c>
      <c r="H184" s="259">
        <f t="shared" si="93"/>
        <v>239.04868500000003</v>
      </c>
      <c r="I184" s="259">
        <f t="shared" si="94"/>
        <v>956.19474000000014</v>
      </c>
      <c r="J184" s="4"/>
      <c r="K184" s="19"/>
      <c r="L184" s="287">
        <f t="shared" si="95"/>
        <v>0</v>
      </c>
      <c r="M184" s="260">
        <f t="shared" si="96"/>
        <v>0</v>
      </c>
      <c r="N184" s="260">
        <f t="shared" si="97"/>
        <v>0</v>
      </c>
      <c r="O184" s="261">
        <f t="shared" si="98"/>
        <v>0</v>
      </c>
      <c r="P184" s="262">
        <f t="shared" si="99"/>
        <v>956.19474000000014</v>
      </c>
      <c r="Q184" s="263">
        <f t="shared" si="92"/>
        <v>0</v>
      </c>
    </row>
    <row r="185" spans="1:17" ht="38.25">
      <c r="A185" s="255" t="s">
        <v>477</v>
      </c>
      <c r="B185" s="256" t="s">
        <v>478</v>
      </c>
      <c r="C185" s="257" t="s">
        <v>479</v>
      </c>
      <c r="D185" s="256" t="s">
        <v>19</v>
      </c>
      <c r="E185" s="256" t="s">
        <v>115</v>
      </c>
      <c r="F185" s="258">
        <v>4</v>
      </c>
      <c r="G185" s="259">
        <v>64.790000000000006</v>
      </c>
      <c r="H185" s="259">
        <f t="shared" si="93"/>
        <v>82.510065000000012</v>
      </c>
      <c r="I185" s="259">
        <f t="shared" si="94"/>
        <v>330.04026000000005</v>
      </c>
      <c r="J185" s="4"/>
      <c r="K185" s="19"/>
      <c r="L185" s="287">
        <f t="shared" si="95"/>
        <v>0</v>
      </c>
      <c r="M185" s="260">
        <f t="shared" si="96"/>
        <v>0</v>
      </c>
      <c r="N185" s="260">
        <f t="shared" si="97"/>
        <v>0</v>
      </c>
      <c r="O185" s="261">
        <f t="shared" si="98"/>
        <v>0</v>
      </c>
      <c r="P185" s="262">
        <f t="shared" si="99"/>
        <v>330.04026000000005</v>
      </c>
      <c r="Q185" s="263">
        <f t="shared" si="92"/>
        <v>0</v>
      </c>
    </row>
    <row r="186" spans="1:17" ht="51">
      <c r="A186" s="255" t="s">
        <v>480</v>
      </c>
      <c r="B186" s="256" t="s">
        <v>481</v>
      </c>
      <c r="C186" s="257" t="s">
        <v>482</v>
      </c>
      <c r="D186" s="256" t="s">
        <v>19</v>
      </c>
      <c r="E186" s="256" t="s">
        <v>115</v>
      </c>
      <c r="F186" s="258">
        <v>8</v>
      </c>
      <c r="G186" s="259">
        <v>148.03</v>
      </c>
      <c r="H186" s="259">
        <f t="shared" si="93"/>
        <v>188.51620500000001</v>
      </c>
      <c r="I186" s="259">
        <f t="shared" si="94"/>
        <v>1508.1296400000001</v>
      </c>
      <c r="J186" s="4"/>
      <c r="K186" s="19"/>
      <c r="L186" s="287">
        <f t="shared" si="95"/>
        <v>0</v>
      </c>
      <c r="M186" s="260">
        <f t="shared" si="96"/>
        <v>0</v>
      </c>
      <c r="N186" s="260">
        <f t="shared" si="97"/>
        <v>0</v>
      </c>
      <c r="O186" s="261">
        <f t="shared" si="98"/>
        <v>0</v>
      </c>
      <c r="P186" s="262">
        <f t="shared" si="99"/>
        <v>1508.1296400000001</v>
      </c>
      <c r="Q186" s="263">
        <f t="shared" si="92"/>
        <v>0</v>
      </c>
    </row>
    <row r="187" spans="1:17" ht="38.25">
      <c r="A187" s="255" t="s">
        <v>483</v>
      </c>
      <c r="B187" s="256" t="s">
        <v>484</v>
      </c>
      <c r="C187" s="257" t="s">
        <v>485</v>
      </c>
      <c r="D187" s="256" t="s">
        <v>19</v>
      </c>
      <c r="E187" s="256" t="s">
        <v>115</v>
      </c>
      <c r="F187" s="258">
        <v>8</v>
      </c>
      <c r="G187" s="259">
        <v>55.37</v>
      </c>
      <c r="H187" s="259">
        <f t="shared" si="93"/>
        <v>70.513694999999998</v>
      </c>
      <c r="I187" s="259">
        <f t="shared" si="94"/>
        <v>564.10955999999999</v>
      </c>
      <c r="J187" s="4"/>
      <c r="K187" s="19"/>
      <c r="L187" s="287">
        <f t="shared" si="95"/>
        <v>0</v>
      </c>
      <c r="M187" s="260">
        <f t="shared" si="96"/>
        <v>0</v>
      </c>
      <c r="N187" s="260">
        <f t="shared" si="97"/>
        <v>0</v>
      </c>
      <c r="O187" s="261">
        <f t="shared" si="98"/>
        <v>0</v>
      </c>
      <c r="P187" s="262">
        <f t="shared" si="99"/>
        <v>564.10955999999999</v>
      </c>
      <c r="Q187" s="263">
        <f t="shared" si="92"/>
        <v>0</v>
      </c>
    </row>
    <row r="188" spans="1:17" ht="38.25">
      <c r="A188" s="255" t="s">
        <v>486</v>
      </c>
      <c r="B188" s="256" t="s">
        <v>487</v>
      </c>
      <c r="C188" s="257" t="s">
        <v>488</v>
      </c>
      <c r="D188" s="256" t="s">
        <v>19</v>
      </c>
      <c r="E188" s="256" t="s">
        <v>115</v>
      </c>
      <c r="F188" s="258">
        <v>1</v>
      </c>
      <c r="G188" s="259">
        <v>26.81</v>
      </c>
      <c r="H188" s="259">
        <f t="shared" si="93"/>
        <v>34.142535000000002</v>
      </c>
      <c r="I188" s="259">
        <f t="shared" si="94"/>
        <v>34.142535000000002</v>
      </c>
      <c r="J188" s="4"/>
      <c r="K188" s="19"/>
      <c r="L188" s="287">
        <f t="shared" si="95"/>
        <v>0</v>
      </c>
      <c r="M188" s="260">
        <f t="shared" si="96"/>
        <v>0</v>
      </c>
      <c r="N188" s="260">
        <f t="shared" si="97"/>
        <v>0</v>
      </c>
      <c r="O188" s="261">
        <f t="shared" si="98"/>
        <v>0</v>
      </c>
      <c r="P188" s="262">
        <f t="shared" si="99"/>
        <v>34.142535000000002</v>
      </c>
      <c r="Q188" s="263">
        <f t="shared" si="92"/>
        <v>0</v>
      </c>
    </row>
    <row r="189" spans="1:17" ht="38.25">
      <c r="A189" s="255" t="s">
        <v>489</v>
      </c>
      <c r="B189" s="256" t="s">
        <v>490</v>
      </c>
      <c r="C189" s="257" t="s">
        <v>491</v>
      </c>
      <c r="D189" s="256" t="s">
        <v>19</v>
      </c>
      <c r="E189" s="256" t="s">
        <v>115</v>
      </c>
      <c r="F189" s="258">
        <v>2</v>
      </c>
      <c r="G189" s="259">
        <v>190.7</v>
      </c>
      <c r="H189" s="259">
        <f t="shared" si="93"/>
        <v>242.85645</v>
      </c>
      <c r="I189" s="259">
        <f t="shared" si="94"/>
        <v>485.71289999999999</v>
      </c>
      <c r="J189" s="4"/>
      <c r="K189" s="19"/>
      <c r="L189" s="287">
        <f t="shared" si="95"/>
        <v>0</v>
      </c>
      <c r="M189" s="260">
        <f t="shared" si="96"/>
        <v>0</v>
      </c>
      <c r="N189" s="260">
        <f t="shared" si="97"/>
        <v>0</v>
      </c>
      <c r="O189" s="261">
        <f t="shared" si="98"/>
        <v>0</v>
      </c>
      <c r="P189" s="262">
        <f t="shared" si="99"/>
        <v>485.71289999999999</v>
      </c>
      <c r="Q189" s="263">
        <f t="shared" si="92"/>
        <v>0</v>
      </c>
    </row>
    <row r="190" spans="1:17" ht="38.25">
      <c r="A190" s="255" t="s">
        <v>492</v>
      </c>
      <c r="B190" s="256" t="s">
        <v>493</v>
      </c>
      <c r="C190" s="257" t="s">
        <v>494</v>
      </c>
      <c r="D190" s="256" t="s">
        <v>19</v>
      </c>
      <c r="E190" s="256" t="s">
        <v>115</v>
      </c>
      <c r="F190" s="258">
        <v>8</v>
      </c>
      <c r="G190" s="259">
        <v>177.5</v>
      </c>
      <c r="H190" s="259">
        <f t="shared" si="93"/>
        <v>226.04625000000001</v>
      </c>
      <c r="I190" s="259">
        <f t="shared" si="94"/>
        <v>1808.3700000000001</v>
      </c>
      <c r="J190" s="4"/>
      <c r="K190" s="19"/>
      <c r="L190" s="287">
        <f t="shared" si="95"/>
        <v>0</v>
      </c>
      <c r="M190" s="260">
        <f t="shared" si="96"/>
        <v>0</v>
      </c>
      <c r="N190" s="260">
        <f t="shared" si="97"/>
        <v>0</v>
      </c>
      <c r="O190" s="261">
        <f t="shared" si="98"/>
        <v>0</v>
      </c>
      <c r="P190" s="262">
        <f t="shared" si="99"/>
        <v>1808.3700000000001</v>
      </c>
      <c r="Q190" s="263">
        <f t="shared" si="92"/>
        <v>0</v>
      </c>
    </row>
    <row r="191" spans="1:17" ht="76.5">
      <c r="A191" s="255" t="s">
        <v>495</v>
      </c>
      <c r="B191" s="256" t="s">
        <v>496</v>
      </c>
      <c r="C191" s="257" t="s">
        <v>497</v>
      </c>
      <c r="D191" s="256" t="s">
        <v>19</v>
      </c>
      <c r="E191" s="256" t="s">
        <v>115</v>
      </c>
      <c r="F191" s="258">
        <v>2</v>
      </c>
      <c r="G191" s="259">
        <v>165.39</v>
      </c>
      <c r="H191" s="259">
        <f t="shared" si="93"/>
        <v>210.624165</v>
      </c>
      <c r="I191" s="259">
        <f t="shared" si="94"/>
        <v>421.24833000000001</v>
      </c>
      <c r="J191" s="4"/>
      <c r="K191" s="19"/>
      <c r="L191" s="287">
        <f t="shared" si="95"/>
        <v>0</v>
      </c>
      <c r="M191" s="260">
        <f t="shared" si="96"/>
        <v>0</v>
      </c>
      <c r="N191" s="260">
        <f t="shared" si="97"/>
        <v>0</v>
      </c>
      <c r="O191" s="261">
        <f t="shared" si="98"/>
        <v>0</v>
      </c>
      <c r="P191" s="262">
        <f t="shared" si="99"/>
        <v>421.24833000000001</v>
      </c>
      <c r="Q191" s="263">
        <f t="shared" si="92"/>
        <v>0</v>
      </c>
    </row>
    <row r="192" spans="1:17" ht="25.5">
      <c r="A192" s="255" t="s">
        <v>498</v>
      </c>
      <c r="B192" s="256" t="s">
        <v>499</v>
      </c>
      <c r="C192" s="257" t="s">
        <v>500</v>
      </c>
      <c r="D192" s="256" t="s">
        <v>19</v>
      </c>
      <c r="E192" s="256" t="s">
        <v>115</v>
      </c>
      <c r="F192" s="258">
        <v>10</v>
      </c>
      <c r="G192" s="259">
        <v>22.08</v>
      </c>
      <c r="H192" s="259">
        <f t="shared" si="93"/>
        <v>28.118880000000001</v>
      </c>
      <c r="I192" s="259">
        <f t="shared" si="94"/>
        <v>281.18880000000001</v>
      </c>
      <c r="J192" s="4"/>
      <c r="K192" s="19"/>
      <c r="L192" s="287">
        <f t="shared" si="95"/>
        <v>0</v>
      </c>
      <c r="M192" s="260">
        <f t="shared" si="96"/>
        <v>0</v>
      </c>
      <c r="N192" s="260">
        <f t="shared" si="97"/>
        <v>0</v>
      </c>
      <c r="O192" s="261">
        <f t="shared" si="98"/>
        <v>0</v>
      </c>
      <c r="P192" s="262">
        <f t="shared" si="99"/>
        <v>281.18880000000001</v>
      </c>
      <c r="Q192" s="263">
        <f t="shared" si="92"/>
        <v>0</v>
      </c>
    </row>
    <row r="193" spans="1:17" ht="25.5">
      <c r="A193" s="255" t="s">
        <v>501</v>
      </c>
      <c r="B193" s="256" t="s">
        <v>502</v>
      </c>
      <c r="C193" s="257" t="s">
        <v>503</v>
      </c>
      <c r="D193" s="256" t="s">
        <v>19</v>
      </c>
      <c r="E193" s="256" t="s">
        <v>115</v>
      </c>
      <c r="F193" s="258">
        <v>2</v>
      </c>
      <c r="G193" s="259">
        <v>117.18</v>
      </c>
      <c r="H193" s="259">
        <f t="shared" si="93"/>
        <v>149.22873000000001</v>
      </c>
      <c r="I193" s="259">
        <f t="shared" si="94"/>
        <v>298.45746000000003</v>
      </c>
      <c r="J193" s="4"/>
      <c r="K193" s="19"/>
      <c r="L193" s="287">
        <f t="shared" si="95"/>
        <v>0</v>
      </c>
      <c r="M193" s="260">
        <f t="shared" si="96"/>
        <v>0</v>
      </c>
      <c r="N193" s="260">
        <f t="shared" si="97"/>
        <v>0</v>
      </c>
      <c r="O193" s="261">
        <f t="shared" si="98"/>
        <v>0</v>
      </c>
      <c r="P193" s="262">
        <f t="shared" si="99"/>
        <v>298.45746000000003</v>
      </c>
      <c r="Q193" s="263">
        <f t="shared" si="92"/>
        <v>0</v>
      </c>
    </row>
    <row r="194" spans="1:17" ht="25.5">
      <c r="A194" s="255" t="s">
        <v>504</v>
      </c>
      <c r="B194" s="256" t="s">
        <v>505</v>
      </c>
      <c r="C194" s="257" t="s">
        <v>506</v>
      </c>
      <c r="D194" s="256" t="s">
        <v>19</v>
      </c>
      <c r="E194" s="256" t="s">
        <v>115</v>
      </c>
      <c r="F194" s="258">
        <v>1</v>
      </c>
      <c r="G194" s="259">
        <v>84.73</v>
      </c>
      <c r="H194" s="259">
        <f t="shared" si="93"/>
        <v>107.90365500000001</v>
      </c>
      <c r="I194" s="259">
        <f t="shared" si="94"/>
        <v>107.90365500000001</v>
      </c>
      <c r="J194" s="4"/>
      <c r="K194" s="19"/>
      <c r="L194" s="287">
        <f t="shared" si="95"/>
        <v>0</v>
      </c>
      <c r="M194" s="260">
        <f t="shared" si="96"/>
        <v>0</v>
      </c>
      <c r="N194" s="260">
        <f t="shared" si="97"/>
        <v>0</v>
      </c>
      <c r="O194" s="261">
        <f t="shared" si="98"/>
        <v>0</v>
      </c>
      <c r="P194" s="262">
        <f t="shared" si="99"/>
        <v>107.90365500000001</v>
      </c>
      <c r="Q194" s="263">
        <f t="shared" si="92"/>
        <v>0</v>
      </c>
    </row>
    <row r="195" spans="1:17" ht="25.5">
      <c r="A195" s="255" t="s">
        <v>507</v>
      </c>
      <c r="B195" s="256" t="s">
        <v>508</v>
      </c>
      <c r="C195" s="257" t="s">
        <v>509</v>
      </c>
      <c r="D195" s="256" t="s">
        <v>19</v>
      </c>
      <c r="E195" s="256" t="s">
        <v>115</v>
      </c>
      <c r="F195" s="258">
        <v>1</v>
      </c>
      <c r="G195" s="259">
        <v>28.98</v>
      </c>
      <c r="H195" s="259">
        <f t="shared" si="93"/>
        <v>36.906030000000001</v>
      </c>
      <c r="I195" s="259">
        <f t="shared" si="94"/>
        <v>36.906030000000001</v>
      </c>
      <c r="J195" s="4"/>
      <c r="K195" s="19"/>
      <c r="L195" s="287">
        <f t="shared" si="95"/>
        <v>0</v>
      </c>
      <c r="M195" s="260">
        <f t="shared" si="96"/>
        <v>0</v>
      </c>
      <c r="N195" s="260">
        <f t="shared" si="97"/>
        <v>0</v>
      </c>
      <c r="O195" s="261">
        <f t="shared" si="98"/>
        <v>0</v>
      </c>
      <c r="P195" s="262">
        <f t="shared" si="99"/>
        <v>36.906030000000001</v>
      </c>
      <c r="Q195" s="263">
        <f t="shared" si="92"/>
        <v>0</v>
      </c>
    </row>
    <row r="196" spans="1:17" ht="25.5">
      <c r="A196" s="255" t="s">
        <v>510</v>
      </c>
      <c r="B196" s="256" t="s">
        <v>511</v>
      </c>
      <c r="C196" s="257" t="s">
        <v>512</v>
      </c>
      <c r="D196" s="256" t="s">
        <v>19</v>
      </c>
      <c r="E196" s="256" t="s">
        <v>115</v>
      </c>
      <c r="F196" s="258">
        <v>13</v>
      </c>
      <c r="G196" s="259">
        <v>31.62</v>
      </c>
      <c r="H196" s="259">
        <f t="shared" si="93"/>
        <v>40.268070000000002</v>
      </c>
      <c r="I196" s="259">
        <f t="shared" si="94"/>
        <v>523.48491000000001</v>
      </c>
      <c r="J196" s="4"/>
      <c r="K196" s="19"/>
      <c r="L196" s="287">
        <f t="shared" si="95"/>
        <v>0</v>
      </c>
      <c r="M196" s="260">
        <f t="shared" si="96"/>
        <v>0</v>
      </c>
      <c r="N196" s="260">
        <f t="shared" si="97"/>
        <v>0</v>
      </c>
      <c r="O196" s="261">
        <f t="shared" si="98"/>
        <v>0</v>
      </c>
      <c r="P196" s="262">
        <f t="shared" si="99"/>
        <v>523.48491000000001</v>
      </c>
      <c r="Q196" s="263">
        <f t="shared" si="92"/>
        <v>0</v>
      </c>
    </row>
    <row r="197" spans="1:17" ht="51">
      <c r="A197" s="255" t="s">
        <v>513</v>
      </c>
      <c r="B197" s="256" t="s">
        <v>514</v>
      </c>
      <c r="C197" s="257" t="s">
        <v>515</v>
      </c>
      <c r="D197" s="256" t="s">
        <v>19</v>
      </c>
      <c r="E197" s="256" t="s">
        <v>115</v>
      </c>
      <c r="F197" s="258">
        <v>2</v>
      </c>
      <c r="G197" s="259">
        <v>71.67</v>
      </c>
      <c r="H197" s="259">
        <f t="shared" si="93"/>
        <v>91.27174500000001</v>
      </c>
      <c r="I197" s="259">
        <f t="shared" si="94"/>
        <v>182.54349000000002</v>
      </c>
      <c r="J197" s="4"/>
      <c r="K197" s="19"/>
      <c r="L197" s="287">
        <f t="shared" si="95"/>
        <v>0</v>
      </c>
      <c r="M197" s="260">
        <f t="shared" si="96"/>
        <v>0</v>
      </c>
      <c r="N197" s="260">
        <f t="shared" si="97"/>
        <v>0</v>
      </c>
      <c r="O197" s="261">
        <f t="shared" si="98"/>
        <v>0</v>
      </c>
      <c r="P197" s="262">
        <f t="shared" si="99"/>
        <v>182.54349000000002</v>
      </c>
      <c r="Q197" s="263">
        <f t="shared" si="92"/>
        <v>0</v>
      </c>
    </row>
    <row r="198" spans="1:17" ht="38.25">
      <c r="A198" s="255" t="s">
        <v>516</v>
      </c>
      <c r="B198" s="256" t="s">
        <v>517</v>
      </c>
      <c r="C198" s="257" t="s">
        <v>518</v>
      </c>
      <c r="D198" s="256" t="s">
        <v>19</v>
      </c>
      <c r="E198" s="256" t="s">
        <v>115</v>
      </c>
      <c r="F198" s="258">
        <v>20</v>
      </c>
      <c r="G198" s="259">
        <v>27.64</v>
      </c>
      <c r="H198" s="259">
        <f t="shared" si="93"/>
        <v>35.199540000000006</v>
      </c>
      <c r="I198" s="259">
        <f t="shared" si="94"/>
        <v>703.99080000000015</v>
      </c>
      <c r="J198" s="4"/>
      <c r="K198" s="19"/>
      <c r="L198" s="287">
        <f t="shared" si="95"/>
        <v>0</v>
      </c>
      <c r="M198" s="260">
        <f t="shared" si="96"/>
        <v>0</v>
      </c>
      <c r="N198" s="260">
        <f t="shared" si="97"/>
        <v>0</v>
      </c>
      <c r="O198" s="261">
        <f t="shared" si="98"/>
        <v>0</v>
      </c>
      <c r="P198" s="262">
        <f t="shared" si="99"/>
        <v>703.99080000000015</v>
      </c>
      <c r="Q198" s="263">
        <f t="shared" si="92"/>
        <v>0</v>
      </c>
    </row>
    <row r="199" spans="1:17" ht="51">
      <c r="A199" s="255" t="s">
        <v>519</v>
      </c>
      <c r="B199" s="256" t="s">
        <v>520</v>
      </c>
      <c r="C199" s="257" t="s">
        <v>521</v>
      </c>
      <c r="D199" s="256" t="s">
        <v>19</v>
      </c>
      <c r="E199" s="256" t="s">
        <v>115</v>
      </c>
      <c r="F199" s="258">
        <v>12</v>
      </c>
      <c r="G199" s="259">
        <v>5.69</v>
      </c>
      <c r="H199" s="259">
        <f t="shared" si="93"/>
        <v>7.2462150000000012</v>
      </c>
      <c r="I199" s="259">
        <f t="shared" si="94"/>
        <v>86.954580000000021</v>
      </c>
      <c r="J199" s="4"/>
      <c r="K199" s="19"/>
      <c r="L199" s="287">
        <f t="shared" si="95"/>
        <v>0</v>
      </c>
      <c r="M199" s="260">
        <f t="shared" si="96"/>
        <v>0</v>
      </c>
      <c r="N199" s="260">
        <f t="shared" si="97"/>
        <v>0</v>
      </c>
      <c r="O199" s="261">
        <f t="shared" si="98"/>
        <v>0</v>
      </c>
      <c r="P199" s="262">
        <f t="shared" si="99"/>
        <v>86.954580000000021</v>
      </c>
      <c r="Q199" s="263">
        <f t="shared" si="92"/>
        <v>0</v>
      </c>
    </row>
    <row r="200" spans="1:17" ht="51">
      <c r="A200" s="255" t="s">
        <v>522</v>
      </c>
      <c r="B200" s="256" t="s">
        <v>523</v>
      </c>
      <c r="C200" s="257" t="s">
        <v>524</v>
      </c>
      <c r="D200" s="256" t="s">
        <v>19</v>
      </c>
      <c r="E200" s="256" t="s">
        <v>115</v>
      </c>
      <c r="F200" s="258">
        <v>5</v>
      </c>
      <c r="G200" s="259">
        <v>14.24</v>
      </c>
      <c r="H200" s="259">
        <f t="shared" si="93"/>
        <v>18.134640000000001</v>
      </c>
      <c r="I200" s="259">
        <f t="shared" si="94"/>
        <v>90.673200000000008</v>
      </c>
      <c r="J200" s="4"/>
      <c r="K200" s="19"/>
      <c r="L200" s="287">
        <f t="shared" si="95"/>
        <v>0</v>
      </c>
      <c r="M200" s="260">
        <f t="shared" si="96"/>
        <v>0</v>
      </c>
      <c r="N200" s="260">
        <f t="shared" si="97"/>
        <v>0</v>
      </c>
      <c r="O200" s="261">
        <f t="shared" si="98"/>
        <v>0</v>
      </c>
      <c r="P200" s="262">
        <f t="shared" si="99"/>
        <v>90.673200000000008</v>
      </c>
      <c r="Q200" s="263">
        <f t="shared" si="92"/>
        <v>0</v>
      </c>
    </row>
    <row r="201" spans="1:17" ht="51">
      <c r="A201" s="255" t="s">
        <v>525</v>
      </c>
      <c r="B201" s="256" t="s">
        <v>526</v>
      </c>
      <c r="C201" s="257" t="s">
        <v>527</v>
      </c>
      <c r="D201" s="256" t="s">
        <v>19</v>
      </c>
      <c r="E201" s="256" t="s">
        <v>115</v>
      </c>
      <c r="F201" s="258">
        <v>36</v>
      </c>
      <c r="G201" s="259">
        <v>7.4</v>
      </c>
      <c r="H201" s="259">
        <f t="shared" si="93"/>
        <v>9.4239000000000015</v>
      </c>
      <c r="I201" s="259">
        <f t="shared" si="94"/>
        <v>339.26040000000006</v>
      </c>
      <c r="J201" s="4"/>
      <c r="K201" s="19"/>
      <c r="L201" s="287">
        <f t="shared" si="95"/>
        <v>0</v>
      </c>
      <c r="M201" s="260">
        <f t="shared" si="96"/>
        <v>0</v>
      </c>
      <c r="N201" s="260">
        <f t="shared" si="97"/>
        <v>0</v>
      </c>
      <c r="O201" s="261">
        <f t="shared" si="98"/>
        <v>0</v>
      </c>
      <c r="P201" s="262">
        <f t="shared" si="99"/>
        <v>339.26040000000006</v>
      </c>
      <c r="Q201" s="263">
        <f t="shared" si="92"/>
        <v>0</v>
      </c>
    </row>
    <row r="202" spans="1:17" ht="51">
      <c r="A202" s="255" t="s">
        <v>528</v>
      </c>
      <c r="B202" s="256" t="s">
        <v>529</v>
      </c>
      <c r="C202" s="257" t="s">
        <v>530</v>
      </c>
      <c r="D202" s="256" t="s">
        <v>19</v>
      </c>
      <c r="E202" s="256" t="s">
        <v>115</v>
      </c>
      <c r="F202" s="258">
        <v>14</v>
      </c>
      <c r="G202" s="259">
        <v>5.12</v>
      </c>
      <c r="H202" s="259">
        <f t="shared" si="93"/>
        <v>6.5203200000000008</v>
      </c>
      <c r="I202" s="259">
        <f t="shared" si="94"/>
        <v>91.284480000000016</v>
      </c>
      <c r="J202" s="4"/>
      <c r="K202" s="19"/>
      <c r="L202" s="287">
        <f t="shared" si="95"/>
        <v>0</v>
      </c>
      <c r="M202" s="260">
        <f t="shared" si="96"/>
        <v>0</v>
      </c>
      <c r="N202" s="260">
        <f t="shared" si="97"/>
        <v>0</v>
      </c>
      <c r="O202" s="261">
        <f t="shared" si="98"/>
        <v>0</v>
      </c>
      <c r="P202" s="262">
        <f t="shared" si="99"/>
        <v>91.284480000000016</v>
      </c>
      <c r="Q202" s="263">
        <f t="shared" ref="Q202:Q229" si="100">O202/I202</f>
        <v>0</v>
      </c>
    </row>
    <row r="203" spans="1:17" ht="51">
      <c r="A203" s="255" t="s">
        <v>531</v>
      </c>
      <c r="B203" s="256" t="s">
        <v>532</v>
      </c>
      <c r="C203" s="257" t="s">
        <v>533</v>
      </c>
      <c r="D203" s="256" t="s">
        <v>19</v>
      </c>
      <c r="E203" s="256" t="s">
        <v>115</v>
      </c>
      <c r="F203" s="258">
        <v>10</v>
      </c>
      <c r="G203" s="259">
        <v>18.22</v>
      </c>
      <c r="H203" s="259">
        <f t="shared" si="93"/>
        <v>23.20317</v>
      </c>
      <c r="I203" s="259">
        <f t="shared" si="94"/>
        <v>232.0317</v>
      </c>
      <c r="J203" s="4"/>
      <c r="K203" s="19"/>
      <c r="L203" s="287">
        <f t="shared" si="95"/>
        <v>0</v>
      </c>
      <c r="M203" s="260">
        <f t="shared" si="96"/>
        <v>0</v>
      </c>
      <c r="N203" s="260">
        <f t="shared" si="97"/>
        <v>0</v>
      </c>
      <c r="O203" s="261">
        <f t="shared" si="98"/>
        <v>0</v>
      </c>
      <c r="P203" s="262">
        <f t="shared" si="99"/>
        <v>232.0317</v>
      </c>
      <c r="Q203" s="263">
        <f t="shared" si="100"/>
        <v>0</v>
      </c>
    </row>
    <row r="204" spans="1:17" ht="51">
      <c r="A204" s="255" t="s">
        <v>534</v>
      </c>
      <c r="B204" s="256" t="s">
        <v>535</v>
      </c>
      <c r="C204" s="257" t="s">
        <v>536</v>
      </c>
      <c r="D204" s="256" t="s">
        <v>19</v>
      </c>
      <c r="E204" s="256" t="s">
        <v>115</v>
      </c>
      <c r="F204" s="258">
        <v>1</v>
      </c>
      <c r="G204" s="259">
        <v>13.18</v>
      </c>
      <c r="H204" s="259">
        <f t="shared" si="93"/>
        <v>16.78473</v>
      </c>
      <c r="I204" s="259">
        <f t="shared" si="94"/>
        <v>16.78473</v>
      </c>
      <c r="J204" s="4"/>
      <c r="K204" s="19"/>
      <c r="L204" s="287">
        <f t="shared" si="95"/>
        <v>0</v>
      </c>
      <c r="M204" s="260">
        <f t="shared" si="96"/>
        <v>0</v>
      </c>
      <c r="N204" s="260">
        <f t="shared" si="97"/>
        <v>0</v>
      </c>
      <c r="O204" s="261">
        <f t="shared" si="98"/>
        <v>0</v>
      </c>
      <c r="P204" s="262">
        <f t="shared" si="99"/>
        <v>16.78473</v>
      </c>
      <c r="Q204" s="263">
        <f t="shared" si="100"/>
        <v>0</v>
      </c>
    </row>
    <row r="205" spans="1:17" ht="25.5">
      <c r="A205" s="255" t="s">
        <v>537</v>
      </c>
      <c r="B205" s="256" t="s">
        <v>538</v>
      </c>
      <c r="C205" s="257" t="s">
        <v>539</v>
      </c>
      <c r="D205" s="256" t="s">
        <v>19</v>
      </c>
      <c r="E205" s="256" t="s">
        <v>115</v>
      </c>
      <c r="F205" s="258">
        <v>8</v>
      </c>
      <c r="G205" s="259">
        <v>15.03</v>
      </c>
      <c r="H205" s="259">
        <f t="shared" si="93"/>
        <v>19.140705000000001</v>
      </c>
      <c r="I205" s="259">
        <f t="shared" si="94"/>
        <v>153.12564</v>
      </c>
      <c r="J205" s="4"/>
      <c r="K205" s="19"/>
      <c r="L205" s="287">
        <f t="shared" si="95"/>
        <v>0</v>
      </c>
      <c r="M205" s="260">
        <f t="shared" si="96"/>
        <v>0</v>
      </c>
      <c r="N205" s="260">
        <f t="shared" si="97"/>
        <v>0</v>
      </c>
      <c r="O205" s="261">
        <f t="shared" si="98"/>
        <v>0</v>
      </c>
      <c r="P205" s="262">
        <f t="shared" si="99"/>
        <v>153.12564</v>
      </c>
      <c r="Q205" s="263">
        <f t="shared" si="100"/>
        <v>0</v>
      </c>
    </row>
    <row r="206" spans="1:17" ht="25.5">
      <c r="A206" s="255" t="s">
        <v>540</v>
      </c>
      <c r="B206" s="256" t="s">
        <v>541</v>
      </c>
      <c r="C206" s="257" t="s">
        <v>542</v>
      </c>
      <c r="D206" s="256" t="s">
        <v>19</v>
      </c>
      <c r="E206" s="256" t="s">
        <v>115</v>
      </c>
      <c r="F206" s="258">
        <v>1</v>
      </c>
      <c r="G206" s="259">
        <v>21.66</v>
      </c>
      <c r="H206" s="259">
        <f t="shared" si="93"/>
        <v>27.584010000000003</v>
      </c>
      <c r="I206" s="259">
        <f t="shared" si="94"/>
        <v>27.584010000000003</v>
      </c>
      <c r="J206" s="4"/>
      <c r="K206" s="19"/>
      <c r="L206" s="287">
        <f t="shared" si="95"/>
        <v>0</v>
      </c>
      <c r="M206" s="260">
        <f t="shared" si="96"/>
        <v>0</v>
      </c>
      <c r="N206" s="260">
        <f t="shared" si="97"/>
        <v>0</v>
      </c>
      <c r="O206" s="261">
        <f t="shared" si="98"/>
        <v>0</v>
      </c>
      <c r="P206" s="262">
        <f t="shared" si="99"/>
        <v>27.584010000000003</v>
      </c>
      <c r="Q206" s="263">
        <f t="shared" si="100"/>
        <v>0</v>
      </c>
    </row>
    <row r="207" spans="1:17" ht="63.75">
      <c r="A207" s="255" t="s">
        <v>543</v>
      </c>
      <c r="B207" s="256" t="s">
        <v>544</v>
      </c>
      <c r="C207" s="257" t="s">
        <v>545</v>
      </c>
      <c r="D207" s="256" t="s">
        <v>19</v>
      </c>
      <c r="E207" s="256" t="s">
        <v>115</v>
      </c>
      <c r="F207" s="258">
        <v>5</v>
      </c>
      <c r="G207" s="259">
        <v>35.950000000000003</v>
      </c>
      <c r="H207" s="259">
        <f t="shared" si="93"/>
        <v>45.782325000000007</v>
      </c>
      <c r="I207" s="259">
        <f t="shared" si="94"/>
        <v>228.91162500000004</v>
      </c>
      <c r="J207" s="4"/>
      <c r="K207" s="19"/>
      <c r="L207" s="287">
        <f t="shared" si="95"/>
        <v>0</v>
      </c>
      <c r="M207" s="260">
        <f t="shared" si="96"/>
        <v>0</v>
      </c>
      <c r="N207" s="260">
        <f t="shared" si="97"/>
        <v>0</v>
      </c>
      <c r="O207" s="261">
        <f t="shared" si="98"/>
        <v>0</v>
      </c>
      <c r="P207" s="262">
        <f t="shared" si="99"/>
        <v>228.91162500000004</v>
      </c>
      <c r="Q207" s="263">
        <f t="shared" si="100"/>
        <v>0</v>
      </c>
    </row>
    <row r="208" spans="1:17" ht="51">
      <c r="A208" s="255" t="s">
        <v>546</v>
      </c>
      <c r="B208" s="256" t="s">
        <v>547</v>
      </c>
      <c r="C208" s="257" t="s">
        <v>548</v>
      </c>
      <c r="D208" s="256" t="s">
        <v>19</v>
      </c>
      <c r="E208" s="256" t="s">
        <v>115</v>
      </c>
      <c r="F208" s="258">
        <v>20</v>
      </c>
      <c r="G208" s="259">
        <v>5.17</v>
      </c>
      <c r="H208" s="259">
        <f t="shared" si="93"/>
        <v>6.5839950000000007</v>
      </c>
      <c r="I208" s="259">
        <f t="shared" si="94"/>
        <v>131.6799</v>
      </c>
      <c r="J208" s="4"/>
      <c r="K208" s="19"/>
      <c r="L208" s="287">
        <f t="shared" si="95"/>
        <v>0</v>
      </c>
      <c r="M208" s="260">
        <f t="shared" si="96"/>
        <v>0</v>
      </c>
      <c r="N208" s="260">
        <f t="shared" si="97"/>
        <v>0</v>
      </c>
      <c r="O208" s="261">
        <f t="shared" si="98"/>
        <v>0</v>
      </c>
      <c r="P208" s="262">
        <f t="shared" si="99"/>
        <v>131.6799</v>
      </c>
      <c r="Q208" s="263">
        <f t="shared" si="100"/>
        <v>0</v>
      </c>
    </row>
    <row r="209" spans="1:17" ht="51">
      <c r="A209" s="255" t="s">
        <v>549</v>
      </c>
      <c r="B209" s="256" t="s">
        <v>550</v>
      </c>
      <c r="C209" s="257" t="s">
        <v>551</v>
      </c>
      <c r="D209" s="256" t="s">
        <v>19</v>
      </c>
      <c r="E209" s="256" t="s">
        <v>115</v>
      </c>
      <c r="F209" s="258">
        <v>4</v>
      </c>
      <c r="G209" s="259">
        <v>9.14</v>
      </c>
      <c r="H209" s="259">
        <f t="shared" si="93"/>
        <v>11.639790000000001</v>
      </c>
      <c r="I209" s="259">
        <f t="shared" si="94"/>
        <v>46.559160000000006</v>
      </c>
      <c r="J209" s="4"/>
      <c r="K209" s="19"/>
      <c r="L209" s="287">
        <f t="shared" si="95"/>
        <v>0</v>
      </c>
      <c r="M209" s="260">
        <f t="shared" si="96"/>
        <v>0</v>
      </c>
      <c r="N209" s="260">
        <f t="shared" si="97"/>
        <v>0</v>
      </c>
      <c r="O209" s="261">
        <f t="shared" si="98"/>
        <v>0</v>
      </c>
      <c r="P209" s="262">
        <f t="shared" si="99"/>
        <v>46.559160000000006</v>
      </c>
      <c r="Q209" s="263">
        <f t="shared" si="100"/>
        <v>0</v>
      </c>
    </row>
    <row r="210" spans="1:17" ht="51">
      <c r="A210" s="255" t="s">
        <v>552</v>
      </c>
      <c r="B210" s="256" t="s">
        <v>553</v>
      </c>
      <c r="C210" s="257" t="s">
        <v>554</v>
      </c>
      <c r="D210" s="256" t="s">
        <v>19</v>
      </c>
      <c r="E210" s="256" t="s">
        <v>115</v>
      </c>
      <c r="F210" s="258">
        <v>17</v>
      </c>
      <c r="G210" s="259">
        <v>13.97</v>
      </c>
      <c r="H210" s="259">
        <f t="shared" si="93"/>
        <v>17.790795000000003</v>
      </c>
      <c r="I210" s="259">
        <f t="shared" si="94"/>
        <v>302.44351500000005</v>
      </c>
      <c r="J210" s="4"/>
      <c r="K210" s="19"/>
      <c r="L210" s="287">
        <f t="shared" si="95"/>
        <v>0</v>
      </c>
      <c r="M210" s="260">
        <f t="shared" si="96"/>
        <v>0</v>
      </c>
      <c r="N210" s="260">
        <f t="shared" si="97"/>
        <v>0</v>
      </c>
      <c r="O210" s="261">
        <f t="shared" si="98"/>
        <v>0</v>
      </c>
      <c r="P210" s="262">
        <f t="shared" si="99"/>
        <v>302.44351500000005</v>
      </c>
      <c r="Q210" s="263">
        <f t="shared" si="100"/>
        <v>0</v>
      </c>
    </row>
    <row r="211" spans="1:17" ht="51">
      <c r="A211" s="255" t="s">
        <v>555</v>
      </c>
      <c r="B211" s="256" t="s">
        <v>556</v>
      </c>
      <c r="C211" s="257" t="s">
        <v>557</v>
      </c>
      <c r="D211" s="256" t="s">
        <v>19</v>
      </c>
      <c r="E211" s="256" t="s">
        <v>115</v>
      </c>
      <c r="F211" s="258">
        <v>11</v>
      </c>
      <c r="G211" s="259">
        <v>11.55</v>
      </c>
      <c r="H211" s="259">
        <f t="shared" si="93"/>
        <v>14.708925000000002</v>
      </c>
      <c r="I211" s="259">
        <f t="shared" si="94"/>
        <v>161.79817500000001</v>
      </c>
      <c r="J211" s="4"/>
      <c r="K211" s="19"/>
      <c r="L211" s="287">
        <f t="shared" si="95"/>
        <v>0</v>
      </c>
      <c r="M211" s="260">
        <f t="shared" si="96"/>
        <v>0</v>
      </c>
      <c r="N211" s="260">
        <f t="shared" si="97"/>
        <v>0</v>
      </c>
      <c r="O211" s="261">
        <f t="shared" si="98"/>
        <v>0</v>
      </c>
      <c r="P211" s="262">
        <f t="shared" si="99"/>
        <v>161.79817500000001</v>
      </c>
      <c r="Q211" s="263">
        <f t="shared" si="100"/>
        <v>0</v>
      </c>
    </row>
    <row r="212" spans="1:17" ht="25.5">
      <c r="A212" s="255" t="s">
        <v>558</v>
      </c>
      <c r="B212" s="256" t="s">
        <v>559</v>
      </c>
      <c r="C212" s="257" t="s">
        <v>560</v>
      </c>
      <c r="D212" s="256" t="s">
        <v>19</v>
      </c>
      <c r="E212" s="256" t="s">
        <v>115</v>
      </c>
      <c r="F212" s="258">
        <v>1</v>
      </c>
      <c r="G212" s="259">
        <v>12.86</v>
      </c>
      <c r="H212" s="259">
        <f t="shared" si="93"/>
        <v>16.377210000000002</v>
      </c>
      <c r="I212" s="259">
        <f t="shared" si="94"/>
        <v>16.377210000000002</v>
      </c>
      <c r="J212" s="4"/>
      <c r="K212" s="19"/>
      <c r="L212" s="287">
        <f t="shared" si="95"/>
        <v>0</v>
      </c>
      <c r="M212" s="260">
        <f t="shared" si="96"/>
        <v>0</v>
      </c>
      <c r="N212" s="260">
        <f t="shared" si="97"/>
        <v>0</v>
      </c>
      <c r="O212" s="261">
        <f t="shared" si="98"/>
        <v>0</v>
      </c>
      <c r="P212" s="262">
        <f t="shared" si="99"/>
        <v>16.377210000000002</v>
      </c>
      <c r="Q212" s="263">
        <f t="shared" si="100"/>
        <v>0</v>
      </c>
    </row>
    <row r="213" spans="1:17" ht="25.5">
      <c r="A213" s="255" t="s">
        <v>561</v>
      </c>
      <c r="B213" s="256" t="s">
        <v>562</v>
      </c>
      <c r="C213" s="257" t="s">
        <v>563</v>
      </c>
      <c r="D213" s="256" t="s">
        <v>19</v>
      </c>
      <c r="E213" s="256" t="s">
        <v>115</v>
      </c>
      <c r="F213" s="258">
        <v>4</v>
      </c>
      <c r="G213" s="259">
        <v>14.75</v>
      </c>
      <c r="H213" s="259">
        <f t="shared" si="93"/>
        <v>18.784125</v>
      </c>
      <c r="I213" s="259">
        <f t="shared" si="94"/>
        <v>75.136499999999998</v>
      </c>
      <c r="J213" s="4"/>
      <c r="K213" s="19"/>
      <c r="L213" s="287">
        <f t="shared" si="95"/>
        <v>0</v>
      </c>
      <c r="M213" s="260">
        <f t="shared" si="96"/>
        <v>0</v>
      </c>
      <c r="N213" s="260">
        <f t="shared" si="97"/>
        <v>0</v>
      </c>
      <c r="O213" s="261">
        <f t="shared" si="98"/>
        <v>0</v>
      </c>
      <c r="P213" s="262">
        <f t="shared" si="99"/>
        <v>75.136499999999998</v>
      </c>
      <c r="Q213" s="263">
        <f t="shared" si="100"/>
        <v>0</v>
      </c>
    </row>
    <row r="214" spans="1:17">
      <c r="A214" s="264"/>
      <c r="B214" s="2"/>
      <c r="C214" s="118"/>
      <c r="D214" s="2"/>
      <c r="E214" s="2"/>
      <c r="F214" s="265"/>
      <c r="G214" s="266"/>
      <c r="H214" s="266"/>
      <c r="I214" s="267">
        <f>SUM(I154:I213)</f>
        <v>30647.858192099982</v>
      </c>
      <c r="J214" s="268"/>
      <c r="K214" s="268"/>
      <c r="L214" s="287"/>
      <c r="M214" s="267">
        <f>SUM(M154:M213)</f>
        <v>0</v>
      </c>
      <c r="N214" s="267">
        <f>SUM(N154:N213)</f>
        <v>0</v>
      </c>
      <c r="O214" s="267">
        <f>SUM(O154:O213)</f>
        <v>0</v>
      </c>
      <c r="P214" s="269">
        <f t="shared" si="99"/>
        <v>30647.858192099982</v>
      </c>
      <c r="Q214" s="263">
        <f t="shared" si="100"/>
        <v>0</v>
      </c>
    </row>
    <row r="215" spans="1:17">
      <c r="A215" s="254" t="s">
        <v>564</v>
      </c>
      <c r="B215" s="412" t="s">
        <v>565</v>
      </c>
      <c r="C215" s="412"/>
      <c r="D215" s="412"/>
      <c r="E215" s="412"/>
      <c r="F215" s="412"/>
      <c r="G215" s="412"/>
      <c r="H215" s="412"/>
      <c r="I215" s="412"/>
      <c r="J215" s="412"/>
      <c r="K215" s="412"/>
      <c r="L215" s="412"/>
      <c r="M215" s="412"/>
      <c r="N215" s="412"/>
      <c r="O215" s="412"/>
      <c r="P215" s="457"/>
      <c r="Q215" s="263"/>
    </row>
    <row r="216" spans="1:17" ht="25.5">
      <c r="A216" s="255" t="s">
        <v>566</v>
      </c>
      <c r="B216" s="256" t="s">
        <v>567</v>
      </c>
      <c r="C216" s="257" t="s">
        <v>568</v>
      </c>
      <c r="D216" s="256" t="s">
        <v>19</v>
      </c>
      <c r="E216" s="256" t="s">
        <v>67</v>
      </c>
      <c r="F216" s="258">
        <v>2197.91</v>
      </c>
      <c r="G216" s="259">
        <v>2.1800000000000002</v>
      </c>
      <c r="H216" s="259">
        <f t="shared" ref="H216:H224" si="101">G216*$Q$9</f>
        <v>2.7762300000000004</v>
      </c>
      <c r="I216" s="259">
        <f t="shared" ref="I216:I224" si="102">F216*H216</f>
        <v>6101.9036793000005</v>
      </c>
      <c r="J216" s="4"/>
      <c r="K216" s="19"/>
      <c r="L216" s="287">
        <f t="shared" ref="L216:L224" si="103">K216+J216</f>
        <v>0</v>
      </c>
      <c r="M216" s="260">
        <f t="shared" ref="M216:M224" si="104">J216*H216</f>
        <v>0</v>
      </c>
      <c r="N216" s="260">
        <f t="shared" ref="N216:N224" si="105">H216*K216</f>
        <v>0</v>
      </c>
      <c r="O216" s="261">
        <f t="shared" ref="O216:O224" si="106">N216+M216</f>
        <v>0</v>
      </c>
      <c r="P216" s="262">
        <f t="shared" ref="P216:P225" si="107">I216-O216</f>
        <v>6101.9036793000005</v>
      </c>
      <c r="Q216" s="263">
        <f t="shared" si="100"/>
        <v>0</v>
      </c>
    </row>
    <row r="217" spans="1:17" ht="25.5">
      <c r="A217" s="255" t="s">
        <v>569</v>
      </c>
      <c r="B217" s="256" t="s">
        <v>570</v>
      </c>
      <c r="C217" s="257" t="s">
        <v>571</v>
      </c>
      <c r="D217" s="256" t="s">
        <v>19</v>
      </c>
      <c r="E217" s="256" t="s">
        <v>67</v>
      </c>
      <c r="F217" s="258">
        <v>653.14</v>
      </c>
      <c r="G217" s="259">
        <v>1.89</v>
      </c>
      <c r="H217" s="259">
        <f t="shared" si="101"/>
        <v>2.4069150000000001</v>
      </c>
      <c r="I217" s="259">
        <f t="shared" si="102"/>
        <v>1572.0524631000001</v>
      </c>
      <c r="J217" s="4"/>
      <c r="K217" s="19"/>
      <c r="L217" s="287">
        <f t="shared" si="103"/>
        <v>0</v>
      </c>
      <c r="M217" s="260">
        <f t="shared" si="104"/>
        <v>0</v>
      </c>
      <c r="N217" s="260">
        <f t="shared" si="105"/>
        <v>0</v>
      </c>
      <c r="O217" s="261">
        <f t="shared" si="106"/>
        <v>0</v>
      </c>
      <c r="P217" s="262">
        <f t="shared" si="107"/>
        <v>1572.0524631000001</v>
      </c>
      <c r="Q217" s="263">
        <f t="shared" si="100"/>
        <v>0</v>
      </c>
    </row>
    <row r="218" spans="1:17" ht="25.5">
      <c r="A218" s="255" t="s">
        <v>572</v>
      </c>
      <c r="B218" s="256" t="s">
        <v>573</v>
      </c>
      <c r="C218" s="257" t="s">
        <v>574</v>
      </c>
      <c r="D218" s="256" t="s">
        <v>19</v>
      </c>
      <c r="E218" s="256" t="s">
        <v>67</v>
      </c>
      <c r="F218" s="258">
        <v>653.14</v>
      </c>
      <c r="G218" s="259">
        <v>13.66</v>
      </c>
      <c r="H218" s="259">
        <f t="shared" si="101"/>
        <v>17.39601</v>
      </c>
      <c r="I218" s="259">
        <f t="shared" si="102"/>
        <v>11362.029971399999</v>
      </c>
      <c r="J218" s="4"/>
      <c r="K218" s="19"/>
      <c r="L218" s="287">
        <f t="shared" si="103"/>
        <v>0</v>
      </c>
      <c r="M218" s="260">
        <f t="shared" si="104"/>
        <v>0</v>
      </c>
      <c r="N218" s="260">
        <f t="shared" si="105"/>
        <v>0</v>
      </c>
      <c r="O218" s="261">
        <f t="shared" si="106"/>
        <v>0</v>
      </c>
      <c r="P218" s="262">
        <f t="shared" si="107"/>
        <v>11362.029971399999</v>
      </c>
      <c r="Q218" s="263">
        <f t="shared" si="100"/>
        <v>0</v>
      </c>
    </row>
    <row r="219" spans="1:17" ht="25.5">
      <c r="A219" s="255" t="s">
        <v>575</v>
      </c>
      <c r="B219" s="256" t="s">
        <v>576</v>
      </c>
      <c r="C219" s="257" t="s">
        <v>577</v>
      </c>
      <c r="D219" s="256" t="s">
        <v>10</v>
      </c>
      <c r="E219" s="256" t="s">
        <v>11</v>
      </c>
      <c r="F219" s="258">
        <v>1933.7</v>
      </c>
      <c r="G219" s="259">
        <v>13.49</v>
      </c>
      <c r="H219" s="259">
        <f t="shared" si="101"/>
        <v>17.179515000000002</v>
      </c>
      <c r="I219" s="259">
        <f t="shared" si="102"/>
        <v>33220.028155500004</v>
      </c>
      <c r="J219" s="4"/>
      <c r="K219" s="19"/>
      <c r="L219" s="287">
        <f t="shared" si="103"/>
        <v>0</v>
      </c>
      <c r="M219" s="260">
        <f t="shared" si="104"/>
        <v>0</v>
      </c>
      <c r="N219" s="260">
        <f t="shared" si="105"/>
        <v>0</v>
      </c>
      <c r="O219" s="261">
        <f t="shared" si="106"/>
        <v>0</v>
      </c>
      <c r="P219" s="262">
        <f t="shared" si="107"/>
        <v>33220.028155500004</v>
      </c>
      <c r="Q219" s="263">
        <f t="shared" si="100"/>
        <v>0</v>
      </c>
    </row>
    <row r="220" spans="1:17" ht="25.5">
      <c r="A220" s="255" t="s">
        <v>578</v>
      </c>
      <c r="B220" s="256" t="s">
        <v>579</v>
      </c>
      <c r="C220" s="257" t="s">
        <v>580</v>
      </c>
      <c r="D220" s="256" t="s">
        <v>19</v>
      </c>
      <c r="E220" s="256" t="s">
        <v>67</v>
      </c>
      <c r="F220" s="258">
        <v>2197.91</v>
      </c>
      <c r="G220" s="259">
        <v>9.89</v>
      </c>
      <c r="H220" s="259">
        <f t="shared" si="101"/>
        <v>12.594915000000002</v>
      </c>
      <c r="I220" s="259">
        <f t="shared" si="102"/>
        <v>27682.489627650004</v>
      </c>
      <c r="J220" s="4"/>
      <c r="K220" s="19"/>
      <c r="L220" s="287">
        <f t="shared" si="103"/>
        <v>0</v>
      </c>
      <c r="M220" s="260">
        <f t="shared" si="104"/>
        <v>0</v>
      </c>
      <c r="N220" s="260">
        <f t="shared" si="105"/>
        <v>0</v>
      </c>
      <c r="O220" s="261">
        <f t="shared" si="106"/>
        <v>0</v>
      </c>
      <c r="P220" s="262">
        <f t="shared" si="107"/>
        <v>27682.489627650004</v>
      </c>
      <c r="Q220" s="263">
        <f t="shared" si="100"/>
        <v>0</v>
      </c>
    </row>
    <row r="221" spans="1:17" ht="25.5">
      <c r="A221" s="255" t="s">
        <v>581</v>
      </c>
      <c r="B221" s="256" t="s">
        <v>582</v>
      </c>
      <c r="C221" s="257" t="s">
        <v>583</v>
      </c>
      <c r="D221" s="256" t="s">
        <v>19</v>
      </c>
      <c r="E221" s="256" t="s">
        <v>67</v>
      </c>
      <c r="F221" s="258">
        <v>653.14</v>
      </c>
      <c r="G221" s="259">
        <v>11.23</v>
      </c>
      <c r="H221" s="259">
        <f t="shared" si="101"/>
        <v>14.301405000000001</v>
      </c>
      <c r="I221" s="259">
        <f t="shared" si="102"/>
        <v>9340.8196617000012</v>
      </c>
      <c r="J221" s="4"/>
      <c r="K221" s="19"/>
      <c r="L221" s="287">
        <f t="shared" si="103"/>
        <v>0</v>
      </c>
      <c r="M221" s="260">
        <f t="shared" si="104"/>
        <v>0</v>
      </c>
      <c r="N221" s="260">
        <f t="shared" si="105"/>
        <v>0</v>
      </c>
      <c r="O221" s="261">
        <f t="shared" si="106"/>
        <v>0</v>
      </c>
      <c r="P221" s="262">
        <f t="shared" si="107"/>
        <v>9340.8196617000012</v>
      </c>
      <c r="Q221" s="263">
        <f t="shared" si="100"/>
        <v>0</v>
      </c>
    </row>
    <row r="222" spans="1:17" ht="38.25">
      <c r="A222" s="255" t="s">
        <v>584</v>
      </c>
      <c r="B222" s="256" t="s">
        <v>585</v>
      </c>
      <c r="C222" s="257" t="s">
        <v>586</v>
      </c>
      <c r="D222" s="256" t="s">
        <v>19</v>
      </c>
      <c r="E222" s="256" t="s">
        <v>67</v>
      </c>
      <c r="F222" s="258">
        <v>69.72</v>
      </c>
      <c r="G222" s="259">
        <v>9.9700000000000006</v>
      </c>
      <c r="H222" s="259">
        <f t="shared" si="101"/>
        <v>12.696795000000002</v>
      </c>
      <c r="I222" s="259">
        <f t="shared" si="102"/>
        <v>885.2205474000001</v>
      </c>
      <c r="J222" s="4"/>
      <c r="K222" s="19"/>
      <c r="L222" s="287">
        <f t="shared" si="103"/>
        <v>0</v>
      </c>
      <c r="M222" s="260">
        <f t="shared" si="104"/>
        <v>0</v>
      </c>
      <c r="N222" s="260">
        <f t="shared" si="105"/>
        <v>0</v>
      </c>
      <c r="O222" s="261">
        <f t="shared" si="106"/>
        <v>0</v>
      </c>
      <c r="P222" s="262">
        <f t="shared" si="107"/>
        <v>885.2205474000001</v>
      </c>
      <c r="Q222" s="263">
        <f t="shared" si="100"/>
        <v>0</v>
      </c>
    </row>
    <row r="223" spans="1:17" ht="63.75">
      <c r="A223" s="255" t="s">
        <v>587</v>
      </c>
      <c r="B223" s="256" t="s">
        <v>588</v>
      </c>
      <c r="C223" s="257" t="s">
        <v>589</v>
      </c>
      <c r="D223" s="256" t="s">
        <v>19</v>
      </c>
      <c r="E223" s="256" t="s">
        <v>67</v>
      </c>
      <c r="F223" s="258">
        <v>64.91</v>
      </c>
      <c r="G223" s="259">
        <v>8.27</v>
      </c>
      <c r="H223" s="259">
        <f t="shared" si="101"/>
        <v>10.531845000000001</v>
      </c>
      <c r="I223" s="259">
        <f t="shared" si="102"/>
        <v>683.62205895</v>
      </c>
      <c r="J223" s="4"/>
      <c r="K223" s="19"/>
      <c r="L223" s="287">
        <f t="shared" si="103"/>
        <v>0</v>
      </c>
      <c r="M223" s="260">
        <f t="shared" si="104"/>
        <v>0</v>
      </c>
      <c r="N223" s="260">
        <f t="shared" si="105"/>
        <v>0</v>
      </c>
      <c r="O223" s="261">
        <f t="shared" si="106"/>
        <v>0</v>
      </c>
      <c r="P223" s="262">
        <f t="shared" si="107"/>
        <v>683.62205895</v>
      </c>
      <c r="Q223" s="263">
        <f t="shared" si="100"/>
        <v>0</v>
      </c>
    </row>
    <row r="224" spans="1:17" ht="51">
      <c r="A224" s="255" t="s">
        <v>590</v>
      </c>
      <c r="B224" s="256" t="s">
        <v>591</v>
      </c>
      <c r="C224" s="257" t="s">
        <v>592</v>
      </c>
      <c r="D224" s="256" t="s">
        <v>19</v>
      </c>
      <c r="E224" s="256" t="s">
        <v>67</v>
      </c>
      <c r="F224" s="258">
        <v>64.91</v>
      </c>
      <c r="G224" s="259">
        <v>6.5</v>
      </c>
      <c r="H224" s="259">
        <f t="shared" si="101"/>
        <v>8.2777500000000011</v>
      </c>
      <c r="I224" s="259">
        <f t="shared" si="102"/>
        <v>537.30875250000008</v>
      </c>
      <c r="J224" s="4"/>
      <c r="K224" s="19"/>
      <c r="L224" s="287">
        <f t="shared" si="103"/>
        <v>0</v>
      </c>
      <c r="M224" s="260">
        <f t="shared" si="104"/>
        <v>0</v>
      </c>
      <c r="N224" s="260">
        <f t="shared" si="105"/>
        <v>0</v>
      </c>
      <c r="O224" s="261">
        <f t="shared" si="106"/>
        <v>0</v>
      </c>
      <c r="P224" s="262">
        <f t="shared" si="107"/>
        <v>537.30875250000008</v>
      </c>
      <c r="Q224" s="263">
        <f t="shared" si="100"/>
        <v>0</v>
      </c>
    </row>
    <row r="225" spans="1:17">
      <c r="A225" s="264"/>
      <c r="B225" s="2"/>
      <c r="C225" s="118"/>
      <c r="D225" s="2"/>
      <c r="E225" s="2"/>
      <c r="F225" s="265"/>
      <c r="G225" s="266"/>
      <c r="H225" s="266"/>
      <c r="I225" s="267">
        <f>SUM(I216:I224)</f>
        <v>91385.474917500003</v>
      </c>
      <c r="J225" s="268"/>
      <c r="K225" s="268"/>
      <c r="L225" s="287"/>
      <c r="M225" s="267">
        <f>SUM(M216:M224)</f>
        <v>0</v>
      </c>
      <c r="N225" s="267">
        <f>SUM(N216:N224)</f>
        <v>0</v>
      </c>
      <c r="O225" s="267">
        <f>SUM(O216:O224)</f>
        <v>0</v>
      </c>
      <c r="P225" s="269">
        <f t="shared" si="107"/>
        <v>91385.474917500003</v>
      </c>
      <c r="Q225" s="263">
        <f t="shared" si="100"/>
        <v>0</v>
      </c>
    </row>
    <row r="226" spans="1:17">
      <c r="A226" s="254" t="s">
        <v>593</v>
      </c>
      <c r="B226" s="412" t="s">
        <v>594</v>
      </c>
      <c r="C226" s="412"/>
      <c r="D226" s="412"/>
      <c r="E226" s="412"/>
      <c r="F226" s="412"/>
      <c r="G226" s="412"/>
      <c r="H226" s="412"/>
      <c r="I226" s="412"/>
      <c r="J226" s="412"/>
      <c r="K226" s="412"/>
      <c r="L226" s="412"/>
      <c r="M226" s="412"/>
      <c r="N226" s="412"/>
      <c r="O226" s="412"/>
      <c r="P226" s="457"/>
      <c r="Q226" s="263"/>
    </row>
    <row r="227" spans="1:17">
      <c r="A227" s="255" t="s">
        <v>595</v>
      </c>
      <c r="B227" s="256" t="s">
        <v>596</v>
      </c>
      <c r="C227" s="257" t="s">
        <v>597</v>
      </c>
      <c r="D227" s="256" t="s">
        <v>10</v>
      </c>
      <c r="E227" s="256" t="s">
        <v>11</v>
      </c>
      <c r="F227" s="258">
        <v>1046.48</v>
      </c>
      <c r="G227" s="259">
        <v>1.86</v>
      </c>
      <c r="H227" s="259">
        <f t="shared" ref="H227:H228" si="108">G227*$Q$9</f>
        <v>2.3687100000000001</v>
      </c>
      <c r="I227" s="259">
        <f t="shared" ref="I227:I228" si="109">F227*H227</f>
        <v>2478.8076408000002</v>
      </c>
      <c r="J227" s="4"/>
      <c r="K227" s="19"/>
      <c r="L227" s="287">
        <f t="shared" ref="L227:L228" si="110">K227+J227</f>
        <v>0</v>
      </c>
      <c r="M227" s="260">
        <f t="shared" ref="M227:M228" si="111">J227*H227</f>
        <v>0</v>
      </c>
      <c r="N227" s="260">
        <f t="shared" ref="N227:N228" si="112">H227*K227</f>
        <v>0</v>
      </c>
      <c r="O227" s="261">
        <f t="shared" ref="O227:O228" si="113">N227+M227</f>
        <v>0</v>
      </c>
      <c r="P227" s="262">
        <f t="shared" ref="P227:P229" si="114">I227-O227</f>
        <v>2478.8076408000002</v>
      </c>
      <c r="Q227" s="263">
        <f t="shared" si="100"/>
        <v>0</v>
      </c>
    </row>
    <row r="228" spans="1:17">
      <c r="A228" s="255" t="s">
        <v>598</v>
      </c>
      <c r="B228" s="256" t="s">
        <v>599</v>
      </c>
      <c r="C228" s="257" t="s">
        <v>600</v>
      </c>
      <c r="D228" s="256" t="s">
        <v>10</v>
      </c>
      <c r="E228" s="256" t="s">
        <v>131</v>
      </c>
      <c r="F228" s="258">
        <v>7</v>
      </c>
      <c r="G228" s="259">
        <v>466.47</v>
      </c>
      <c r="H228" s="259">
        <f t="shared" si="108"/>
        <v>594.04954500000008</v>
      </c>
      <c r="I228" s="259">
        <f t="shared" si="109"/>
        <v>4158.3468150000008</v>
      </c>
      <c r="J228" s="4"/>
      <c r="K228" s="19"/>
      <c r="L228" s="287">
        <f t="shared" si="110"/>
        <v>0</v>
      </c>
      <c r="M228" s="260">
        <f t="shared" si="111"/>
        <v>0</v>
      </c>
      <c r="N228" s="260">
        <f t="shared" si="112"/>
        <v>0</v>
      </c>
      <c r="O228" s="261">
        <f t="shared" si="113"/>
        <v>0</v>
      </c>
      <c r="P228" s="262">
        <f t="shared" si="114"/>
        <v>4158.3468150000008</v>
      </c>
      <c r="Q228" s="263">
        <f t="shared" si="100"/>
        <v>0</v>
      </c>
    </row>
    <row r="229" spans="1:17">
      <c r="A229" s="264"/>
      <c r="B229" s="2"/>
      <c r="C229" s="118"/>
      <c r="D229" s="2"/>
      <c r="E229" s="2"/>
      <c r="F229" s="265"/>
      <c r="G229" s="266"/>
      <c r="H229" s="266"/>
      <c r="I229" s="267">
        <f>SUM(I227:I228)</f>
        <v>6637.1544558000005</v>
      </c>
      <c r="J229" s="268"/>
      <c r="K229" s="268"/>
      <c r="L229" s="287"/>
      <c r="M229" s="267">
        <f>SUM(M227:M228)</f>
        <v>0</v>
      </c>
      <c r="N229" s="267">
        <f>SUM(N227:N228)</f>
        <v>0</v>
      </c>
      <c r="O229" s="267">
        <f>SUM(O227:O228)</f>
        <v>0</v>
      </c>
      <c r="P229" s="269">
        <f t="shared" si="114"/>
        <v>6637.1544558000005</v>
      </c>
      <c r="Q229" s="263">
        <f t="shared" si="100"/>
        <v>0</v>
      </c>
    </row>
    <row r="230" spans="1:17">
      <c r="A230" s="458" t="s">
        <v>1062</v>
      </c>
      <c r="B230" s="459"/>
      <c r="C230" s="459"/>
      <c r="D230" s="459"/>
      <c r="E230" s="459"/>
      <c r="F230" s="459"/>
      <c r="G230" s="459"/>
      <c r="H230" s="459"/>
      <c r="I230" s="459"/>
      <c r="J230" s="462">
        <f>I229+I225+I214+I152+I103+I96+I92+I76+I69+I59+I47+I33+I28+I18+I13</f>
        <v>1292576.3966884499</v>
      </c>
      <c r="K230" s="462"/>
      <c r="L230" s="462"/>
      <c r="M230" s="464">
        <f>M229+M225+M214+M152+M103+M96+M92+M76+M69+M59+M47+M33+M28+M18+M13</f>
        <v>659547.66224461503</v>
      </c>
      <c r="N230" s="466">
        <f>N229+N225+N214+N152+N103+N96+N92+N76+N69+N59+N47+N33+N28+N18+N13</f>
        <v>76378.497685200011</v>
      </c>
      <c r="O230" s="464">
        <f>O229+O225+O214+O152+O103+O96+O92+O76+O69+O59+O47+O33+O28+O18+O13</f>
        <v>735926.15992981498</v>
      </c>
      <c r="P230" s="455">
        <f>P229+P225+P214+P152+P103+P96+P92+P76+P69+P59+P47+P33+P28+P18+P13</f>
        <v>556650.23675863515</v>
      </c>
      <c r="Q230" s="263">
        <f>P230/J230</f>
        <v>0.43065171094316734</v>
      </c>
    </row>
    <row r="231" spans="1:17">
      <c r="A231" s="458"/>
      <c r="B231" s="459"/>
      <c r="C231" s="459"/>
      <c r="D231" s="459"/>
      <c r="E231" s="459"/>
      <c r="F231" s="459"/>
      <c r="G231" s="459"/>
      <c r="H231" s="459"/>
      <c r="I231" s="459"/>
      <c r="J231" s="462"/>
      <c r="K231" s="462"/>
      <c r="L231" s="462"/>
      <c r="M231" s="464"/>
      <c r="N231" s="466"/>
      <c r="O231" s="464"/>
      <c r="P231" s="455"/>
      <c r="Q231"/>
    </row>
    <row r="232" spans="1:17" ht="15.75" thickBot="1">
      <c r="A232" s="460"/>
      <c r="B232" s="461"/>
      <c r="C232" s="461"/>
      <c r="D232" s="461"/>
      <c r="E232" s="461"/>
      <c r="F232" s="461"/>
      <c r="G232" s="461"/>
      <c r="H232" s="461"/>
      <c r="I232" s="461"/>
      <c r="J232" s="463"/>
      <c r="K232" s="463"/>
      <c r="L232" s="463"/>
      <c r="M232" s="465"/>
      <c r="N232" s="467"/>
      <c r="O232" s="465"/>
      <c r="P232" s="456"/>
      <c r="Q232"/>
    </row>
    <row r="233" spans="1:17" s="144" customFormat="1">
      <c r="C233" s="304"/>
      <c r="Q233" s="305"/>
    </row>
    <row r="234" spans="1:17" s="144" customFormat="1">
      <c r="C234" s="304"/>
      <c r="Q234" s="305"/>
    </row>
    <row r="235" spans="1:17" s="144" customFormat="1">
      <c r="C235" s="304"/>
      <c r="Q235" s="305"/>
    </row>
    <row r="236" spans="1:17" s="144" customFormat="1">
      <c r="C236" s="304"/>
      <c r="Q236" s="305"/>
    </row>
    <row r="237" spans="1:17" s="144" customFormat="1">
      <c r="C237" s="304"/>
      <c r="Q237" s="305"/>
    </row>
    <row r="238" spans="1:17" s="144" customFormat="1">
      <c r="C238" s="304"/>
      <c r="Q238" s="305"/>
    </row>
    <row r="239" spans="1:17" s="144" customFormat="1">
      <c r="C239" s="304"/>
      <c r="Q239" s="305"/>
    </row>
    <row r="240" spans="1:17" s="144" customFormat="1">
      <c r="C240" s="304"/>
      <c r="Q240" s="305"/>
    </row>
    <row r="241" spans="3:17" s="144" customFormat="1">
      <c r="C241" s="304"/>
      <c r="Q241" s="305"/>
    </row>
    <row r="242" spans="3:17" s="144" customFormat="1">
      <c r="C242" s="304"/>
      <c r="Q242" s="305"/>
    </row>
    <row r="243" spans="3:17" s="144" customFormat="1">
      <c r="C243" s="304"/>
      <c r="Q243" s="305"/>
    </row>
    <row r="244" spans="3:17" s="144" customFormat="1">
      <c r="C244" s="304"/>
      <c r="Q244" s="305"/>
    </row>
    <row r="245" spans="3:17" s="144" customFormat="1">
      <c r="C245" s="304"/>
      <c r="Q245" s="305"/>
    </row>
    <row r="246" spans="3:17" s="144" customFormat="1">
      <c r="C246" s="304"/>
      <c r="Q246" s="305"/>
    </row>
    <row r="247" spans="3:17" s="144" customFormat="1">
      <c r="C247" s="304"/>
      <c r="Q247" s="305"/>
    </row>
    <row r="248" spans="3:17" s="144" customFormat="1">
      <c r="C248" s="304"/>
      <c r="Q248" s="305"/>
    </row>
    <row r="249" spans="3:17" s="144" customFormat="1">
      <c r="C249" s="304"/>
      <c r="Q249" s="305"/>
    </row>
    <row r="250" spans="3:17" s="144" customFormat="1">
      <c r="C250" s="304"/>
      <c r="Q250" s="305"/>
    </row>
    <row r="251" spans="3:17" s="144" customFormat="1">
      <c r="C251" s="304"/>
      <c r="Q251" s="305"/>
    </row>
    <row r="252" spans="3:17" s="144" customFormat="1">
      <c r="C252" s="304"/>
      <c r="Q252" s="305"/>
    </row>
    <row r="253" spans="3:17" s="144" customFormat="1">
      <c r="C253" s="304"/>
      <c r="Q253" s="305"/>
    </row>
    <row r="254" spans="3:17" s="144" customFormat="1">
      <c r="C254" s="304"/>
      <c r="Q254" s="305"/>
    </row>
    <row r="255" spans="3:17" s="144" customFormat="1">
      <c r="C255" s="304"/>
      <c r="Q255" s="305"/>
    </row>
    <row r="256" spans="3:17" s="144" customFormat="1">
      <c r="C256" s="304"/>
      <c r="Q256" s="305"/>
    </row>
    <row r="257" spans="3:17" s="144" customFormat="1">
      <c r="C257" s="304"/>
      <c r="Q257" s="305"/>
    </row>
    <row r="258" spans="3:17" s="144" customFormat="1">
      <c r="C258" s="304"/>
      <c r="Q258" s="305"/>
    </row>
    <row r="259" spans="3:17" s="144" customFormat="1">
      <c r="C259" s="304"/>
      <c r="Q259" s="305"/>
    </row>
    <row r="260" spans="3:17" s="144" customFormat="1">
      <c r="C260" s="304"/>
      <c r="Q260" s="305"/>
    </row>
    <row r="261" spans="3:17" s="144" customFormat="1">
      <c r="C261" s="304"/>
      <c r="Q261" s="305"/>
    </row>
    <row r="262" spans="3:17" s="144" customFormat="1">
      <c r="C262" s="304"/>
      <c r="Q262" s="305"/>
    </row>
    <row r="263" spans="3:17" s="144" customFormat="1">
      <c r="C263" s="304"/>
      <c r="Q263" s="305"/>
    </row>
    <row r="264" spans="3:17" s="144" customFormat="1">
      <c r="C264" s="304"/>
      <c r="Q264" s="305"/>
    </row>
  </sheetData>
  <mergeCells count="37">
    <mergeCell ref="A4:M5"/>
    <mergeCell ref="N4:P5"/>
    <mergeCell ref="A1:C3"/>
    <mergeCell ref="D1:M2"/>
    <mergeCell ref="N1:P2"/>
    <mergeCell ref="D3:M3"/>
    <mergeCell ref="N3:P3"/>
    <mergeCell ref="A6:A7"/>
    <mergeCell ref="B6:B7"/>
    <mergeCell ref="C6:C7"/>
    <mergeCell ref="D6:D7"/>
    <mergeCell ref="E6:E7"/>
    <mergeCell ref="B77:P77"/>
    <mergeCell ref="J6:L6"/>
    <mergeCell ref="M6:P6"/>
    <mergeCell ref="B8:P8"/>
    <mergeCell ref="B14:P14"/>
    <mergeCell ref="B19:P19"/>
    <mergeCell ref="B29:P29"/>
    <mergeCell ref="F6:I6"/>
    <mergeCell ref="B34:P34"/>
    <mergeCell ref="B45:P45"/>
    <mergeCell ref="B48:P48"/>
    <mergeCell ref="B60:P60"/>
    <mergeCell ref="B70:P70"/>
    <mergeCell ref="P230:P232"/>
    <mergeCell ref="B93:P93"/>
    <mergeCell ref="B97:P97"/>
    <mergeCell ref="B104:P104"/>
    <mergeCell ref="B153:P153"/>
    <mergeCell ref="B215:P215"/>
    <mergeCell ref="B226:P226"/>
    <mergeCell ref="A230:I232"/>
    <mergeCell ref="J230:L232"/>
    <mergeCell ref="M230:M232"/>
    <mergeCell ref="N230:N232"/>
    <mergeCell ref="O230:O232"/>
  </mergeCells>
  <conditionalFormatting sqref="K8:K1048576">
    <cfRule type="cellIs" dxfId="1" priority="2" operator="greaterThan">
      <formula>0</formula>
    </cfRule>
  </conditionalFormatting>
  <conditionalFormatting sqref="N8:N1048576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E0D6-F08D-4636-903B-603009F48ACA}">
  <sheetPr>
    <tabColor rgb="FFFF0000"/>
  </sheetPr>
  <dimension ref="C1:F7"/>
  <sheetViews>
    <sheetView workbookViewId="0">
      <selection activeCell="I7" sqref="I7"/>
    </sheetView>
  </sheetViews>
  <sheetFormatPr defaultRowHeight="15"/>
  <cols>
    <col min="2" max="3" width="13.140625" bestFit="1" customWidth="1"/>
    <col min="4" max="4" width="14.28515625" bestFit="1" customWidth="1"/>
    <col min="5" max="5" width="9.5703125" bestFit="1" customWidth="1"/>
  </cols>
  <sheetData>
    <row r="1" spans="3:6" ht="15.75" thickBot="1"/>
    <row r="2" spans="3:6">
      <c r="C2" s="203" t="s">
        <v>1027</v>
      </c>
      <c r="D2" s="204" t="s">
        <v>1028</v>
      </c>
      <c r="E2" s="204" t="s">
        <v>1029</v>
      </c>
      <c r="F2" s="205"/>
    </row>
    <row r="3" spans="3:6" ht="15.75" thickBot="1">
      <c r="C3" s="206">
        <f>238.53+106.53+27+45*6+25+15+3+3+8+5+14+13+72+45+37+2+2+19+12</f>
        <v>917.06</v>
      </c>
      <c r="D3" s="207">
        <v>1.07</v>
      </c>
      <c r="E3" s="207">
        <f>C3*D3</f>
        <v>981.25419999999997</v>
      </c>
      <c r="F3" s="208" t="s">
        <v>846</v>
      </c>
    </row>
    <row r="5" spans="3:6">
      <c r="C5" t="s">
        <v>1031</v>
      </c>
      <c r="E5">
        <v>477.87</v>
      </c>
      <c r="F5" t="s">
        <v>846</v>
      </c>
    </row>
    <row r="6" spans="3:6" ht="15.75" thickBot="1">
      <c r="C6" t="s">
        <v>1032</v>
      </c>
      <c r="E6">
        <v>244.58</v>
      </c>
      <c r="F6" t="s">
        <v>846</v>
      </c>
    </row>
    <row r="7" spans="3:6" ht="15.75" thickBot="1">
      <c r="D7" s="201" t="s">
        <v>1030</v>
      </c>
      <c r="E7" s="209">
        <f>E3-E5-E6</f>
        <v>258.80419999999992</v>
      </c>
      <c r="F7" s="202" t="s">
        <v>846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0"/>
  <sheetViews>
    <sheetView view="pageBreakPreview" topLeftCell="H10" zoomScale="60" workbookViewId="0">
      <selection activeCell="AF30" sqref="AF30"/>
    </sheetView>
  </sheetViews>
  <sheetFormatPr defaultRowHeight="15"/>
  <cols>
    <col min="1" max="34" width="9.140625" style="59"/>
    <col min="35" max="35" width="10.5703125" style="59" bestFit="1" customWidth="1"/>
    <col min="36" max="16384" width="9.140625" style="59"/>
  </cols>
  <sheetData>
    <row r="1" spans="1:35">
      <c r="A1" s="490" t="s">
        <v>601</v>
      </c>
      <c r="B1" s="491"/>
      <c r="C1" s="491"/>
      <c r="D1" s="491"/>
      <c r="E1" s="491"/>
      <c r="F1" s="491"/>
      <c r="G1" s="491"/>
      <c r="H1" s="491"/>
      <c r="I1" s="492"/>
      <c r="J1" s="496" t="s">
        <v>837</v>
      </c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8"/>
    </row>
    <row r="2" spans="1:35">
      <c r="A2" s="490"/>
      <c r="B2" s="491"/>
      <c r="C2" s="491"/>
      <c r="D2" s="491"/>
      <c r="E2" s="491"/>
      <c r="F2" s="491"/>
      <c r="G2" s="491"/>
      <c r="H2" s="491"/>
      <c r="I2" s="492"/>
      <c r="J2" s="496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8"/>
    </row>
    <row r="3" spans="1:35">
      <c r="A3" s="490"/>
      <c r="B3" s="491"/>
      <c r="C3" s="491"/>
      <c r="D3" s="491"/>
      <c r="E3" s="491"/>
      <c r="F3" s="491"/>
      <c r="G3" s="491"/>
      <c r="H3" s="491"/>
      <c r="I3" s="492"/>
      <c r="J3" s="496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498"/>
    </row>
    <row r="4" spans="1:35">
      <c r="A4" s="490"/>
      <c r="B4" s="491"/>
      <c r="C4" s="491"/>
      <c r="D4" s="491"/>
      <c r="E4" s="491"/>
      <c r="F4" s="491"/>
      <c r="G4" s="491"/>
      <c r="H4" s="491"/>
      <c r="I4" s="492"/>
      <c r="J4" s="496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497"/>
      <c r="Z4" s="497"/>
      <c r="AA4" s="497"/>
      <c r="AB4" s="497"/>
      <c r="AC4" s="497"/>
      <c r="AD4" s="497"/>
      <c r="AE4" s="497"/>
      <c r="AF4" s="497"/>
      <c r="AG4" s="497"/>
      <c r="AH4" s="498"/>
    </row>
    <row r="5" spans="1:35">
      <c r="A5" s="490"/>
      <c r="B5" s="491"/>
      <c r="C5" s="491"/>
      <c r="D5" s="491"/>
      <c r="E5" s="491"/>
      <c r="F5" s="491"/>
      <c r="G5" s="491"/>
      <c r="H5" s="491"/>
      <c r="I5" s="492"/>
      <c r="J5" s="499" t="s">
        <v>602</v>
      </c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500"/>
      <c r="Z5" s="500"/>
      <c r="AA5" s="500"/>
      <c r="AB5" s="500"/>
      <c r="AC5" s="500"/>
      <c r="AD5" s="500"/>
      <c r="AE5" s="500"/>
      <c r="AF5" s="500"/>
      <c r="AG5" s="500"/>
      <c r="AH5" s="501"/>
    </row>
    <row r="6" spans="1:35">
      <c r="A6" s="490"/>
      <c r="B6" s="491"/>
      <c r="C6" s="491"/>
      <c r="D6" s="491"/>
      <c r="E6" s="491"/>
      <c r="F6" s="491"/>
      <c r="G6" s="491"/>
      <c r="H6" s="491"/>
      <c r="I6" s="492"/>
      <c r="J6" s="499"/>
      <c r="K6" s="500"/>
      <c r="L6" s="500"/>
      <c r="M6" s="500"/>
      <c r="N6" s="500"/>
      <c r="O6" s="500"/>
      <c r="P6" s="500"/>
      <c r="Q6" s="500"/>
      <c r="R6" s="500"/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500"/>
      <c r="AD6" s="500"/>
      <c r="AE6" s="500"/>
      <c r="AF6" s="500"/>
      <c r="AG6" s="500"/>
      <c r="AH6" s="501"/>
    </row>
    <row r="7" spans="1:35">
      <c r="A7" s="493"/>
      <c r="B7" s="494"/>
      <c r="C7" s="494"/>
      <c r="D7" s="494"/>
      <c r="E7" s="494"/>
      <c r="F7" s="494"/>
      <c r="G7" s="494"/>
      <c r="H7" s="494"/>
      <c r="I7" s="495"/>
      <c r="J7" s="499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500"/>
      <c r="AH7" s="501"/>
    </row>
    <row r="8" spans="1:3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</row>
    <row r="9" spans="1:35">
      <c r="A9" s="502" t="s">
        <v>0</v>
      </c>
      <c r="B9" s="503"/>
      <c r="C9" s="503"/>
      <c r="D9" s="504" t="s">
        <v>2</v>
      </c>
      <c r="E9" s="504"/>
      <c r="F9" s="504"/>
      <c r="G9" s="504"/>
      <c r="H9" s="504"/>
      <c r="I9" s="504"/>
      <c r="J9" s="503" t="s">
        <v>614</v>
      </c>
      <c r="K9" s="505" t="s">
        <v>615</v>
      </c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 t="s">
        <v>616</v>
      </c>
      <c r="X9" s="505"/>
      <c r="Y9" s="505"/>
      <c r="Z9" s="505"/>
      <c r="AA9" s="505"/>
      <c r="AB9" s="505"/>
      <c r="AC9" s="505"/>
      <c r="AD9" s="505"/>
      <c r="AE9" s="505"/>
      <c r="AF9" s="503" t="s">
        <v>617</v>
      </c>
      <c r="AG9" s="503"/>
      <c r="AH9" s="506"/>
    </row>
    <row r="10" spans="1:35">
      <c r="A10" s="502"/>
      <c r="B10" s="503"/>
      <c r="C10" s="503"/>
      <c r="D10" s="504"/>
      <c r="E10" s="504"/>
      <c r="F10" s="504"/>
      <c r="G10" s="504"/>
      <c r="H10" s="504"/>
      <c r="I10" s="504"/>
      <c r="J10" s="503"/>
      <c r="K10" s="505" t="s">
        <v>618</v>
      </c>
      <c r="L10" s="505"/>
      <c r="M10" s="505" t="s">
        <v>619</v>
      </c>
      <c r="N10" s="505"/>
      <c r="O10" s="505" t="s">
        <v>620</v>
      </c>
      <c r="P10" s="505"/>
      <c r="Q10" s="505" t="s">
        <v>621</v>
      </c>
      <c r="R10" s="505"/>
      <c r="S10" s="505" t="s">
        <v>622</v>
      </c>
      <c r="T10" s="505"/>
      <c r="U10" s="505" t="s">
        <v>623</v>
      </c>
      <c r="V10" s="505"/>
      <c r="W10" s="505" t="s">
        <v>624</v>
      </c>
      <c r="X10" s="505"/>
      <c r="Y10" s="505"/>
      <c r="Z10" s="505" t="s">
        <v>606</v>
      </c>
      <c r="AA10" s="505"/>
      <c r="AB10" s="505"/>
      <c r="AC10" s="505" t="s">
        <v>625</v>
      </c>
      <c r="AD10" s="505"/>
      <c r="AE10" s="505"/>
      <c r="AF10" s="503"/>
      <c r="AG10" s="503"/>
      <c r="AH10" s="506"/>
    </row>
    <row r="11" spans="1:35">
      <c r="A11" s="502"/>
      <c r="B11" s="503"/>
      <c r="C11" s="503"/>
      <c r="D11" s="504"/>
      <c r="E11" s="504"/>
      <c r="F11" s="504"/>
      <c r="G11" s="504"/>
      <c r="H11" s="504"/>
      <c r="I11" s="504"/>
      <c r="J11" s="503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3"/>
      <c r="AG11" s="503"/>
      <c r="AH11" s="506"/>
    </row>
    <row r="12" spans="1:35">
      <c r="A12" s="26"/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/>
    </row>
    <row r="13" spans="1:35" ht="15.75">
      <c r="A13" s="513" t="s">
        <v>626</v>
      </c>
      <c r="B13" s="514"/>
      <c r="C13" s="515"/>
      <c r="D13" s="516" t="s">
        <v>25</v>
      </c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  <c r="AD13" s="517"/>
      <c r="AE13" s="517"/>
      <c r="AF13" s="517"/>
      <c r="AG13" s="517"/>
      <c r="AH13" s="518"/>
    </row>
    <row r="14" spans="1:35">
      <c r="A14" s="30"/>
      <c r="B14" s="31"/>
      <c r="C14" s="31"/>
      <c r="D14" s="31"/>
      <c r="E14" s="31"/>
      <c r="F14" s="32"/>
      <c r="G14" s="32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1:35" ht="15.75">
      <c r="A15" s="519" t="s">
        <v>627</v>
      </c>
      <c r="B15" s="520"/>
      <c r="C15" s="521"/>
      <c r="D15" s="522" t="s">
        <v>628</v>
      </c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4"/>
      <c r="AC15" s="525">
        <f>SUM(Z16:AB40)</f>
        <v>1090.4227250000001</v>
      </c>
      <c r="AD15" s="520"/>
      <c r="AE15" s="521"/>
      <c r="AF15" s="525" t="s">
        <v>42</v>
      </c>
      <c r="AG15" s="520"/>
      <c r="AH15" s="526"/>
      <c r="AI15" s="63">
        <f>AC15</f>
        <v>1090.4227250000001</v>
      </c>
    </row>
    <row r="16" spans="1:35" ht="15.75">
      <c r="A16" s="507"/>
      <c r="B16" s="508"/>
      <c r="C16" s="509"/>
      <c r="D16" s="510" t="s">
        <v>629</v>
      </c>
      <c r="E16" s="511"/>
      <c r="F16" s="511"/>
      <c r="G16" s="511"/>
      <c r="H16" s="511"/>
      <c r="I16" s="511"/>
      <c r="J16" s="47"/>
      <c r="K16" s="512">
        <v>16.52</v>
      </c>
      <c r="L16" s="509"/>
      <c r="M16" s="512"/>
      <c r="N16" s="509"/>
      <c r="O16" s="512">
        <v>12.16</v>
      </c>
      <c r="P16" s="509"/>
      <c r="Q16" s="512"/>
      <c r="R16" s="509"/>
      <c r="S16" s="512">
        <v>1.2</v>
      </c>
      <c r="T16" s="509"/>
      <c r="U16" s="512">
        <v>1.2</v>
      </c>
      <c r="V16" s="509"/>
      <c r="W16" s="527">
        <f t="shared" ref="W16:W25" si="0">ROUND(K16*O16,2)</f>
        <v>200.88</v>
      </c>
      <c r="X16" s="528"/>
      <c r="Y16" s="529"/>
      <c r="Z16" s="527">
        <f t="shared" ref="Z16:Z40" si="1">W16*((S16+U16)/2)</f>
        <v>241.05599999999998</v>
      </c>
      <c r="AA16" s="528"/>
      <c r="AB16" s="529"/>
      <c r="AC16" s="35"/>
      <c r="AD16" s="36"/>
      <c r="AE16" s="37"/>
      <c r="AF16" s="35"/>
      <c r="AG16" s="36"/>
      <c r="AH16" s="38"/>
    </row>
    <row r="17" spans="1:34" ht="15.75">
      <c r="A17" s="39"/>
      <c r="B17" s="40"/>
      <c r="C17" s="41"/>
      <c r="D17" s="510" t="s">
        <v>630</v>
      </c>
      <c r="E17" s="511"/>
      <c r="F17" s="511"/>
      <c r="G17" s="511"/>
      <c r="H17" s="511"/>
      <c r="I17" s="511"/>
      <c r="J17" s="47"/>
      <c r="K17" s="512">
        <v>8</v>
      </c>
      <c r="L17" s="509"/>
      <c r="M17" s="512"/>
      <c r="N17" s="509"/>
      <c r="O17" s="512">
        <v>5.6</v>
      </c>
      <c r="P17" s="509"/>
      <c r="Q17" s="512"/>
      <c r="R17" s="509"/>
      <c r="S17" s="512">
        <v>1.2</v>
      </c>
      <c r="T17" s="509"/>
      <c r="U17" s="512">
        <v>1.2</v>
      </c>
      <c r="V17" s="509"/>
      <c r="W17" s="527">
        <f t="shared" si="0"/>
        <v>44.8</v>
      </c>
      <c r="X17" s="528"/>
      <c r="Y17" s="529"/>
      <c r="Z17" s="527">
        <f t="shared" si="1"/>
        <v>53.76</v>
      </c>
      <c r="AA17" s="528"/>
      <c r="AB17" s="529"/>
      <c r="AC17" s="35"/>
      <c r="AD17" s="36"/>
      <c r="AE17" s="37"/>
      <c r="AF17" s="35"/>
      <c r="AG17" s="36"/>
      <c r="AH17" s="38"/>
    </row>
    <row r="18" spans="1:34" ht="15.75">
      <c r="A18" s="39"/>
      <c r="B18" s="40"/>
      <c r="C18" s="41"/>
      <c r="D18" s="510" t="s">
        <v>631</v>
      </c>
      <c r="E18" s="511"/>
      <c r="F18" s="511"/>
      <c r="G18" s="511"/>
      <c r="H18" s="511"/>
      <c r="I18" s="511"/>
      <c r="J18" s="48"/>
      <c r="K18" s="512">
        <v>8</v>
      </c>
      <c r="L18" s="509"/>
      <c r="M18" s="512"/>
      <c r="N18" s="509"/>
      <c r="O18" s="512">
        <v>5.6</v>
      </c>
      <c r="P18" s="509"/>
      <c r="Q18" s="512"/>
      <c r="R18" s="509"/>
      <c r="S18" s="512">
        <v>1.2</v>
      </c>
      <c r="T18" s="509"/>
      <c r="U18" s="512">
        <v>1.2</v>
      </c>
      <c r="V18" s="509"/>
      <c r="W18" s="527">
        <f t="shared" si="0"/>
        <v>44.8</v>
      </c>
      <c r="X18" s="528"/>
      <c r="Y18" s="529"/>
      <c r="Z18" s="527">
        <f t="shared" si="1"/>
        <v>53.76</v>
      </c>
      <c r="AA18" s="528"/>
      <c r="AB18" s="529"/>
      <c r="AC18" s="35"/>
      <c r="AD18" s="36"/>
      <c r="AE18" s="37"/>
      <c r="AF18" s="35"/>
      <c r="AG18" s="36"/>
      <c r="AH18" s="38"/>
    </row>
    <row r="19" spans="1:34" ht="15.75">
      <c r="A19" s="39"/>
      <c r="B19" s="40"/>
      <c r="C19" s="41"/>
      <c r="D19" s="510" t="s">
        <v>632</v>
      </c>
      <c r="E19" s="511"/>
      <c r="F19" s="511"/>
      <c r="G19" s="511"/>
      <c r="H19" s="511"/>
      <c r="I19" s="511"/>
      <c r="J19" s="48"/>
      <c r="K19" s="512">
        <v>8</v>
      </c>
      <c r="L19" s="509"/>
      <c r="M19" s="512"/>
      <c r="N19" s="509"/>
      <c r="O19" s="512">
        <v>5.6</v>
      </c>
      <c r="P19" s="509"/>
      <c r="Q19" s="512"/>
      <c r="R19" s="509"/>
      <c r="S19" s="512">
        <v>1.2</v>
      </c>
      <c r="T19" s="509"/>
      <c r="U19" s="512">
        <v>1.2</v>
      </c>
      <c r="V19" s="509"/>
      <c r="W19" s="527">
        <f t="shared" si="0"/>
        <v>44.8</v>
      </c>
      <c r="X19" s="528"/>
      <c r="Y19" s="529"/>
      <c r="Z19" s="527">
        <f t="shared" si="1"/>
        <v>53.76</v>
      </c>
      <c r="AA19" s="528"/>
      <c r="AB19" s="529"/>
      <c r="AC19" s="35"/>
      <c r="AD19" s="36"/>
      <c r="AE19" s="37"/>
      <c r="AF19" s="35"/>
      <c r="AG19" s="36"/>
      <c r="AH19" s="38"/>
    </row>
    <row r="20" spans="1:34" ht="15.75">
      <c r="A20" s="39"/>
      <c r="B20" s="40"/>
      <c r="C20" s="41"/>
      <c r="D20" s="510" t="s">
        <v>633</v>
      </c>
      <c r="E20" s="511"/>
      <c r="F20" s="511"/>
      <c r="G20" s="511"/>
      <c r="H20" s="511"/>
      <c r="I20" s="511"/>
      <c r="J20" s="47"/>
      <c r="K20" s="512">
        <v>8</v>
      </c>
      <c r="L20" s="509"/>
      <c r="M20" s="512"/>
      <c r="N20" s="509"/>
      <c r="O20" s="512">
        <v>5.6</v>
      </c>
      <c r="P20" s="509"/>
      <c r="Q20" s="512"/>
      <c r="R20" s="509"/>
      <c r="S20" s="512">
        <v>1.2</v>
      </c>
      <c r="T20" s="509"/>
      <c r="U20" s="512">
        <v>1.2</v>
      </c>
      <c r="V20" s="509"/>
      <c r="W20" s="527">
        <f t="shared" si="0"/>
        <v>44.8</v>
      </c>
      <c r="X20" s="528"/>
      <c r="Y20" s="529"/>
      <c r="Z20" s="527">
        <f t="shared" si="1"/>
        <v>53.76</v>
      </c>
      <c r="AA20" s="528"/>
      <c r="AB20" s="529"/>
      <c r="AC20" s="35"/>
      <c r="AD20" s="36"/>
      <c r="AE20" s="37"/>
      <c r="AF20" s="35"/>
      <c r="AG20" s="36"/>
      <c r="AH20" s="38"/>
    </row>
    <row r="21" spans="1:34" ht="15.75">
      <c r="A21" s="39"/>
      <c r="B21" s="40"/>
      <c r="C21" s="41"/>
      <c r="D21" s="510" t="s">
        <v>634</v>
      </c>
      <c r="E21" s="511"/>
      <c r="F21" s="511"/>
      <c r="G21" s="511"/>
      <c r="H21" s="511"/>
      <c r="I21" s="511"/>
      <c r="J21" s="47"/>
      <c r="K21" s="512">
        <v>8</v>
      </c>
      <c r="L21" s="509"/>
      <c r="M21" s="512"/>
      <c r="N21" s="509"/>
      <c r="O21" s="512">
        <v>5.6</v>
      </c>
      <c r="P21" s="509"/>
      <c r="Q21" s="512"/>
      <c r="R21" s="509"/>
      <c r="S21" s="512">
        <v>1.2</v>
      </c>
      <c r="T21" s="509"/>
      <c r="U21" s="512">
        <v>1.2</v>
      </c>
      <c r="V21" s="509"/>
      <c r="W21" s="527">
        <f t="shared" si="0"/>
        <v>44.8</v>
      </c>
      <c r="X21" s="528"/>
      <c r="Y21" s="529"/>
      <c r="Z21" s="527">
        <f t="shared" si="1"/>
        <v>53.76</v>
      </c>
      <c r="AA21" s="528"/>
      <c r="AB21" s="529"/>
      <c r="AC21" s="35"/>
      <c r="AD21" s="36"/>
      <c r="AE21" s="37"/>
      <c r="AF21" s="35"/>
      <c r="AG21" s="36"/>
      <c r="AH21" s="38"/>
    </row>
    <row r="22" spans="1:34" ht="15.75">
      <c r="A22" s="39"/>
      <c r="B22" s="40"/>
      <c r="C22" s="41"/>
      <c r="D22" s="510" t="s">
        <v>635</v>
      </c>
      <c r="E22" s="511"/>
      <c r="F22" s="511"/>
      <c r="G22" s="511"/>
      <c r="H22" s="511"/>
      <c r="I22" s="511"/>
      <c r="J22" s="47"/>
      <c r="K22" s="512">
        <v>8</v>
      </c>
      <c r="L22" s="509"/>
      <c r="M22" s="512"/>
      <c r="N22" s="509"/>
      <c r="O22" s="512">
        <v>5.6</v>
      </c>
      <c r="P22" s="509"/>
      <c r="Q22" s="512"/>
      <c r="R22" s="509"/>
      <c r="S22" s="512">
        <v>1.2</v>
      </c>
      <c r="T22" s="509"/>
      <c r="U22" s="512">
        <v>1.2</v>
      </c>
      <c r="V22" s="509"/>
      <c r="W22" s="527">
        <f t="shared" si="0"/>
        <v>44.8</v>
      </c>
      <c r="X22" s="528"/>
      <c r="Y22" s="529"/>
      <c r="Z22" s="527">
        <f t="shared" si="1"/>
        <v>53.76</v>
      </c>
      <c r="AA22" s="528"/>
      <c r="AB22" s="529"/>
      <c r="AC22" s="35"/>
      <c r="AD22" s="36"/>
      <c r="AE22" s="37"/>
      <c r="AF22" s="35"/>
      <c r="AG22" s="36"/>
      <c r="AH22" s="38"/>
    </row>
    <row r="23" spans="1:34" ht="15.75">
      <c r="A23" s="39"/>
      <c r="B23" s="40"/>
      <c r="C23" s="41"/>
      <c r="D23" s="510" t="s">
        <v>636</v>
      </c>
      <c r="E23" s="511"/>
      <c r="F23" s="511"/>
      <c r="G23" s="511"/>
      <c r="H23" s="511"/>
      <c r="I23" s="511"/>
      <c r="J23" s="47"/>
      <c r="K23" s="512">
        <v>3</v>
      </c>
      <c r="L23" s="509"/>
      <c r="M23" s="512"/>
      <c r="N23" s="509"/>
      <c r="O23" s="512">
        <v>4</v>
      </c>
      <c r="P23" s="509"/>
      <c r="Q23" s="512"/>
      <c r="R23" s="509"/>
      <c r="S23" s="512">
        <v>1</v>
      </c>
      <c r="T23" s="509"/>
      <c r="U23" s="512">
        <v>1</v>
      </c>
      <c r="V23" s="509"/>
      <c r="W23" s="527">
        <f t="shared" si="0"/>
        <v>12</v>
      </c>
      <c r="X23" s="528"/>
      <c r="Y23" s="529"/>
      <c r="Z23" s="527">
        <f t="shared" si="1"/>
        <v>12</v>
      </c>
      <c r="AA23" s="528"/>
      <c r="AB23" s="529"/>
      <c r="AC23" s="35"/>
      <c r="AD23" s="36"/>
      <c r="AE23" s="37"/>
      <c r="AF23" s="35"/>
      <c r="AG23" s="36"/>
      <c r="AH23" s="38"/>
    </row>
    <row r="24" spans="1:34" ht="15.75">
      <c r="A24" s="507"/>
      <c r="B24" s="508"/>
      <c r="C24" s="509"/>
      <c r="D24" s="510" t="s">
        <v>637</v>
      </c>
      <c r="E24" s="511"/>
      <c r="F24" s="511"/>
      <c r="G24" s="511"/>
      <c r="H24" s="511"/>
      <c r="I24" s="511"/>
      <c r="J24" s="47"/>
      <c r="K24" s="512">
        <v>4.8499999999999996</v>
      </c>
      <c r="L24" s="509"/>
      <c r="M24" s="512"/>
      <c r="N24" s="509"/>
      <c r="O24" s="512">
        <v>4</v>
      </c>
      <c r="P24" s="509"/>
      <c r="Q24" s="512"/>
      <c r="R24" s="509"/>
      <c r="S24" s="512">
        <v>1</v>
      </c>
      <c r="T24" s="509"/>
      <c r="U24" s="512">
        <v>1</v>
      </c>
      <c r="V24" s="509"/>
      <c r="W24" s="527">
        <f t="shared" si="0"/>
        <v>19.399999999999999</v>
      </c>
      <c r="X24" s="528"/>
      <c r="Y24" s="529"/>
      <c r="Z24" s="527">
        <f t="shared" si="1"/>
        <v>19.399999999999999</v>
      </c>
      <c r="AA24" s="528"/>
      <c r="AB24" s="529"/>
      <c r="AC24" s="35"/>
      <c r="AD24" s="36"/>
      <c r="AE24" s="37"/>
      <c r="AF24" s="35"/>
      <c r="AG24" s="36"/>
      <c r="AH24" s="38"/>
    </row>
    <row r="25" spans="1:34" ht="15.75">
      <c r="A25" s="507"/>
      <c r="B25" s="508"/>
      <c r="C25" s="509"/>
      <c r="D25" s="510" t="s">
        <v>638</v>
      </c>
      <c r="E25" s="511"/>
      <c r="F25" s="511"/>
      <c r="G25" s="511"/>
      <c r="H25" s="511"/>
      <c r="I25" s="511"/>
      <c r="J25" s="47"/>
      <c r="K25" s="512">
        <v>1.41</v>
      </c>
      <c r="L25" s="509"/>
      <c r="M25" s="512"/>
      <c r="N25" s="509"/>
      <c r="O25" s="512">
        <v>1.7</v>
      </c>
      <c r="P25" s="509"/>
      <c r="Q25" s="512"/>
      <c r="R25" s="509"/>
      <c r="S25" s="512">
        <v>1</v>
      </c>
      <c r="T25" s="509"/>
      <c r="U25" s="512">
        <v>1</v>
      </c>
      <c r="V25" s="509"/>
      <c r="W25" s="527">
        <f t="shared" si="0"/>
        <v>2.4</v>
      </c>
      <c r="X25" s="528"/>
      <c r="Y25" s="529"/>
      <c r="Z25" s="527">
        <f t="shared" si="1"/>
        <v>2.4</v>
      </c>
      <c r="AA25" s="528"/>
      <c r="AB25" s="529"/>
      <c r="AC25" s="35"/>
      <c r="AD25" s="36"/>
      <c r="AE25" s="37"/>
      <c r="AF25" s="35"/>
      <c r="AG25" s="36"/>
      <c r="AH25" s="38"/>
    </row>
    <row r="26" spans="1:34" ht="15.75">
      <c r="A26" s="507"/>
      <c r="B26" s="508"/>
      <c r="C26" s="509"/>
      <c r="D26" s="510" t="s">
        <v>639</v>
      </c>
      <c r="E26" s="511"/>
      <c r="F26" s="511"/>
      <c r="G26" s="511"/>
      <c r="H26" s="511"/>
      <c r="I26" s="511"/>
      <c r="J26" s="47"/>
      <c r="K26" s="512">
        <v>6.45</v>
      </c>
      <c r="L26" s="509"/>
      <c r="M26" s="512">
        <v>1.41</v>
      </c>
      <c r="N26" s="509"/>
      <c r="O26" s="512">
        <v>5.3</v>
      </c>
      <c r="P26" s="509"/>
      <c r="Q26" s="512">
        <v>1.67</v>
      </c>
      <c r="R26" s="509"/>
      <c r="S26" s="512">
        <v>1</v>
      </c>
      <c r="T26" s="509"/>
      <c r="U26" s="512">
        <v>1</v>
      </c>
      <c r="V26" s="509"/>
      <c r="W26" s="527">
        <f>ROUND(K26*O26,2)+(M26*Q26)</f>
        <v>36.544699999999999</v>
      </c>
      <c r="X26" s="528"/>
      <c r="Y26" s="529"/>
      <c r="Z26" s="527">
        <f t="shared" si="1"/>
        <v>36.544699999999999</v>
      </c>
      <c r="AA26" s="528"/>
      <c r="AB26" s="529"/>
      <c r="AC26" s="35"/>
      <c r="AD26" s="36"/>
      <c r="AE26" s="37"/>
      <c r="AF26" s="35"/>
      <c r="AG26" s="36"/>
      <c r="AH26" s="38"/>
    </row>
    <row r="27" spans="1:34" ht="15.75">
      <c r="A27" s="507"/>
      <c r="B27" s="508"/>
      <c r="C27" s="509"/>
      <c r="D27" s="510" t="s">
        <v>640</v>
      </c>
      <c r="E27" s="511"/>
      <c r="F27" s="511"/>
      <c r="G27" s="511"/>
      <c r="H27" s="511"/>
      <c r="I27" s="511"/>
      <c r="J27" s="47"/>
      <c r="K27" s="512">
        <v>1.45</v>
      </c>
      <c r="L27" s="509"/>
      <c r="M27" s="512"/>
      <c r="N27" s="509"/>
      <c r="O27" s="512">
        <v>1.65</v>
      </c>
      <c r="P27" s="509"/>
      <c r="Q27" s="512"/>
      <c r="R27" s="509"/>
      <c r="S27" s="512">
        <v>1</v>
      </c>
      <c r="T27" s="509"/>
      <c r="U27" s="512">
        <v>1</v>
      </c>
      <c r="V27" s="509"/>
      <c r="W27" s="527">
        <f>ROUND(K27*O27,2)</f>
        <v>2.39</v>
      </c>
      <c r="X27" s="528"/>
      <c r="Y27" s="529"/>
      <c r="Z27" s="527">
        <f t="shared" si="1"/>
        <v>2.39</v>
      </c>
      <c r="AA27" s="528"/>
      <c r="AB27" s="529"/>
      <c r="AC27" s="35"/>
      <c r="AD27" s="36"/>
      <c r="AE27" s="37"/>
      <c r="AF27" s="35"/>
      <c r="AG27" s="36"/>
      <c r="AH27" s="38"/>
    </row>
    <row r="28" spans="1:34" ht="15.75">
      <c r="A28" s="507"/>
      <c r="B28" s="508"/>
      <c r="C28" s="509"/>
      <c r="D28" s="510" t="s">
        <v>641</v>
      </c>
      <c r="E28" s="511"/>
      <c r="F28" s="511"/>
      <c r="G28" s="511"/>
      <c r="H28" s="511"/>
      <c r="I28" s="511"/>
      <c r="J28" s="47"/>
      <c r="K28" s="512">
        <v>8</v>
      </c>
      <c r="L28" s="509"/>
      <c r="M28" s="512"/>
      <c r="N28" s="509"/>
      <c r="O28" s="512">
        <v>5.7</v>
      </c>
      <c r="P28" s="509"/>
      <c r="Q28" s="512"/>
      <c r="R28" s="509"/>
      <c r="S28" s="512">
        <v>1</v>
      </c>
      <c r="T28" s="509"/>
      <c r="U28" s="512">
        <v>0.9</v>
      </c>
      <c r="V28" s="509"/>
      <c r="W28" s="527">
        <f>ROUND(K28*O28,2)</f>
        <v>45.6</v>
      </c>
      <c r="X28" s="528"/>
      <c r="Y28" s="529"/>
      <c r="Z28" s="527">
        <f t="shared" si="1"/>
        <v>43.32</v>
      </c>
      <c r="AA28" s="528"/>
      <c r="AB28" s="529"/>
      <c r="AC28" s="35"/>
      <c r="AD28" s="36"/>
      <c r="AE28" s="37"/>
      <c r="AF28" s="35"/>
      <c r="AG28" s="36"/>
      <c r="AH28" s="38"/>
    </row>
    <row r="29" spans="1:34" ht="15.75">
      <c r="A29" s="39"/>
      <c r="B29" s="40"/>
      <c r="C29" s="41"/>
      <c r="D29" s="42" t="s">
        <v>642</v>
      </c>
      <c r="E29" s="43"/>
      <c r="F29" s="43"/>
      <c r="G29" s="43"/>
      <c r="H29" s="43"/>
      <c r="I29" s="43"/>
      <c r="J29" s="47"/>
      <c r="K29" s="512">
        <v>8.01</v>
      </c>
      <c r="L29" s="509"/>
      <c r="M29" s="512"/>
      <c r="N29" s="509"/>
      <c r="O29" s="512">
        <v>9</v>
      </c>
      <c r="P29" s="509"/>
      <c r="Q29" s="512"/>
      <c r="R29" s="509"/>
      <c r="S29" s="512">
        <v>1</v>
      </c>
      <c r="T29" s="509"/>
      <c r="U29" s="512">
        <v>0.9</v>
      </c>
      <c r="V29" s="509"/>
      <c r="W29" s="527">
        <f>ROUND(K29*O29,2)</f>
        <v>72.09</v>
      </c>
      <c r="X29" s="528"/>
      <c r="Y29" s="529"/>
      <c r="Z29" s="527">
        <f t="shared" si="1"/>
        <v>68.485500000000002</v>
      </c>
      <c r="AA29" s="528"/>
      <c r="AB29" s="529"/>
      <c r="AC29" s="35"/>
      <c r="AD29" s="36"/>
      <c r="AE29" s="37"/>
      <c r="AF29" s="35"/>
      <c r="AG29" s="36"/>
      <c r="AH29" s="38"/>
    </row>
    <row r="30" spans="1:34" ht="15.75">
      <c r="A30" s="39"/>
      <c r="B30" s="40"/>
      <c r="C30" s="41"/>
      <c r="D30" s="42" t="s">
        <v>643</v>
      </c>
      <c r="E30" s="43"/>
      <c r="F30" s="43"/>
      <c r="G30" s="43"/>
      <c r="H30" s="43"/>
      <c r="I30" s="43"/>
      <c r="J30" s="47"/>
      <c r="K30" s="512">
        <v>4.5</v>
      </c>
      <c r="L30" s="509"/>
      <c r="M30" s="512">
        <v>1.54</v>
      </c>
      <c r="N30" s="509"/>
      <c r="O30" s="512">
        <v>3</v>
      </c>
      <c r="P30" s="509"/>
      <c r="Q30" s="512">
        <v>3</v>
      </c>
      <c r="R30" s="509"/>
      <c r="S30" s="512">
        <v>1</v>
      </c>
      <c r="T30" s="509"/>
      <c r="U30" s="512">
        <v>1</v>
      </c>
      <c r="V30" s="509"/>
      <c r="W30" s="527">
        <f>ROUND(K30*O30,2)+(M30*Q30)</f>
        <v>18.12</v>
      </c>
      <c r="X30" s="528"/>
      <c r="Y30" s="529"/>
      <c r="Z30" s="527">
        <f t="shared" si="1"/>
        <v>18.12</v>
      </c>
      <c r="AA30" s="528"/>
      <c r="AB30" s="529"/>
      <c r="AC30" s="35"/>
      <c r="AD30" s="36"/>
      <c r="AE30" s="37"/>
      <c r="AF30" s="35"/>
      <c r="AG30" s="36"/>
      <c r="AH30" s="38"/>
    </row>
    <row r="31" spans="1:34" ht="15.75">
      <c r="A31" s="39"/>
      <c r="B31" s="40"/>
      <c r="C31" s="41"/>
      <c r="D31" s="42" t="s">
        <v>644</v>
      </c>
      <c r="E31" s="43"/>
      <c r="F31" s="43"/>
      <c r="G31" s="43"/>
      <c r="H31" s="43"/>
      <c r="I31" s="43"/>
      <c r="J31" s="47"/>
      <c r="K31" s="512">
        <v>4.5</v>
      </c>
      <c r="L31" s="509"/>
      <c r="M31" s="512">
        <v>1.54</v>
      </c>
      <c r="N31" s="509"/>
      <c r="O31" s="512">
        <v>3</v>
      </c>
      <c r="P31" s="509"/>
      <c r="Q31" s="512">
        <v>3</v>
      </c>
      <c r="R31" s="509"/>
      <c r="S31" s="512">
        <v>1</v>
      </c>
      <c r="T31" s="509"/>
      <c r="U31" s="512">
        <v>1</v>
      </c>
      <c r="V31" s="509"/>
      <c r="W31" s="527">
        <f>ROUND(K31*O31,2)+(M31*Q31)</f>
        <v>18.12</v>
      </c>
      <c r="X31" s="528"/>
      <c r="Y31" s="529"/>
      <c r="Z31" s="527">
        <f t="shared" si="1"/>
        <v>18.12</v>
      </c>
      <c r="AA31" s="528"/>
      <c r="AB31" s="529"/>
      <c r="AC31" s="35"/>
      <c r="AD31" s="36"/>
      <c r="AE31" s="37"/>
      <c r="AF31" s="35"/>
      <c r="AG31" s="36"/>
      <c r="AH31" s="38"/>
    </row>
    <row r="32" spans="1:34" ht="15.75">
      <c r="A32" s="39"/>
      <c r="B32" s="40"/>
      <c r="C32" s="41"/>
      <c r="D32" s="42" t="s">
        <v>645</v>
      </c>
      <c r="E32" s="43"/>
      <c r="F32" s="43"/>
      <c r="G32" s="43"/>
      <c r="H32" s="43"/>
      <c r="I32" s="43"/>
      <c r="J32" s="47"/>
      <c r="K32" s="512">
        <v>1.5</v>
      </c>
      <c r="L32" s="509"/>
      <c r="M32" s="512"/>
      <c r="N32" s="509"/>
      <c r="O32" s="512">
        <v>3</v>
      </c>
      <c r="P32" s="509"/>
      <c r="Q32" s="512"/>
      <c r="R32" s="509"/>
      <c r="S32" s="512">
        <v>1.1000000000000001</v>
      </c>
      <c r="T32" s="509"/>
      <c r="U32" s="512">
        <v>1.1000000000000001</v>
      </c>
      <c r="V32" s="509"/>
      <c r="W32" s="527">
        <f>ROUND(K32*O32,2)</f>
        <v>4.5</v>
      </c>
      <c r="X32" s="528"/>
      <c r="Y32" s="529"/>
      <c r="Z32" s="527">
        <f t="shared" si="1"/>
        <v>4.95</v>
      </c>
      <c r="AA32" s="528"/>
      <c r="AB32" s="529"/>
      <c r="AC32" s="35"/>
      <c r="AD32" s="36"/>
      <c r="AE32" s="37"/>
      <c r="AF32" s="35"/>
      <c r="AG32" s="36"/>
      <c r="AH32" s="38"/>
    </row>
    <row r="33" spans="1:34" ht="15.75">
      <c r="A33" s="39"/>
      <c r="B33" s="40"/>
      <c r="C33" s="41"/>
      <c r="D33" s="42" t="s">
        <v>646</v>
      </c>
      <c r="E33" s="43"/>
      <c r="F33" s="43"/>
      <c r="G33" s="43"/>
      <c r="H33" s="43"/>
      <c r="I33" s="43"/>
      <c r="J33" s="47"/>
      <c r="K33" s="512">
        <v>2.5</v>
      </c>
      <c r="L33" s="509"/>
      <c r="M33" s="512"/>
      <c r="N33" s="509"/>
      <c r="O33" s="512">
        <v>3.15</v>
      </c>
      <c r="P33" s="509"/>
      <c r="Q33" s="512"/>
      <c r="R33" s="509"/>
      <c r="S33" s="512">
        <v>1.1000000000000001</v>
      </c>
      <c r="T33" s="509"/>
      <c r="U33" s="512">
        <v>1.1000000000000001</v>
      </c>
      <c r="V33" s="509"/>
      <c r="W33" s="527">
        <f>ROUND(K33*O33,2)</f>
        <v>7.88</v>
      </c>
      <c r="X33" s="528"/>
      <c r="Y33" s="529"/>
      <c r="Z33" s="527">
        <f t="shared" si="1"/>
        <v>8.668000000000001</v>
      </c>
      <c r="AA33" s="528"/>
      <c r="AB33" s="529"/>
      <c r="AC33" s="35"/>
      <c r="AD33" s="36"/>
      <c r="AE33" s="37"/>
      <c r="AF33" s="35"/>
      <c r="AG33" s="36"/>
      <c r="AH33" s="38"/>
    </row>
    <row r="34" spans="1:34" ht="15.75">
      <c r="A34" s="39"/>
      <c r="B34" s="40"/>
      <c r="C34" s="41"/>
      <c r="D34" s="42" t="s">
        <v>647</v>
      </c>
      <c r="E34" s="43"/>
      <c r="F34" s="43"/>
      <c r="G34" s="43"/>
      <c r="H34" s="43"/>
      <c r="I34" s="43"/>
      <c r="J34" s="47"/>
      <c r="K34" s="512">
        <v>7.85</v>
      </c>
      <c r="L34" s="509"/>
      <c r="M34" s="512"/>
      <c r="N34" s="509"/>
      <c r="O34" s="512">
        <v>3</v>
      </c>
      <c r="P34" s="509"/>
      <c r="Q34" s="512"/>
      <c r="R34" s="509"/>
      <c r="S34" s="512">
        <v>1.1000000000000001</v>
      </c>
      <c r="T34" s="509"/>
      <c r="U34" s="512">
        <v>1.1000000000000001</v>
      </c>
      <c r="V34" s="509"/>
      <c r="W34" s="527">
        <f>ROUND(K34*O34,2)</f>
        <v>23.55</v>
      </c>
      <c r="X34" s="528"/>
      <c r="Y34" s="529"/>
      <c r="Z34" s="527">
        <f t="shared" si="1"/>
        <v>25.905000000000001</v>
      </c>
      <c r="AA34" s="528"/>
      <c r="AB34" s="529"/>
      <c r="AC34" s="35"/>
      <c r="AD34" s="36"/>
      <c r="AE34" s="37"/>
      <c r="AF34" s="35"/>
      <c r="AG34" s="36"/>
      <c r="AH34" s="38"/>
    </row>
    <row r="35" spans="1:34" ht="15.75">
      <c r="A35" s="39"/>
      <c r="B35" s="40"/>
      <c r="C35" s="41"/>
      <c r="D35" s="42" t="s">
        <v>648</v>
      </c>
      <c r="E35" s="43"/>
      <c r="F35" s="43"/>
      <c r="G35" s="43"/>
      <c r="H35" s="43"/>
      <c r="I35" s="43"/>
      <c r="J35" s="47"/>
      <c r="K35" s="512">
        <v>4.9000000000000004</v>
      </c>
      <c r="L35" s="509"/>
      <c r="M35" s="512"/>
      <c r="N35" s="509"/>
      <c r="O35" s="512">
        <v>3.15</v>
      </c>
      <c r="P35" s="509"/>
      <c r="Q35" s="512"/>
      <c r="R35" s="509"/>
      <c r="S35" s="512">
        <v>1.1000000000000001</v>
      </c>
      <c r="T35" s="509"/>
      <c r="U35" s="512">
        <v>1.1000000000000001</v>
      </c>
      <c r="V35" s="509"/>
      <c r="W35" s="527">
        <f>ROUND(K35*O35,2)</f>
        <v>15.44</v>
      </c>
      <c r="X35" s="528"/>
      <c r="Y35" s="529"/>
      <c r="Z35" s="527">
        <f t="shared" si="1"/>
        <v>16.984000000000002</v>
      </c>
      <c r="AA35" s="528"/>
      <c r="AB35" s="529"/>
      <c r="AC35" s="35"/>
      <c r="AD35" s="36"/>
      <c r="AE35" s="37"/>
      <c r="AF35" s="35"/>
      <c r="AG35" s="36"/>
      <c r="AH35" s="38"/>
    </row>
    <row r="36" spans="1:34" ht="15.75">
      <c r="A36" s="39"/>
      <c r="B36" s="40"/>
      <c r="C36" s="41"/>
      <c r="D36" s="42" t="s">
        <v>649</v>
      </c>
      <c r="E36" s="43"/>
      <c r="F36" s="43"/>
      <c r="G36" s="43"/>
      <c r="H36" s="43"/>
      <c r="I36" s="43"/>
      <c r="J36" s="47"/>
      <c r="K36" s="512">
        <v>1.8</v>
      </c>
      <c r="L36" s="509"/>
      <c r="M36" s="512"/>
      <c r="N36" s="509"/>
      <c r="O36" s="512">
        <v>3</v>
      </c>
      <c r="P36" s="509"/>
      <c r="Q36" s="512"/>
      <c r="R36" s="509"/>
      <c r="S36" s="512">
        <v>1.1000000000000001</v>
      </c>
      <c r="T36" s="509"/>
      <c r="U36" s="512">
        <v>1.1000000000000001</v>
      </c>
      <c r="V36" s="509"/>
      <c r="W36" s="527">
        <f>ROUND(K36*O36,2)</f>
        <v>5.4</v>
      </c>
      <c r="X36" s="528"/>
      <c r="Y36" s="529"/>
      <c r="Z36" s="527">
        <f t="shared" si="1"/>
        <v>5.9400000000000013</v>
      </c>
      <c r="AA36" s="528"/>
      <c r="AB36" s="529"/>
      <c r="AC36" s="35"/>
      <c r="AD36" s="36"/>
      <c r="AE36" s="37"/>
      <c r="AF36" s="35"/>
      <c r="AG36" s="36"/>
      <c r="AH36" s="38"/>
    </row>
    <row r="37" spans="1:34" ht="15.75">
      <c r="A37" s="44"/>
      <c r="B37" s="45"/>
      <c r="C37" s="46"/>
      <c r="D37" s="42" t="s">
        <v>650</v>
      </c>
      <c r="E37" s="43"/>
      <c r="F37" s="43"/>
      <c r="G37" s="43"/>
      <c r="H37" s="43"/>
      <c r="I37" s="43"/>
      <c r="J37" s="47"/>
      <c r="K37" s="512">
        <v>12.15</v>
      </c>
      <c r="L37" s="509"/>
      <c r="M37" s="512">
        <v>8</v>
      </c>
      <c r="N37" s="509"/>
      <c r="O37" s="512">
        <v>5</v>
      </c>
      <c r="P37" s="509"/>
      <c r="Q37" s="512">
        <v>5</v>
      </c>
      <c r="R37" s="509"/>
      <c r="S37" s="512">
        <v>1.1000000000000001</v>
      </c>
      <c r="T37" s="509"/>
      <c r="U37" s="512">
        <v>1</v>
      </c>
      <c r="V37" s="509"/>
      <c r="W37" s="527">
        <f>ROUND(K37*O37,2)+(M37*Q37)</f>
        <v>100.75</v>
      </c>
      <c r="X37" s="528"/>
      <c r="Y37" s="529"/>
      <c r="Z37" s="527">
        <f t="shared" si="1"/>
        <v>105.78750000000001</v>
      </c>
      <c r="AA37" s="528"/>
      <c r="AB37" s="529"/>
      <c r="AC37" s="35"/>
      <c r="AD37" s="36"/>
      <c r="AE37" s="37"/>
      <c r="AF37" s="35"/>
      <c r="AG37" s="36"/>
      <c r="AH37" s="38"/>
    </row>
    <row r="38" spans="1:34" ht="15.75">
      <c r="A38" s="44"/>
      <c r="B38" s="45"/>
      <c r="C38" s="46"/>
      <c r="D38" s="42" t="s">
        <v>651</v>
      </c>
      <c r="E38" s="43"/>
      <c r="F38" s="43"/>
      <c r="G38" s="43"/>
      <c r="H38" s="43"/>
      <c r="I38" s="43"/>
      <c r="J38" s="47"/>
      <c r="K38" s="512">
        <v>8</v>
      </c>
      <c r="L38" s="509"/>
      <c r="M38" s="512"/>
      <c r="N38" s="509"/>
      <c r="O38" s="512">
        <v>5</v>
      </c>
      <c r="P38" s="509"/>
      <c r="Q38" s="512"/>
      <c r="R38" s="509"/>
      <c r="S38" s="512">
        <v>1.1000000000000001</v>
      </c>
      <c r="T38" s="509"/>
      <c r="U38" s="512">
        <v>1</v>
      </c>
      <c r="V38" s="509"/>
      <c r="W38" s="527">
        <f>ROUND(K38*O38,2)</f>
        <v>40</v>
      </c>
      <c r="X38" s="528"/>
      <c r="Y38" s="529"/>
      <c r="Z38" s="527">
        <f t="shared" si="1"/>
        <v>42</v>
      </c>
      <c r="AA38" s="528"/>
      <c r="AB38" s="529"/>
      <c r="AC38" s="35"/>
      <c r="AD38" s="36"/>
      <c r="AE38" s="37"/>
      <c r="AF38" s="35"/>
      <c r="AG38" s="36"/>
      <c r="AH38" s="38"/>
    </row>
    <row r="39" spans="1:34" ht="15.75">
      <c r="A39" s="44"/>
      <c r="B39" s="45"/>
      <c r="C39" s="46"/>
      <c r="D39" s="42" t="s">
        <v>652</v>
      </c>
      <c r="E39" s="43"/>
      <c r="F39" s="43"/>
      <c r="G39" s="43"/>
      <c r="H39" s="43"/>
      <c r="I39" s="43"/>
      <c r="J39" s="47"/>
      <c r="K39" s="512">
        <v>2.2000000000000002</v>
      </c>
      <c r="L39" s="509"/>
      <c r="M39" s="512">
        <v>1.67</v>
      </c>
      <c r="N39" s="509"/>
      <c r="O39" s="512">
        <v>15</v>
      </c>
      <c r="P39" s="509"/>
      <c r="Q39" s="512">
        <v>6.15</v>
      </c>
      <c r="R39" s="509"/>
      <c r="S39" s="512">
        <v>1.1000000000000001</v>
      </c>
      <c r="T39" s="509"/>
      <c r="U39" s="512">
        <v>1</v>
      </c>
      <c r="V39" s="509"/>
      <c r="W39" s="527">
        <f>ROUND(K39*O39,2)+(M39*Q39)</f>
        <v>43.270499999999998</v>
      </c>
      <c r="X39" s="528"/>
      <c r="Y39" s="529"/>
      <c r="Z39" s="527">
        <f t="shared" si="1"/>
        <v>45.434024999999998</v>
      </c>
      <c r="AA39" s="528"/>
      <c r="AB39" s="529"/>
      <c r="AC39" s="35"/>
      <c r="AD39" s="36"/>
      <c r="AE39" s="37"/>
      <c r="AF39" s="35"/>
      <c r="AG39" s="36"/>
      <c r="AH39" s="38"/>
    </row>
    <row r="40" spans="1:34" ht="15.75">
      <c r="A40" s="44"/>
      <c r="B40" s="45"/>
      <c r="C40" s="46"/>
      <c r="D40" s="42" t="s">
        <v>653</v>
      </c>
      <c r="E40" s="43"/>
      <c r="F40" s="43"/>
      <c r="G40" s="43"/>
      <c r="H40" s="43"/>
      <c r="I40" s="43"/>
      <c r="J40" s="47"/>
      <c r="K40" s="512">
        <v>2.2000000000000002</v>
      </c>
      <c r="L40" s="509"/>
      <c r="M40" s="512">
        <v>0</v>
      </c>
      <c r="N40" s="509"/>
      <c r="O40" s="512">
        <v>21.8</v>
      </c>
      <c r="P40" s="509"/>
      <c r="Q40" s="512">
        <v>0</v>
      </c>
      <c r="R40" s="509"/>
      <c r="S40" s="512">
        <v>1.1000000000000001</v>
      </c>
      <c r="T40" s="509"/>
      <c r="U40" s="512">
        <v>1</v>
      </c>
      <c r="V40" s="509"/>
      <c r="W40" s="527">
        <f>ROUND(K40*O40,2)</f>
        <v>47.96</v>
      </c>
      <c r="X40" s="528"/>
      <c r="Y40" s="529"/>
      <c r="Z40" s="527">
        <f t="shared" si="1"/>
        <v>50.358000000000004</v>
      </c>
      <c r="AA40" s="528"/>
      <c r="AB40" s="529"/>
      <c r="AC40" s="35"/>
      <c r="AD40" s="36"/>
      <c r="AE40" s="37"/>
      <c r="AF40" s="35"/>
      <c r="AG40" s="36"/>
      <c r="AH40" s="38"/>
    </row>
  </sheetData>
  <protectedRanges>
    <protectedRange sqref="AC16:AC40 AB9:AC15" name="Intervalo1_1"/>
  </protectedRanges>
  <mergeCells count="243">
    <mergeCell ref="W40:Y40"/>
    <mergeCell ref="Z40:AB40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7:L37"/>
    <mergeCell ref="M37:N37"/>
    <mergeCell ref="O37:P37"/>
    <mergeCell ref="Q37:R37"/>
    <mergeCell ref="S37:T37"/>
    <mergeCell ref="U37:V37"/>
    <mergeCell ref="W37:Y37"/>
    <mergeCell ref="Z37:AB37"/>
    <mergeCell ref="K36:L36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7:AB27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5:AB25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D23:I23"/>
    <mergeCell ref="K23:L23"/>
    <mergeCell ref="M23:N23"/>
    <mergeCell ref="O23:P23"/>
    <mergeCell ref="Q23:R23"/>
    <mergeCell ref="S23:T23"/>
    <mergeCell ref="U23:V23"/>
    <mergeCell ref="W23:Y23"/>
    <mergeCell ref="Z23:AB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W22:Y22"/>
    <mergeCell ref="Z22:AB22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S16:T16"/>
    <mergeCell ref="U16:V16"/>
    <mergeCell ref="W16:Y16"/>
    <mergeCell ref="Z16:AB16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1º aditivo de valor</vt:lpstr>
      <vt:lpstr>MEMORIA ADITIVO</vt:lpstr>
      <vt:lpstr>PLANILHA PÓS ADITIVO</vt:lpstr>
      <vt:lpstr>BM-07_RLR</vt:lpstr>
      <vt:lpstr>MEMORIA DE CALCULO_BM-07</vt:lpstr>
      <vt:lpstr>RELATÓRIO FOTOGRÁFICO_BM-07</vt:lpstr>
      <vt:lpstr>BM-06</vt:lpstr>
      <vt:lpstr>MEMORIA DE CÁLCULO ATERRO</vt:lpstr>
      <vt:lpstr>MEMORIA ATERRO (2)</vt:lpstr>
      <vt:lpstr>MEMORIA MURO</vt:lpstr>
      <vt:lpstr>MEMORIA BM 03</vt:lpstr>
      <vt:lpstr>MEMORIA ATERRO</vt:lpstr>
      <vt:lpstr>MEMÓRIA ALVENARIA</vt:lpstr>
      <vt:lpstr>MEMÓRIA PILARES</vt:lpstr>
      <vt:lpstr>MEMÓRIA VIGAS</vt:lpstr>
      <vt:lpstr>COMPOSIÇÕES NOVAS</vt:lpstr>
      <vt:lpstr>Plan1</vt:lpstr>
      <vt:lpstr>'1º aditivo de valor'!Area_de_impressao</vt:lpstr>
      <vt:lpstr>'BM-07_RLR'!Area_de_impressao</vt:lpstr>
      <vt:lpstr>'COMPOSIÇÕES NOVAS'!Area_de_impressao</vt:lpstr>
      <vt:lpstr>'MEMORIA ADITIVO'!Area_de_impressao</vt:lpstr>
      <vt:lpstr>'MEMORIA ATERRO'!Area_de_impressao</vt:lpstr>
      <vt:lpstr>'MEMORIA ATERRO (2)'!Area_de_impressao</vt:lpstr>
      <vt:lpstr>'MEMORIA BM 03'!Area_de_impressao</vt:lpstr>
      <vt:lpstr>'MEMORIA DE CALCULO_BM-07'!Area_de_impressao</vt:lpstr>
      <vt:lpstr>'MEMÓRIA PILARES'!Area_de_impressao</vt:lpstr>
      <vt:lpstr>'MEMÓRIA VIGAS'!Area_de_impressao</vt:lpstr>
      <vt:lpstr>'PLANILHA PÓS ADITIVO'!Area_de_impressao</vt:lpstr>
      <vt:lpstr>'RELATÓRIO FOTOGRÁFICO_BM-07'!Area_de_impressao</vt:lpstr>
      <vt:lpstr>'COMPOSIÇÕES NOVAS'!JR_PAGE_ANCHOR_0_1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2023-06-27T17:08:47Z</dcterms:created>
  <dcterms:modified xsi:type="dcterms:W3CDTF">2024-10-22T19:00:32Z</dcterms:modified>
</cp:coreProperties>
</file>