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61EB688A-FC50-4A2E-BE6E-784B50DB274A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M-07_ACUMULADO" sheetId="8" r:id="rId1"/>
    <sheet name="MEDIÇÃO 08" sheetId="1" r:id="rId2"/>
    <sheet name="MEMORIA BM 08" sheetId="2" r:id="rId3"/>
    <sheet name="MEMÓRIA MURO" sheetId="7" r:id="rId4"/>
    <sheet name="MEMORIA ATERRO" sheetId="3" r:id="rId5"/>
    <sheet name="MEMÓRIA ALVENARIA" sheetId="4" r:id="rId6"/>
    <sheet name="MEMÓRIA PILARES" sheetId="5" r:id="rId7"/>
    <sheet name="MEMÓRIA VIGAS" sheetId="6" r:id="rId8"/>
  </sheets>
  <externalReferences>
    <externalReference r:id="rId9"/>
    <externalReference r:id="rId10"/>
    <externalReference r:id="rId11"/>
  </externalReferences>
  <definedNames>
    <definedName name="_xlnm.Print_Area" localSheetId="0">'BM-07_ACUMULADO'!$A$1:$O$442</definedName>
    <definedName name="_xlnm.Print_Area" localSheetId="1">'MEDIÇÃO 08'!$A$1:$Q$264</definedName>
    <definedName name="_xlnm.Print_Area" localSheetId="4">'MEMORIA ATERRO'!$A$1:$AH$40</definedName>
    <definedName name="_xlnm.Print_Area" localSheetId="2">'MEMORIA BM 08'!$A$1:$E$235</definedName>
    <definedName name="_xlnm.Print_Area" localSheetId="6">'MEMÓRIA PILARES'!$A$1:$AH$491</definedName>
    <definedName name="_xlnm.Print_Area" localSheetId="7">'MEMÓRIA VIGAS'!$A$1:$AH$155</definedName>
    <definedName name="JR_PAGE_ANCHOR_0_1">'MEDIÇÃO 08'!$A$1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4" i="1" l="1"/>
  <c r="R74" i="1"/>
  <c r="R75" i="1"/>
  <c r="R76" i="1"/>
  <c r="R77" i="1"/>
  <c r="R78" i="1"/>
  <c r="R79" i="1"/>
  <c r="R80" i="1"/>
  <c r="R81" i="1"/>
  <c r="R82" i="1"/>
  <c r="R83" i="1"/>
  <c r="R73" i="1"/>
  <c r="R72" i="1"/>
  <c r="Q18" i="1"/>
  <c r="Q19" i="1"/>
  <c r="Q20" i="1"/>
  <c r="Q31" i="1"/>
  <c r="Q37" i="1"/>
  <c r="Q50" i="1"/>
  <c r="Q53" i="1"/>
  <c r="Q54" i="1"/>
  <c r="Q55" i="1"/>
  <c r="Q56" i="1"/>
  <c r="Q57" i="1"/>
  <c r="Q108" i="1"/>
  <c r="Q115" i="1"/>
  <c r="Q240" i="1"/>
  <c r="Q241" i="1"/>
  <c r="Q242" i="1"/>
  <c r="Q243" i="1"/>
  <c r="Q244" i="1"/>
  <c r="Q245" i="1"/>
  <c r="Q246" i="1"/>
  <c r="Q247" i="1"/>
  <c r="Q248" i="1"/>
  <c r="J110" i="1"/>
  <c r="J111" i="1"/>
  <c r="J112" i="1"/>
  <c r="J113" i="1"/>
  <c r="J109" i="1"/>
  <c r="J106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89" i="1"/>
  <c r="J83" i="1"/>
  <c r="J84" i="1"/>
  <c r="J85" i="1"/>
  <c r="J86" i="1"/>
  <c r="J82" i="1"/>
  <c r="J73" i="1"/>
  <c r="J74" i="1"/>
  <c r="J75" i="1"/>
  <c r="J76" i="1"/>
  <c r="J77" i="1"/>
  <c r="J78" i="1"/>
  <c r="J79" i="1"/>
  <c r="J72" i="1"/>
  <c r="J61" i="1"/>
  <c r="J62" i="1"/>
  <c r="J63" i="1"/>
  <c r="J64" i="1"/>
  <c r="J65" i="1"/>
  <c r="J66" i="1"/>
  <c r="J67" i="1"/>
  <c r="J68" i="1"/>
  <c r="J69" i="1"/>
  <c r="J60" i="1"/>
  <c r="J53" i="1"/>
  <c r="J54" i="1"/>
  <c r="J55" i="1"/>
  <c r="J56" i="1"/>
  <c r="J57" i="1"/>
  <c r="J52" i="1"/>
  <c r="J41" i="1"/>
  <c r="J42" i="1"/>
  <c r="J43" i="1"/>
  <c r="J44" i="1"/>
  <c r="J45" i="1"/>
  <c r="J46" i="1"/>
  <c r="J47" i="1"/>
  <c r="J48" i="1"/>
  <c r="J49" i="1"/>
  <c r="J50" i="1"/>
  <c r="J40" i="1"/>
  <c r="J35" i="1"/>
  <c r="J36" i="1"/>
  <c r="J37" i="1"/>
  <c r="J34" i="1"/>
  <c r="J26" i="1"/>
  <c r="J27" i="1"/>
  <c r="J28" i="1"/>
  <c r="J29" i="1"/>
  <c r="J30" i="1"/>
  <c r="J31" i="1"/>
  <c r="J24" i="1"/>
  <c r="J25" i="1"/>
  <c r="J23" i="1"/>
  <c r="J16" i="1"/>
  <c r="J17" i="1"/>
  <c r="J18" i="1"/>
  <c r="J19" i="1"/>
  <c r="J20" i="1"/>
  <c r="J15" i="1"/>
  <c r="J10" i="1"/>
  <c r="J11" i="1"/>
  <c r="J12" i="1"/>
  <c r="J9" i="1"/>
  <c r="N272" i="8"/>
  <c r="M264" i="8"/>
  <c r="N264" i="8" s="1"/>
  <c r="H264" i="8"/>
  <c r="K264" i="8" s="1"/>
  <c r="O263" i="8"/>
  <c r="K263" i="8"/>
  <c r="I263" i="8"/>
  <c r="H263" i="8"/>
  <c r="M263" i="8" s="1"/>
  <c r="N263" i="8" s="1"/>
  <c r="M262" i="8"/>
  <c r="N262" i="8" s="1"/>
  <c r="H262" i="8"/>
  <c r="K262" i="8" s="1"/>
  <c r="K261" i="8"/>
  <c r="I261" i="8"/>
  <c r="H261" i="8"/>
  <c r="M261" i="8" s="1"/>
  <c r="N261" i="8" s="1"/>
  <c r="O261" i="8" s="1"/>
  <c r="M260" i="8"/>
  <c r="N260" i="8" s="1"/>
  <c r="H260" i="8"/>
  <c r="K260" i="8" s="1"/>
  <c r="O259" i="8"/>
  <c r="K259" i="8"/>
  <c r="I259" i="8"/>
  <c r="H259" i="8"/>
  <c r="M259" i="8" s="1"/>
  <c r="N259" i="8" s="1"/>
  <c r="M258" i="8"/>
  <c r="N258" i="8" s="1"/>
  <c r="H258" i="8"/>
  <c r="K258" i="8" s="1"/>
  <c r="K257" i="8"/>
  <c r="I257" i="8"/>
  <c r="H257" i="8"/>
  <c r="M257" i="8" s="1"/>
  <c r="N257" i="8" s="1"/>
  <c r="O257" i="8" s="1"/>
  <c r="M256" i="8"/>
  <c r="N256" i="8" s="1"/>
  <c r="H256" i="8"/>
  <c r="K256" i="8" s="1"/>
  <c r="O255" i="8"/>
  <c r="K255" i="8"/>
  <c r="I255" i="8"/>
  <c r="H255" i="8"/>
  <c r="M255" i="8" s="1"/>
  <c r="N255" i="8" s="1"/>
  <c r="M254" i="8"/>
  <c r="H254" i="8"/>
  <c r="K254" i="8" s="1"/>
  <c r="K266" i="8" s="1"/>
  <c r="N252" i="8"/>
  <c r="M252" i="8"/>
  <c r="K252" i="8"/>
  <c r="M251" i="8"/>
  <c r="J251" i="8"/>
  <c r="M250" i="8"/>
  <c r="N250" i="8" s="1"/>
  <c r="O250" i="8" s="1"/>
  <c r="K250" i="8"/>
  <c r="I250" i="8"/>
  <c r="H250" i="8"/>
  <c r="H249" i="8"/>
  <c r="M248" i="8"/>
  <c r="K248" i="8"/>
  <c r="I248" i="8"/>
  <c r="H248" i="8"/>
  <c r="H247" i="8"/>
  <c r="M246" i="8"/>
  <c r="N246" i="8" s="1"/>
  <c r="O246" i="8" s="1"/>
  <c r="K246" i="8"/>
  <c r="I246" i="8"/>
  <c r="H246" i="8"/>
  <c r="H245" i="8"/>
  <c r="M244" i="8"/>
  <c r="K244" i="8"/>
  <c r="I244" i="8"/>
  <c r="H244" i="8"/>
  <c r="H243" i="8"/>
  <c r="M242" i="8"/>
  <c r="N242" i="8" s="1"/>
  <c r="O242" i="8" s="1"/>
  <c r="K242" i="8"/>
  <c r="I242" i="8"/>
  <c r="H242" i="8"/>
  <c r="M240" i="8"/>
  <c r="N240" i="8" s="1"/>
  <c r="K240" i="8"/>
  <c r="M239" i="8"/>
  <c r="J239" i="8"/>
  <c r="K238" i="8"/>
  <c r="I238" i="8"/>
  <c r="H238" i="8"/>
  <c r="M238" i="8" s="1"/>
  <c r="N238" i="8" s="1"/>
  <c r="O238" i="8" s="1"/>
  <c r="M237" i="8"/>
  <c r="N237" i="8" s="1"/>
  <c r="H237" i="8"/>
  <c r="K237" i="8" s="1"/>
  <c r="K236" i="8"/>
  <c r="I236" i="8"/>
  <c r="H236" i="8"/>
  <c r="M236" i="8" s="1"/>
  <c r="N236" i="8" s="1"/>
  <c r="O236" i="8" s="1"/>
  <c r="M235" i="8"/>
  <c r="H235" i="8"/>
  <c r="K235" i="8" s="1"/>
  <c r="K234" i="8"/>
  <c r="I234" i="8"/>
  <c r="H234" i="8"/>
  <c r="M234" i="8" s="1"/>
  <c r="N234" i="8" s="1"/>
  <c r="O234" i="8" s="1"/>
  <c r="M233" i="8"/>
  <c r="N233" i="8" s="1"/>
  <c r="H233" i="8"/>
  <c r="K233" i="8" s="1"/>
  <c r="K232" i="8"/>
  <c r="I232" i="8"/>
  <c r="H232" i="8"/>
  <c r="M232" i="8" s="1"/>
  <c r="N232" i="8" s="1"/>
  <c r="O232" i="8" s="1"/>
  <c r="M231" i="8"/>
  <c r="H231" i="8"/>
  <c r="K231" i="8" s="1"/>
  <c r="O230" i="8"/>
  <c r="K230" i="8"/>
  <c r="I230" i="8"/>
  <c r="H230" i="8"/>
  <c r="M230" i="8" s="1"/>
  <c r="N230" i="8" s="1"/>
  <c r="M229" i="8"/>
  <c r="N229" i="8" s="1"/>
  <c r="H229" i="8"/>
  <c r="K229" i="8" s="1"/>
  <c r="K228" i="8"/>
  <c r="I228" i="8"/>
  <c r="H228" i="8"/>
  <c r="M228" i="8" s="1"/>
  <c r="N228" i="8" s="1"/>
  <c r="O228" i="8" s="1"/>
  <c r="M227" i="8"/>
  <c r="H227" i="8"/>
  <c r="K227" i="8" s="1"/>
  <c r="O226" i="8"/>
  <c r="K226" i="8"/>
  <c r="I226" i="8"/>
  <c r="H226" i="8"/>
  <c r="M226" i="8" s="1"/>
  <c r="N226" i="8" s="1"/>
  <c r="M225" i="8"/>
  <c r="N225" i="8" s="1"/>
  <c r="H225" i="8"/>
  <c r="K225" i="8" s="1"/>
  <c r="K224" i="8"/>
  <c r="I224" i="8"/>
  <c r="H224" i="8"/>
  <c r="M224" i="8" s="1"/>
  <c r="N224" i="8" s="1"/>
  <c r="O224" i="8" s="1"/>
  <c r="M223" i="8"/>
  <c r="H223" i="8"/>
  <c r="K223" i="8" s="1"/>
  <c r="O222" i="8"/>
  <c r="K222" i="8"/>
  <c r="I222" i="8"/>
  <c r="H222" i="8"/>
  <c r="M222" i="8" s="1"/>
  <c r="N222" i="8" s="1"/>
  <c r="M221" i="8"/>
  <c r="N221" i="8" s="1"/>
  <c r="H221" i="8"/>
  <c r="K221" i="8" s="1"/>
  <c r="K220" i="8"/>
  <c r="I220" i="8"/>
  <c r="H220" i="8"/>
  <c r="M220" i="8" s="1"/>
  <c r="N220" i="8" s="1"/>
  <c r="O220" i="8" s="1"/>
  <c r="M219" i="8"/>
  <c r="H219" i="8"/>
  <c r="K219" i="8" s="1"/>
  <c r="O218" i="8"/>
  <c r="K218" i="8"/>
  <c r="I218" i="8"/>
  <c r="H218" i="8"/>
  <c r="M218" i="8" s="1"/>
  <c r="N218" i="8" s="1"/>
  <c r="M217" i="8"/>
  <c r="N217" i="8" s="1"/>
  <c r="H217" i="8"/>
  <c r="K217" i="8" s="1"/>
  <c r="K216" i="8"/>
  <c r="I216" i="8"/>
  <c r="H216" i="8"/>
  <c r="M216" i="8" s="1"/>
  <c r="N216" i="8" s="1"/>
  <c r="O216" i="8" s="1"/>
  <c r="M215" i="8"/>
  <c r="H215" i="8"/>
  <c r="K215" i="8" s="1"/>
  <c r="O214" i="8"/>
  <c r="K214" i="8"/>
  <c r="I214" i="8"/>
  <c r="H214" i="8"/>
  <c r="M214" i="8" s="1"/>
  <c r="N214" i="8" s="1"/>
  <c r="M213" i="8"/>
  <c r="H213" i="8"/>
  <c r="K212" i="8"/>
  <c r="I212" i="8"/>
  <c r="H212" i="8"/>
  <c r="M212" i="8" s="1"/>
  <c r="H211" i="8"/>
  <c r="K210" i="8"/>
  <c r="I210" i="8"/>
  <c r="H210" i="8"/>
  <c r="M210" i="8" s="1"/>
  <c r="N210" i="8" s="1"/>
  <c r="O210" i="8" s="1"/>
  <c r="H209" i="8"/>
  <c r="M209" i="8" s="1"/>
  <c r="H208" i="8"/>
  <c r="M208" i="8" s="1"/>
  <c r="H207" i="8"/>
  <c r="I207" i="8" s="1"/>
  <c r="K206" i="8"/>
  <c r="I206" i="8"/>
  <c r="H206" i="8"/>
  <c r="M206" i="8" s="1"/>
  <c r="N206" i="8" s="1"/>
  <c r="O206" i="8" s="1"/>
  <c r="M205" i="8"/>
  <c r="N205" i="8" s="1"/>
  <c r="O205" i="8" s="1"/>
  <c r="K205" i="8"/>
  <c r="H205" i="8"/>
  <c r="I205" i="8" s="1"/>
  <c r="K204" i="8"/>
  <c r="N204" i="8" s="1"/>
  <c r="O204" i="8" s="1"/>
  <c r="I204" i="8"/>
  <c r="H204" i="8"/>
  <c r="M204" i="8" s="1"/>
  <c r="M203" i="8"/>
  <c r="N203" i="8" s="1"/>
  <c r="O203" i="8" s="1"/>
  <c r="K203" i="8"/>
  <c r="H203" i="8"/>
  <c r="I203" i="8" s="1"/>
  <c r="H202" i="8"/>
  <c r="M202" i="8" s="1"/>
  <c r="K201" i="8"/>
  <c r="I201" i="8"/>
  <c r="H201" i="8"/>
  <c r="M201" i="8" s="1"/>
  <c r="N201" i="8" s="1"/>
  <c r="O201" i="8" s="1"/>
  <c r="M200" i="8"/>
  <c r="H200" i="8"/>
  <c r="K200" i="8" s="1"/>
  <c r="K199" i="8"/>
  <c r="I199" i="8"/>
  <c r="H199" i="8"/>
  <c r="M199" i="8" s="1"/>
  <c r="N199" i="8" s="1"/>
  <c r="O199" i="8" s="1"/>
  <c r="M198" i="8"/>
  <c r="H198" i="8"/>
  <c r="K198" i="8" s="1"/>
  <c r="K197" i="8"/>
  <c r="I197" i="8"/>
  <c r="H197" i="8"/>
  <c r="M197" i="8" s="1"/>
  <c r="N197" i="8" s="1"/>
  <c r="O197" i="8" s="1"/>
  <c r="M196" i="8"/>
  <c r="N196" i="8" s="1"/>
  <c r="H196" i="8"/>
  <c r="K196" i="8" s="1"/>
  <c r="O195" i="8"/>
  <c r="K195" i="8"/>
  <c r="I195" i="8"/>
  <c r="H195" i="8"/>
  <c r="M195" i="8" s="1"/>
  <c r="N195" i="8" s="1"/>
  <c r="M194" i="8"/>
  <c r="N194" i="8" s="1"/>
  <c r="H194" i="8"/>
  <c r="K194" i="8" s="1"/>
  <c r="K193" i="8"/>
  <c r="I193" i="8"/>
  <c r="H193" i="8"/>
  <c r="M193" i="8" s="1"/>
  <c r="N193" i="8" s="1"/>
  <c r="O193" i="8" s="1"/>
  <c r="H192" i="8"/>
  <c r="M192" i="8" s="1"/>
  <c r="K191" i="8"/>
  <c r="I191" i="8"/>
  <c r="H191" i="8"/>
  <c r="M191" i="8" s="1"/>
  <c r="N191" i="8" s="1"/>
  <c r="O191" i="8" s="1"/>
  <c r="M190" i="8"/>
  <c r="H190" i="8"/>
  <c r="K189" i="8"/>
  <c r="I189" i="8"/>
  <c r="H189" i="8"/>
  <c r="M189" i="8" s="1"/>
  <c r="M188" i="8"/>
  <c r="H188" i="8"/>
  <c r="K187" i="8"/>
  <c r="I187" i="8"/>
  <c r="H187" i="8"/>
  <c r="M187" i="8" s="1"/>
  <c r="M186" i="8"/>
  <c r="H186" i="8"/>
  <c r="K185" i="8"/>
  <c r="I185" i="8"/>
  <c r="H185" i="8"/>
  <c r="M185" i="8" s="1"/>
  <c r="N185" i="8" s="1"/>
  <c r="O185" i="8" s="1"/>
  <c r="H184" i="8"/>
  <c r="M184" i="8" s="1"/>
  <c r="K183" i="8"/>
  <c r="I183" i="8"/>
  <c r="H183" i="8"/>
  <c r="M183" i="8" s="1"/>
  <c r="N183" i="8" s="1"/>
  <c r="O183" i="8" s="1"/>
  <c r="M182" i="8"/>
  <c r="H182" i="8"/>
  <c r="K181" i="8"/>
  <c r="I181" i="8"/>
  <c r="H181" i="8"/>
  <c r="M181" i="8" s="1"/>
  <c r="M180" i="8"/>
  <c r="N180" i="8" s="1"/>
  <c r="K180" i="8"/>
  <c r="I180" i="8"/>
  <c r="H180" i="8"/>
  <c r="I179" i="8"/>
  <c r="H179" i="8"/>
  <c r="M176" i="8"/>
  <c r="J176" i="8"/>
  <c r="I175" i="8"/>
  <c r="H175" i="8"/>
  <c r="M174" i="8"/>
  <c r="K174" i="8"/>
  <c r="I174" i="8"/>
  <c r="H174" i="8"/>
  <c r="I173" i="8"/>
  <c r="H173" i="8"/>
  <c r="M172" i="8"/>
  <c r="K172" i="8"/>
  <c r="I172" i="8"/>
  <c r="H172" i="8"/>
  <c r="I171" i="8"/>
  <c r="H171" i="8"/>
  <c r="M170" i="8"/>
  <c r="K170" i="8"/>
  <c r="I170" i="8"/>
  <c r="H170" i="8"/>
  <c r="I169" i="8"/>
  <c r="H169" i="8"/>
  <c r="M168" i="8"/>
  <c r="K168" i="8"/>
  <c r="I168" i="8"/>
  <c r="H168" i="8"/>
  <c r="I167" i="8"/>
  <c r="H167" i="8"/>
  <c r="M166" i="8"/>
  <c r="K166" i="8"/>
  <c r="I166" i="8"/>
  <c r="H166" i="8"/>
  <c r="I165" i="8"/>
  <c r="H165" i="8"/>
  <c r="M164" i="8"/>
  <c r="K164" i="8"/>
  <c r="I164" i="8"/>
  <c r="H164" i="8"/>
  <c r="I163" i="8"/>
  <c r="H163" i="8"/>
  <c r="M162" i="8"/>
  <c r="K162" i="8"/>
  <c r="I162" i="8"/>
  <c r="H162" i="8"/>
  <c r="I161" i="8"/>
  <c r="H161" i="8"/>
  <c r="M160" i="8"/>
  <c r="K160" i="8"/>
  <c r="I160" i="8"/>
  <c r="H160" i="8"/>
  <c r="I159" i="8"/>
  <c r="H159" i="8"/>
  <c r="M158" i="8"/>
  <c r="K158" i="8"/>
  <c r="I158" i="8"/>
  <c r="H158" i="8"/>
  <c r="I157" i="8"/>
  <c r="H157" i="8"/>
  <c r="M156" i="8"/>
  <c r="K156" i="8"/>
  <c r="I156" i="8"/>
  <c r="H156" i="8"/>
  <c r="N155" i="8"/>
  <c r="M155" i="8"/>
  <c r="H155" i="8"/>
  <c r="K155" i="8" s="1"/>
  <c r="M154" i="8"/>
  <c r="N154" i="8" s="1"/>
  <c r="O154" i="8" s="1"/>
  <c r="K154" i="8"/>
  <c r="I154" i="8"/>
  <c r="H154" i="8"/>
  <c r="I153" i="8"/>
  <c r="H153" i="8"/>
  <c r="M152" i="8"/>
  <c r="K152" i="8"/>
  <c r="I152" i="8"/>
  <c r="H152" i="8"/>
  <c r="M151" i="8"/>
  <c r="H151" i="8"/>
  <c r="M150" i="8"/>
  <c r="K150" i="8"/>
  <c r="I150" i="8"/>
  <c r="H150" i="8"/>
  <c r="M149" i="8"/>
  <c r="H149" i="8"/>
  <c r="M148" i="8"/>
  <c r="K148" i="8"/>
  <c r="I148" i="8"/>
  <c r="H148" i="8"/>
  <c r="M147" i="8"/>
  <c r="H147" i="8"/>
  <c r="M146" i="8"/>
  <c r="K146" i="8"/>
  <c r="I146" i="8"/>
  <c r="H146" i="8"/>
  <c r="M145" i="8"/>
  <c r="H145" i="8"/>
  <c r="M144" i="8"/>
  <c r="K144" i="8"/>
  <c r="I144" i="8"/>
  <c r="H144" i="8"/>
  <c r="M143" i="8"/>
  <c r="H143" i="8"/>
  <c r="M142" i="8"/>
  <c r="K142" i="8"/>
  <c r="I142" i="8"/>
  <c r="H142" i="8"/>
  <c r="M141" i="8"/>
  <c r="K141" i="8"/>
  <c r="H141" i="8"/>
  <c r="I141" i="8" s="1"/>
  <c r="I140" i="8"/>
  <c r="H140" i="8"/>
  <c r="M139" i="8"/>
  <c r="K139" i="8"/>
  <c r="H139" i="8"/>
  <c r="I139" i="8" s="1"/>
  <c r="H138" i="8"/>
  <c r="I138" i="8" s="1"/>
  <c r="M137" i="8"/>
  <c r="N137" i="8" s="1"/>
  <c r="O137" i="8" s="1"/>
  <c r="K137" i="8"/>
  <c r="H137" i="8"/>
  <c r="I137" i="8" s="1"/>
  <c r="M136" i="8"/>
  <c r="H136" i="8"/>
  <c r="I135" i="8"/>
  <c r="H135" i="8"/>
  <c r="M134" i="8"/>
  <c r="K134" i="8"/>
  <c r="H134" i="8"/>
  <c r="I134" i="8" s="1"/>
  <c r="H133" i="8"/>
  <c r="I133" i="8" s="1"/>
  <c r="M132" i="8"/>
  <c r="N132" i="8" s="1"/>
  <c r="O132" i="8" s="1"/>
  <c r="K132" i="8"/>
  <c r="H132" i="8"/>
  <c r="I132" i="8" s="1"/>
  <c r="H131" i="8"/>
  <c r="M130" i="8"/>
  <c r="N130" i="8" s="1"/>
  <c r="O130" i="8" s="1"/>
  <c r="K130" i="8"/>
  <c r="H130" i="8"/>
  <c r="I130" i="8" s="1"/>
  <c r="I129" i="8"/>
  <c r="H129" i="8"/>
  <c r="M126" i="8"/>
  <c r="J126" i="8"/>
  <c r="I125" i="8"/>
  <c r="H125" i="8"/>
  <c r="M124" i="8"/>
  <c r="K124" i="8"/>
  <c r="H124" i="8"/>
  <c r="I124" i="8" s="1"/>
  <c r="H123" i="8"/>
  <c r="I123" i="8" s="1"/>
  <c r="M122" i="8"/>
  <c r="N122" i="8" s="1"/>
  <c r="O122" i="8" s="1"/>
  <c r="K122" i="8"/>
  <c r="H122" i="8"/>
  <c r="I122" i="8" s="1"/>
  <c r="H121" i="8"/>
  <c r="M120" i="8"/>
  <c r="K120" i="8"/>
  <c r="N119" i="8"/>
  <c r="M119" i="8"/>
  <c r="K119" i="8"/>
  <c r="M118" i="8"/>
  <c r="J118" i="8"/>
  <c r="M117" i="8"/>
  <c r="K117" i="8"/>
  <c r="K118" i="8" s="1"/>
  <c r="N118" i="8" s="1"/>
  <c r="H117" i="8"/>
  <c r="I117" i="8" s="1"/>
  <c r="I118" i="8" s="1"/>
  <c r="N116" i="8"/>
  <c r="M116" i="8"/>
  <c r="K116" i="8"/>
  <c r="M115" i="8"/>
  <c r="K115" i="8"/>
  <c r="M114" i="8"/>
  <c r="J113" i="8"/>
  <c r="K113" i="8" s="1"/>
  <c r="I113" i="8"/>
  <c r="H113" i="8"/>
  <c r="M113" i="8" s="1"/>
  <c r="N113" i="8" s="1"/>
  <c r="O113" i="8" s="1"/>
  <c r="J112" i="8"/>
  <c r="I112" i="8"/>
  <c r="H112" i="8"/>
  <c r="M112" i="8" s="1"/>
  <c r="J111" i="8"/>
  <c r="H111" i="8"/>
  <c r="I111" i="8" s="1"/>
  <c r="J110" i="8"/>
  <c r="K110" i="8" s="1"/>
  <c r="H110" i="8"/>
  <c r="I110" i="8" s="1"/>
  <c r="J109" i="8"/>
  <c r="K109" i="8" s="1"/>
  <c r="I109" i="8"/>
  <c r="H109" i="8"/>
  <c r="M109" i="8" s="1"/>
  <c r="N109" i="8" s="1"/>
  <c r="O109" i="8" s="1"/>
  <c r="M108" i="8"/>
  <c r="N108" i="8" s="1"/>
  <c r="O108" i="8" s="1"/>
  <c r="J108" i="8"/>
  <c r="K108" i="8" s="1"/>
  <c r="I108" i="8"/>
  <c r="H108" i="8"/>
  <c r="M107" i="8"/>
  <c r="N107" i="8" s="1"/>
  <c r="O107" i="8" s="1"/>
  <c r="K107" i="8"/>
  <c r="J107" i="8"/>
  <c r="H107" i="8"/>
  <c r="I107" i="8" s="1"/>
  <c r="K106" i="8"/>
  <c r="J106" i="8"/>
  <c r="H106" i="8"/>
  <c r="I106" i="8" s="1"/>
  <c r="J105" i="8"/>
  <c r="K105" i="8" s="1"/>
  <c r="I105" i="8"/>
  <c r="H105" i="8"/>
  <c r="M105" i="8" s="1"/>
  <c r="N105" i="8" s="1"/>
  <c r="O105" i="8" s="1"/>
  <c r="J104" i="8"/>
  <c r="I104" i="8"/>
  <c r="H104" i="8"/>
  <c r="M104" i="8" s="1"/>
  <c r="J103" i="8"/>
  <c r="H103" i="8"/>
  <c r="I103" i="8" s="1"/>
  <c r="J102" i="8"/>
  <c r="K102" i="8" s="1"/>
  <c r="H102" i="8"/>
  <c r="I102" i="8" s="1"/>
  <c r="J101" i="8"/>
  <c r="K101" i="8" s="1"/>
  <c r="I101" i="8"/>
  <c r="H101" i="8"/>
  <c r="M101" i="8" s="1"/>
  <c r="N101" i="8" s="1"/>
  <c r="O101" i="8" s="1"/>
  <c r="M100" i="8"/>
  <c r="J100" i="8"/>
  <c r="I100" i="8"/>
  <c r="H100" i="8"/>
  <c r="J96" i="8"/>
  <c r="K96" i="8" s="1"/>
  <c r="I96" i="8"/>
  <c r="H96" i="8"/>
  <c r="M96" i="8" s="1"/>
  <c r="N96" i="8" s="1"/>
  <c r="O96" i="8" s="1"/>
  <c r="M95" i="8"/>
  <c r="N95" i="8" s="1"/>
  <c r="O95" i="8" s="1"/>
  <c r="J95" i="8"/>
  <c r="K95" i="8" s="1"/>
  <c r="I95" i="8"/>
  <c r="H95" i="8"/>
  <c r="L94" i="8"/>
  <c r="J94" i="8"/>
  <c r="H94" i="8"/>
  <c r="M94" i="8" s="1"/>
  <c r="J93" i="8"/>
  <c r="H93" i="8"/>
  <c r="I93" i="8" s="1"/>
  <c r="L92" i="8"/>
  <c r="J92" i="8"/>
  <c r="J97" i="8" s="1"/>
  <c r="H92" i="8"/>
  <c r="I92" i="8" s="1"/>
  <c r="J88" i="8"/>
  <c r="H88" i="8"/>
  <c r="I88" i="8" s="1"/>
  <c r="K87" i="8"/>
  <c r="J87" i="8"/>
  <c r="H87" i="8"/>
  <c r="I87" i="8" s="1"/>
  <c r="K86" i="8"/>
  <c r="J86" i="8"/>
  <c r="I86" i="8"/>
  <c r="H86" i="8"/>
  <c r="M86" i="8" s="1"/>
  <c r="N86" i="8" s="1"/>
  <c r="O86" i="8" s="1"/>
  <c r="J85" i="8"/>
  <c r="K85" i="8" s="1"/>
  <c r="I85" i="8"/>
  <c r="H85" i="8"/>
  <c r="M85" i="8" s="1"/>
  <c r="J84" i="8"/>
  <c r="I84" i="8"/>
  <c r="H84" i="8"/>
  <c r="M84" i="8" s="1"/>
  <c r="J83" i="8"/>
  <c r="H83" i="8"/>
  <c r="M83" i="8" s="1"/>
  <c r="L82" i="8"/>
  <c r="M82" i="8" s="1"/>
  <c r="N82" i="8" s="1"/>
  <c r="J82" i="8"/>
  <c r="H82" i="8"/>
  <c r="K82" i="8" s="1"/>
  <c r="K81" i="8"/>
  <c r="J81" i="8"/>
  <c r="I81" i="8"/>
  <c r="H81" i="8"/>
  <c r="M81" i="8" s="1"/>
  <c r="N81" i="8" s="1"/>
  <c r="O81" i="8" s="1"/>
  <c r="J80" i="8"/>
  <c r="J89" i="8" s="1"/>
  <c r="I80" i="8"/>
  <c r="H80" i="8"/>
  <c r="M80" i="8" s="1"/>
  <c r="K76" i="8"/>
  <c r="J76" i="8"/>
  <c r="I76" i="8"/>
  <c r="H76" i="8"/>
  <c r="M76" i="8" s="1"/>
  <c r="N76" i="8" s="1"/>
  <c r="O76" i="8" s="1"/>
  <c r="J75" i="8"/>
  <c r="K75" i="8" s="1"/>
  <c r="I75" i="8"/>
  <c r="H75" i="8"/>
  <c r="M75" i="8" s="1"/>
  <c r="N75" i="8" s="1"/>
  <c r="O75" i="8" s="1"/>
  <c r="J74" i="8"/>
  <c r="I74" i="8"/>
  <c r="H74" i="8"/>
  <c r="M74" i="8" s="1"/>
  <c r="J73" i="8"/>
  <c r="H73" i="8"/>
  <c r="M73" i="8" s="1"/>
  <c r="K72" i="8"/>
  <c r="J72" i="8"/>
  <c r="I72" i="8"/>
  <c r="H72" i="8"/>
  <c r="M72" i="8" s="1"/>
  <c r="N72" i="8" s="1"/>
  <c r="O72" i="8" s="1"/>
  <c r="J71" i="8"/>
  <c r="K71" i="8" s="1"/>
  <c r="I71" i="8"/>
  <c r="H71" i="8"/>
  <c r="M71" i="8" s="1"/>
  <c r="N71" i="8" s="1"/>
  <c r="O71" i="8" s="1"/>
  <c r="J70" i="8"/>
  <c r="H70" i="8"/>
  <c r="M70" i="8" s="1"/>
  <c r="N70" i="8" s="1"/>
  <c r="K69" i="8"/>
  <c r="J69" i="8"/>
  <c r="I69" i="8"/>
  <c r="H69" i="8"/>
  <c r="M69" i="8" s="1"/>
  <c r="N69" i="8" s="1"/>
  <c r="O69" i="8" s="1"/>
  <c r="J68" i="8"/>
  <c r="K68" i="8" s="1"/>
  <c r="I68" i="8"/>
  <c r="H68" i="8"/>
  <c r="M68" i="8" s="1"/>
  <c r="J67" i="8"/>
  <c r="J77" i="8" s="1"/>
  <c r="I67" i="8"/>
  <c r="H67" i="8"/>
  <c r="M67" i="8" s="1"/>
  <c r="I63" i="8"/>
  <c r="H63" i="8"/>
  <c r="M63" i="8" s="1"/>
  <c r="M62" i="8"/>
  <c r="N62" i="8" s="1"/>
  <c r="O62" i="8" s="1"/>
  <c r="K62" i="8"/>
  <c r="I62" i="8"/>
  <c r="H62" i="8"/>
  <c r="I61" i="8"/>
  <c r="H61" i="8"/>
  <c r="M61" i="8" s="1"/>
  <c r="G60" i="8"/>
  <c r="H60" i="8" s="1"/>
  <c r="E60" i="8"/>
  <c r="D60" i="8"/>
  <c r="C60" i="8"/>
  <c r="H59" i="8"/>
  <c r="I59" i="8" s="1"/>
  <c r="G59" i="8"/>
  <c r="E59" i="8"/>
  <c r="D59" i="8"/>
  <c r="C59" i="8"/>
  <c r="K58" i="8"/>
  <c r="J58" i="8"/>
  <c r="H58" i="8"/>
  <c r="M58" i="8" s="1"/>
  <c r="N58" i="8" s="1"/>
  <c r="K56" i="8"/>
  <c r="I56" i="8"/>
  <c r="H56" i="8"/>
  <c r="M56" i="8" s="1"/>
  <c r="N56" i="8" s="1"/>
  <c r="O56" i="8" s="1"/>
  <c r="J55" i="8"/>
  <c r="H55" i="8"/>
  <c r="I55" i="8" s="1"/>
  <c r="K54" i="8"/>
  <c r="J54" i="8"/>
  <c r="H54" i="8"/>
  <c r="M54" i="8" s="1"/>
  <c r="N54" i="8" s="1"/>
  <c r="J53" i="8"/>
  <c r="K53" i="8" s="1"/>
  <c r="I53" i="8"/>
  <c r="H53" i="8"/>
  <c r="M53" i="8" s="1"/>
  <c r="N53" i="8" s="1"/>
  <c r="O53" i="8" s="1"/>
  <c r="J52" i="8"/>
  <c r="K52" i="8" s="1"/>
  <c r="I52" i="8"/>
  <c r="H52" i="8"/>
  <c r="M52" i="8" s="1"/>
  <c r="J51" i="8"/>
  <c r="H51" i="8"/>
  <c r="I51" i="8" s="1"/>
  <c r="K50" i="8"/>
  <c r="J50" i="8"/>
  <c r="H50" i="8"/>
  <c r="M50" i="8" s="1"/>
  <c r="N50" i="8" s="1"/>
  <c r="J49" i="8"/>
  <c r="K49" i="8" s="1"/>
  <c r="I49" i="8"/>
  <c r="H49" i="8"/>
  <c r="M49" i="8" s="1"/>
  <c r="J48" i="8"/>
  <c r="K48" i="8" s="1"/>
  <c r="I48" i="8"/>
  <c r="H48" i="8"/>
  <c r="M48" i="8" s="1"/>
  <c r="J47" i="8"/>
  <c r="H47" i="8"/>
  <c r="I47" i="8" s="1"/>
  <c r="K46" i="8"/>
  <c r="J46" i="8"/>
  <c r="J64" i="8" s="1"/>
  <c r="H46" i="8"/>
  <c r="M46" i="8" s="1"/>
  <c r="M42" i="8"/>
  <c r="H42" i="8"/>
  <c r="K42" i="8" s="1"/>
  <c r="J41" i="8"/>
  <c r="K41" i="8" s="1"/>
  <c r="I41" i="8"/>
  <c r="H41" i="8"/>
  <c r="M41" i="8" s="1"/>
  <c r="N41" i="8" s="1"/>
  <c r="O41" i="8" s="1"/>
  <c r="J40" i="8"/>
  <c r="J43" i="8" s="1"/>
  <c r="I40" i="8"/>
  <c r="H40" i="8"/>
  <c r="M40" i="8" s="1"/>
  <c r="J39" i="8"/>
  <c r="H39" i="8"/>
  <c r="I39" i="8" s="1"/>
  <c r="I35" i="8"/>
  <c r="H35" i="8"/>
  <c r="M35" i="8" s="1"/>
  <c r="M34" i="8"/>
  <c r="N34" i="8" s="1"/>
  <c r="O34" i="8" s="1"/>
  <c r="K34" i="8"/>
  <c r="J34" i="8"/>
  <c r="H34" i="8"/>
  <c r="I34" i="8" s="1"/>
  <c r="J33" i="8"/>
  <c r="K33" i="8" s="1"/>
  <c r="I33" i="8"/>
  <c r="H33" i="8"/>
  <c r="M33" i="8" s="1"/>
  <c r="J32" i="8"/>
  <c r="K32" i="8" s="1"/>
  <c r="I32" i="8"/>
  <c r="H32" i="8"/>
  <c r="M32" i="8" s="1"/>
  <c r="N32" i="8" s="1"/>
  <c r="O32" i="8" s="1"/>
  <c r="J31" i="8"/>
  <c r="H31" i="8"/>
  <c r="I31" i="8" s="1"/>
  <c r="K30" i="8"/>
  <c r="J30" i="8"/>
  <c r="H30" i="8"/>
  <c r="M30" i="8" s="1"/>
  <c r="N30" i="8" s="1"/>
  <c r="J29" i="8"/>
  <c r="K29" i="8" s="1"/>
  <c r="I29" i="8"/>
  <c r="H29" i="8"/>
  <c r="M29" i="8" s="1"/>
  <c r="N29" i="8" s="1"/>
  <c r="O29" i="8" s="1"/>
  <c r="J28" i="8"/>
  <c r="K28" i="8" s="1"/>
  <c r="I28" i="8"/>
  <c r="H28" i="8"/>
  <c r="M28" i="8" s="1"/>
  <c r="N28" i="8" s="1"/>
  <c r="O28" i="8" s="1"/>
  <c r="J27" i="8"/>
  <c r="J36" i="8" s="1"/>
  <c r="H27" i="8"/>
  <c r="I27" i="8" s="1"/>
  <c r="H22" i="8"/>
  <c r="M22" i="8" s="1"/>
  <c r="M21" i="8"/>
  <c r="N21" i="8" s="1"/>
  <c r="O21" i="8" s="1"/>
  <c r="K21" i="8"/>
  <c r="H21" i="8"/>
  <c r="I21" i="8" s="1"/>
  <c r="T20" i="8"/>
  <c r="K20" i="8"/>
  <c r="I20" i="8"/>
  <c r="H20" i="8"/>
  <c r="M20" i="8" s="1"/>
  <c r="N20" i="8" s="1"/>
  <c r="O20" i="8" s="1"/>
  <c r="J19" i="8"/>
  <c r="K19" i="8" s="1"/>
  <c r="H19" i="8"/>
  <c r="I19" i="8" s="1"/>
  <c r="K18" i="8"/>
  <c r="J18" i="8"/>
  <c r="H18" i="8"/>
  <c r="M18" i="8" s="1"/>
  <c r="N18" i="8" s="1"/>
  <c r="J17" i="8"/>
  <c r="K17" i="8" s="1"/>
  <c r="H17" i="8"/>
  <c r="I17" i="8" s="1"/>
  <c r="K15" i="8"/>
  <c r="L14" i="8"/>
  <c r="J13" i="8"/>
  <c r="G13" i="8"/>
  <c r="H13" i="8" s="1"/>
  <c r="J12" i="8"/>
  <c r="G12" i="8"/>
  <c r="H12" i="8" s="1"/>
  <c r="J11" i="8"/>
  <c r="G11" i="8"/>
  <c r="H11" i="8" s="1"/>
  <c r="J10" i="8"/>
  <c r="J14" i="8" s="1"/>
  <c r="G10" i="8"/>
  <c r="H10" i="8" s="1"/>
  <c r="J7" i="8"/>
  <c r="V6" i="8"/>
  <c r="I11" i="8" l="1"/>
  <c r="M11" i="8"/>
  <c r="N11" i="8" s="1"/>
  <c r="O11" i="8" s="1"/>
  <c r="K11" i="8"/>
  <c r="I10" i="8"/>
  <c r="M10" i="8"/>
  <c r="I12" i="8"/>
  <c r="M12" i="8"/>
  <c r="O18" i="8"/>
  <c r="N22" i="8"/>
  <c r="O22" i="8" s="1"/>
  <c r="N46" i="8"/>
  <c r="N49" i="8"/>
  <c r="O49" i="8" s="1"/>
  <c r="N52" i="8"/>
  <c r="O52" i="8" s="1"/>
  <c r="N63" i="8"/>
  <c r="O63" i="8" s="1"/>
  <c r="O70" i="8"/>
  <c r="N85" i="8"/>
  <c r="O85" i="8" s="1"/>
  <c r="I13" i="8"/>
  <c r="M13" i="8"/>
  <c r="N74" i="8"/>
  <c r="O74" i="8" s="1"/>
  <c r="N83" i="8"/>
  <c r="O83" i="8" s="1"/>
  <c r="K12" i="8"/>
  <c r="N33" i="8"/>
  <c r="O33" i="8" s="1"/>
  <c r="N48" i="8"/>
  <c r="O48" i="8" s="1"/>
  <c r="M60" i="8"/>
  <c r="K60" i="8"/>
  <c r="I60" i="8"/>
  <c r="N68" i="8"/>
  <c r="O68" i="8" s="1"/>
  <c r="I24" i="8"/>
  <c r="I43" i="8"/>
  <c r="O58" i="8"/>
  <c r="M77" i="8"/>
  <c r="O82" i="8"/>
  <c r="N100" i="8"/>
  <c r="O100" i="8" s="1"/>
  <c r="N143" i="8"/>
  <c r="N147" i="8"/>
  <c r="K13" i="8"/>
  <c r="N42" i="8"/>
  <c r="O42" i="8" s="1"/>
  <c r="O118" i="8"/>
  <c r="I22" i="8"/>
  <c r="K10" i="8"/>
  <c r="M17" i="8"/>
  <c r="I18" i="8"/>
  <c r="K22" i="8"/>
  <c r="K24" i="8" s="1"/>
  <c r="I30" i="8"/>
  <c r="O30" i="8" s="1"/>
  <c r="K35" i="8"/>
  <c r="N35" i="8" s="1"/>
  <c r="O35" i="8" s="1"/>
  <c r="K40" i="8"/>
  <c r="N40" i="8" s="1"/>
  <c r="O40" i="8" s="1"/>
  <c r="I42" i="8"/>
  <c r="I46" i="8"/>
  <c r="I64" i="8" s="1"/>
  <c r="I50" i="8"/>
  <c r="O50" i="8" s="1"/>
  <c r="I54" i="8"/>
  <c r="O54" i="8" s="1"/>
  <c r="I58" i="8"/>
  <c r="K59" i="8"/>
  <c r="K61" i="8"/>
  <c r="N61" i="8" s="1"/>
  <c r="O61" i="8" s="1"/>
  <c r="K63" i="8"/>
  <c r="I70" i="8"/>
  <c r="I73" i="8"/>
  <c r="I77" i="8" s="1"/>
  <c r="K80" i="8"/>
  <c r="I82" i="8"/>
  <c r="I83" i="8"/>
  <c r="K92" i="8"/>
  <c r="I94" i="8"/>
  <c r="K103" i="8"/>
  <c r="K104" i="8"/>
  <c r="N104" i="8" s="1"/>
  <c r="O104" i="8" s="1"/>
  <c r="K111" i="8"/>
  <c r="K112" i="8"/>
  <c r="N112" i="8" s="1"/>
  <c r="O112" i="8" s="1"/>
  <c r="M121" i="8"/>
  <c r="N121" i="8" s="1"/>
  <c r="K121" i="8"/>
  <c r="M131" i="8"/>
  <c r="N131" i="8" s="1"/>
  <c r="O131" i="8" s="1"/>
  <c r="K131" i="8"/>
  <c r="N141" i="8"/>
  <c r="N142" i="8"/>
  <c r="O142" i="8" s="1"/>
  <c r="N144" i="8"/>
  <c r="O144" i="8" s="1"/>
  <c r="N146" i="8"/>
  <c r="O146" i="8" s="1"/>
  <c r="N148" i="8"/>
  <c r="O148" i="8" s="1"/>
  <c r="N150" i="8"/>
  <c r="O150" i="8" s="1"/>
  <c r="N184" i="8"/>
  <c r="O184" i="8" s="1"/>
  <c r="J24" i="8"/>
  <c r="K27" i="8"/>
  <c r="K31" i="8"/>
  <c r="K39" i="8"/>
  <c r="K43" i="8" s="1"/>
  <c r="K47" i="8"/>
  <c r="K64" i="8" s="1"/>
  <c r="K51" i="8"/>
  <c r="K55" i="8"/>
  <c r="M59" i="8"/>
  <c r="N59" i="8" s="1"/>
  <c r="O59" i="8" s="1"/>
  <c r="K67" i="8"/>
  <c r="K74" i="8"/>
  <c r="K84" i="8"/>
  <c r="N84" i="8" s="1"/>
  <c r="O84" i="8" s="1"/>
  <c r="K88" i="8"/>
  <c r="M92" i="8"/>
  <c r="K93" i="8"/>
  <c r="K94" i="8"/>
  <c r="N94" i="8" s="1"/>
  <c r="O94" i="8" s="1"/>
  <c r="I114" i="8"/>
  <c r="M103" i="8"/>
  <c r="N103" i="8" s="1"/>
  <c r="O103" i="8" s="1"/>
  <c r="M111" i="8"/>
  <c r="N117" i="8"/>
  <c r="O117" i="8" s="1"/>
  <c r="I121" i="8"/>
  <c r="I126" i="8" s="1"/>
  <c r="N124" i="8"/>
  <c r="O124" i="8" s="1"/>
  <c r="M129" i="8"/>
  <c r="K129" i="8"/>
  <c r="I131" i="8"/>
  <c r="N134" i="8"/>
  <c r="O134" i="8" s="1"/>
  <c r="K136" i="8"/>
  <c r="N136" i="8" s="1"/>
  <c r="I136" i="8"/>
  <c r="I176" i="8" s="1"/>
  <c r="N139" i="8"/>
  <c r="O139" i="8" s="1"/>
  <c r="K153" i="8"/>
  <c r="M153" i="8"/>
  <c r="N153" i="8" s="1"/>
  <c r="O153" i="8" s="1"/>
  <c r="N186" i="8"/>
  <c r="O186" i="8" s="1"/>
  <c r="M19" i="8"/>
  <c r="N19" i="8" s="1"/>
  <c r="O19" i="8" s="1"/>
  <c r="M27" i="8"/>
  <c r="M31" i="8"/>
  <c r="N31" i="8" s="1"/>
  <c r="O31" i="8" s="1"/>
  <c r="M39" i="8"/>
  <c r="M47" i="8"/>
  <c r="N47" i="8" s="1"/>
  <c r="O47" i="8" s="1"/>
  <c r="M51" i="8"/>
  <c r="N51" i="8" s="1"/>
  <c r="O51" i="8" s="1"/>
  <c r="M55" i="8"/>
  <c r="N55" i="8" s="1"/>
  <c r="O55" i="8" s="1"/>
  <c r="K73" i="8"/>
  <c r="N73" i="8" s="1"/>
  <c r="O73" i="8" s="1"/>
  <c r="I89" i="8"/>
  <c r="K83" i="8"/>
  <c r="M88" i="8"/>
  <c r="N88" i="8" s="1"/>
  <c r="I97" i="8"/>
  <c r="M93" i="8"/>
  <c r="N93" i="8" s="1"/>
  <c r="O93" i="8" s="1"/>
  <c r="J114" i="8"/>
  <c r="M125" i="8"/>
  <c r="K125" i="8"/>
  <c r="M135" i="8"/>
  <c r="K135" i="8"/>
  <c r="M140" i="8"/>
  <c r="N140" i="8" s="1"/>
  <c r="O140" i="8" s="1"/>
  <c r="K140" i="8"/>
  <c r="K143" i="8"/>
  <c r="I143" i="8"/>
  <c r="K145" i="8"/>
  <c r="N145" i="8" s="1"/>
  <c r="O145" i="8" s="1"/>
  <c r="I145" i="8"/>
  <c r="K147" i="8"/>
  <c r="I147" i="8"/>
  <c r="K149" i="8"/>
  <c r="N149" i="8" s="1"/>
  <c r="O149" i="8" s="1"/>
  <c r="I149" i="8"/>
  <c r="K151" i="8"/>
  <c r="N151" i="8" s="1"/>
  <c r="O151" i="8" s="1"/>
  <c r="I151" i="8"/>
  <c r="N115" i="8"/>
  <c r="N120" i="8"/>
  <c r="M123" i="8"/>
  <c r="K123" i="8"/>
  <c r="M133" i="8"/>
  <c r="N133" i="8" s="1"/>
  <c r="O133" i="8" s="1"/>
  <c r="K133" i="8"/>
  <c r="M138" i="8"/>
  <c r="K138" i="8"/>
  <c r="M87" i="8"/>
  <c r="N87" i="8" s="1"/>
  <c r="O87" i="8" s="1"/>
  <c r="M102" i="8"/>
  <c r="N102" i="8" s="1"/>
  <c r="O102" i="8" s="1"/>
  <c r="M106" i="8"/>
  <c r="N106" i="8" s="1"/>
  <c r="O106" i="8" s="1"/>
  <c r="M110" i="8"/>
  <c r="N110" i="8" s="1"/>
  <c r="O110" i="8" s="1"/>
  <c r="N152" i="8"/>
  <c r="O152" i="8" s="1"/>
  <c r="N156" i="8"/>
  <c r="O156" i="8" s="1"/>
  <c r="N158" i="8"/>
  <c r="O158" i="8" s="1"/>
  <c r="N160" i="8"/>
  <c r="O160" i="8" s="1"/>
  <c r="N162" i="8"/>
  <c r="O162" i="8" s="1"/>
  <c r="N164" i="8"/>
  <c r="O164" i="8" s="1"/>
  <c r="N166" i="8"/>
  <c r="O166" i="8" s="1"/>
  <c r="N168" i="8"/>
  <c r="O168" i="8" s="1"/>
  <c r="N170" i="8"/>
  <c r="O170" i="8" s="1"/>
  <c r="N172" i="8"/>
  <c r="O172" i="8" s="1"/>
  <c r="N174" i="8"/>
  <c r="O174" i="8" s="1"/>
  <c r="M179" i="8"/>
  <c r="N179" i="8" s="1"/>
  <c r="O179" i="8" s="1"/>
  <c r="K179" i="8"/>
  <c r="N181" i="8"/>
  <c r="O181" i="8" s="1"/>
  <c r="K182" i="8"/>
  <c r="N182" i="8" s="1"/>
  <c r="O182" i="8" s="1"/>
  <c r="I182" i="8"/>
  <c r="N189" i="8"/>
  <c r="O189" i="8" s="1"/>
  <c r="K190" i="8"/>
  <c r="N190" i="8" s="1"/>
  <c r="I190" i="8"/>
  <c r="N200" i="8"/>
  <c r="K100" i="8"/>
  <c r="I155" i="8"/>
  <c r="O155" i="8" s="1"/>
  <c r="M157" i="8"/>
  <c r="N157" i="8" s="1"/>
  <c r="O157" i="8" s="1"/>
  <c r="K157" i="8"/>
  <c r="M159" i="8"/>
  <c r="K159" i="8"/>
  <c r="M161" i="8"/>
  <c r="N161" i="8" s="1"/>
  <c r="O161" i="8" s="1"/>
  <c r="K161" i="8"/>
  <c r="M163" i="8"/>
  <c r="K163" i="8"/>
  <c r="M165" i="8"/>
  <c r="N165" i="8" s="1"/>
  <c r="O165" i="8" s="1"/>
  <c r="K165" i="8"/>
  <c r="M167" i="8"/>
  <c r="K167" i="8"/>
  <c r="M169" i="8"/>
  <c r="N169" i="8" s="1"/>
  <c r="O169" i="8" s="1"/>
  <c r="K169" i="8"/>
  <c r="M171" i="8"/>
  <c r="K171" i="8"/>
  <c r="M173" i="8"/>
  <c r="N173" i="8" s="1"/>
  <c r="O173" i="8" s="1"/>
  <c r="K173" i="8"/>
  <c r="M175" i="8"/>
  <c r="K175" i="8"/>
  <c r="N187" i="8"/>
  <c r="O187" i="8" s="1"/>
  <c r="K188" i="8"/>
  <c r="N188" i="8" s="1"/>
  <c r="I188" i="8"/>
  <c r="O196" i="8"/>
  <c r="K186" i="8"/>
  <c r="I186" i="8"/>
  <c r="N208" i="8"/>
  <c r="K184" i="8"/>
  <c r="I184" i="8"/>
  <c r="K192" i="8"/>
  <c r="N192" i="8" s="1"/>
  <c r="O192" i="8" s="1"/>
  <c r="I192" i="8"/>
  <c r="I239" i="8" s="1"/>
  <c r="N198" i="8"/>
  <c r="N209" i="8"/>
  <c r="O209" i="8" s="1"/>
  <c r="I194" i="8"/>
  <c r="O194" i="8" s="1"/>
  <c r="I196" i="8"/>
  <c r="I198" i="8"/>
  <c r="I200" i="8"/>
  <c r="I202" i="8"/>
  <c r="M207" i="8"/>
  <c r="K208" i="8"/>
  <c r="N215" i="8"/>
  <c r="O215" i="8" s="1"/>
  <c r="N219" i="8"/>
  <c r="N223" i="8"/>
  <c r="N227" i="8"/>
  <c r="N231" i="8"/>
  <c r="O231" i="8" s="1"/>
  <c r="N235" i="8"/>
  <c r="N244" i="8"/>
  <c r="O244" i="8" s="1"/>
  <c r="N248" i="8"/>
  <c r="O248" i="8" s="1"/>
  <c r="K202" i="8"/>
  <c r="N202" i="8" s="1"/>
  <c r="O202" i="8" s="1"/>
  <c r="N212" i="8"/>
  <c r="O212" i="8" s="1"/>
  <c r="K213" i="8"/>
  <c r="I213" i="8"/>
  <c r="M245" i="8"/>
  <c r="K245" i="8"/>
  <c r="I245" i="8"/>
  <c r="M249" i="8"/>
  <c r="N249" i="8" s="1"/>
  <c r="O249" i="8" s="1"/>
  <c r="K249" i="8"/>
  <c r="I249" i="8"/>
  <c r="O260" i="8"/>
  <c r="K211" i="8"/>
  <c r="I211" i="8"/>
  <c r="N213" i="8"/>
  <c r="O213" i="8" s="1"/>
  <c r="O229" i="8"/>
  <c r="K207" i="8"/>
  <c r="I208" i="8"/>
  <c r="K209" i="8"/>
  <c r="I209" i="8"/>
  <c r="M211" i="8"/>
  <c r="N211" i="8" s="1"/>
  <c r="O211" i="8" s="1"/>
  <c r="M243" i="8"/>
  <c r="N243" i="8" s="1"/>
  <c r="O243" i="8" s="1"/>
  <c r="K243" i="8"/>
  <c r="I243" i="8"/>
  <c r="M247" i="8"/>
  <c r="N247" i="8" s="1"/>
  <c r="O247" i="8" s="1"/>
  <c r="K247" i="8"/>
  <c r="K251" i="8" s="1"/>
  <c r="N251" i="8" s="1"/>
  <c r="I247" i="8"/>
  <c r="M266" i="8"/>
  <c r="N254" i="8"/>
  <c r="O254" i="8" s="1"/>
  <c r="I215" i="8"/>
  <c r="I217" i="8"/>
  <c r="O217" i="8" s="1"/>
  <c r="I219" i="8"/>
  <c r="I221" i="8"/>
  <c r="O221" i="8" s="1"/>
  <c r="I223" i="8"/>
  <c r="I225" i="8"/>
  <c r="O225" i="8" s="1"/>
  <c r="I227" i="8"/>
  <c r="I229" i="8"/>
  <c r="I231" i="8"/>
  <c r="I233" i="8"/>
  <c r="O233" i="8" s="1"/>
  <c r="I235" i="8"/>
  <c r="I237" i="8"/>
  <c r="O237" i="8" s="1"/>
  <c r="I254" i="8"/>
  <c r="I256" i="8"/>
  <c r="O256" i="8" s="1"/>
  <c r="I258" i="8"/>
  <c r="O258" i="8" s="1"/>
  <c r="I260" i="8"/>
  <c r="I262" i="8"/>
  <c r="O262" i="8" s="1"/>
  <c r="I264" i="8"/>
  <c r="O264" i="8" s="1"/>
  <c r="O251" i="8" l="1"/>
  <c r="I266" i="8"/>
  <c r="I251" i="8"/>
  <c r="O227" i="8"/>
  <c r="O198" i="8"/>
  <c r="O188" i="8"/>
  <c r="N175" i="8"/>
  <c r="O175" i="8" s="1"/>
  <c r="N171" i="8"/>
  <c r="O171" i="8" s="1"/>
  <c r="N167" i="8"/>
  <c r="O167" i="8" s="1"/>
  <c r="N163" i="8"/>
  <c r="O163" i="8" s="1"/>
  <c r="N159" i="8"/>
  <c r="O159" i="8" s="1"/>
  <c r="K114" i="8"/>
  <c r="N114" i="8" s="1"/>
  <c r="O114" i="8" s="1"/>
  <c r="K239" i="8"/>
  <c r="N239" i="8" s="1"/>
  <c r="O239" i="8" s="1"/>
  <c r="N138" i="8"/>
  <c r="O138" i="8" s="1"/>
  <c r="N123" i="8"/>
  <c r="O123" i="8" s="1"/>
  <c r="N135" i="8"/>
  <c r="M36" i="8"/>
  <c r="N36" i="8" s="1"/>
  <c r="O36" i="8" s="1"/>
  <c r="N27" i="8"/>
  <c r="O27" i="8" s="1"/>
  <c r="N111" i="8"/>
  <c r="O111" i="8" s="1"/>
  <c r="K36" i="8"/>
  <c r="K126" i="8"/>
  <c r="N126" i="8" s="1"/>
  <c r="O126" i="8" s="1"/>
  <c r="N77" i="8"/>
  <c r="O77" i="8" s="1"/>
  <c r="N60" i="8"/>
  <c r="O60" i="8" s="1"/>
  <c r="I36" i="8"/>
  <c r="N12" i="8"/>
  <c r="O12" i="8" s="1"/>
  <c r="N245" i="8"/>
  <c r="O245" i="8" s="1"/>
  <c r="O223" i="8"/>
  <c r="N207" i="8"/>
  <c r="O207" i="8" s="1"/>
  <c r="O200" i="8"/>
  <c r="N92" i="8"/>
  <c r="O92" i="8" s="1"/>
  <c r="M97" i="8"/>
  <c r="K77" i="8"/>
  <c r="O121" i="8"/>
  <c r="N67" i="8"/>
  <c r="O67" i="8" s="1"/>
  <c r="N13" i="8"/>
  <c r="O13" i="8" s="1"/>
  <c r="O235" i="8"/>
  <c r="O219" i="8"/>
  <c r="N39" i="8"/>
  <c r="O39" i="8" s="1"/>
  <c r="M43" i="8"/>
  <c r="N43" i="8" s="1"/>
  <c r="O43" i="8" s="1"/>
  <c r="K176" i="8"/>
  <c r="N176" i="8" s="1"/>
  <c r="O176" i="8" s="1"/>
  <c r="K89" i="8"/>
  <c r="M24" i="8"/>
  <c r="N17" i="8"/>
  <c r="O147" i="8"/>
  <c r="N80" i="8"/>
  <c r="O80" i="8" s="1"/>
  <c r="O46" i="8"/>
  <c r="N10" i="8"/>
  <c r="M14" i="8"/>
  <c r="N14" i="8" s="1"/>
  <c r="O208" i="8"/>
  <c r="O190" i="8"/>
  <c r="N125" i="8"/>
  <c r="O125" i="8" s="1"/>
  <c r="N129" i="8"/>
  <c r="O129" i="8" s="1"/>
  <c r="K97" i="8"/>
  <c r="K14" i="8"/>
  <c r="K268" i="8" s="1"/>
  <c r="O143" i="8"/>
  <c r="M89" i="8"/>
  <c r="N89" i="8" s="1"/>
  <c r="O89" i="8" s="1"/>
  <c r="M64" i="8"/>
  <c r="N64" i="8" s="1"/>
  <c r="O64" i="8" s="1"/>
  <c r="I14" i="8"/>
  <c r="I268" i="8" s="1"/>
  <c r="O10" i="8" l="1"/>
  <c r="O14" i="8"/>
  <c r="M268" i="8"/>
  <c r="M270" i="8" s="1"/>
  <c r="O17" i="8"/>
  <c r="N24" i="8"/>
  <c r="O24" i="8" s="1"/>
  <c r="N97" i="8"/>
  <c r="O97" i="8" s="1"/>
  <c r="N268" i="8" l="1"/>
  <c r="O268" i="8" s="1"/>
  <c r="E81" i="2" l="1"/>
  <c r="G40" i="2"/>
  <c r="B99" i="2"/>
  <c r="C99" i="2"/>
  <c r="B100" i="2"/>
  <c r="B101" i="2"/>
  <c r="C101" i="2"/>
  <c r="B102" i="2"/>
  <c r="C102" i="2"/>
  <c r="B103" i="2"/>
  <c r="C103" i="2"/>
  <c r="B104" i="2"/>
  <c r="C104" i="2"/>
  <c r="B105" i="2"/>
  <c r="C105" i="2"/>
  <c r="B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K76" i="1" l="1"/>
  <c r="K77" i="1"/>
  <c r="K78" i="1"/>
  <c r="K79" i="1"/>
  <c r="K75" i="1"/>
  <c r="K247" i="1"/>
  <c r="K248" i="1"/>
  <c r="K246" i="1"/>
  <c r="K239" i="1"/>
  <c r="K238" i="1"/>
  <c r="K228" i="1"/>
  <c r="K229" i="1"/>
  <c r="K230" i="1"/>
  <c r="K231" i="1"/>
  <c r="K232" i="1"/>
  <c r="K233" i="1"/>
  <c r="K234" i="1"/>
  <c r="K235" i="1"/>
  <c r="K227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165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16" i="1"/>
  <c r="K110" i="1"/>
  <c r="K111" i="1"/>
  <c r="K112" i="1"/>
  <c r="K113" i="1"/>
  <c r="K109" i="1"/>
  <c r="K105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89" i="1"/>
  <c r="K85" i="1"/>
  <c r="K84" i="1"/>
  <c r="K82" i="1"/>
  <c r="K69" i="1"/>
  <c r="K65" i="1"/>
  <c r="K66" i="1"/>
  <c r="K67" i="1"/>
  <c r="K64" i="1"/>
  <c r="K61" i="1"/>
  <c r="K62" i="1"/>
  <c r="K60" i="1"/>
  <c r="K53" i="1"/>
  <c r="K54" i="1"/>
  <c r="K55" i="1"/>
  <c r="K52" i="1"/>
  <c r="K41" i="1"/>
  <c r="K42" i="1"/>
  <c r="K43" i="1"/>
  <c r="K44" i="1"/>
  <c r="K45" i="1"/>
  <c r="K46" i="1"/>
  <c r="K47" i="1"/>
  <c r="K48" i="1"/>
  <c r="K49" i="1"/>
  <c r="K50" i="1"/>
  <c r="K40" i="1"/>
  <c r="K24" i="1"/>
  <c r="K25" i="1"/>
  <c r="K26" i="1"/>
  <c r="K27" i="1"/>
  <c r="K28" i="1"/>
  <c r="K29" i="1"/>
  <c r="K30" i="1"/>
  <c r="K31" i="1"/>
  <c r="K23" i="1"/>
  <c r="K16" i="1"/>
  <c r="K17" i="1"/>
  <c r="K18" i="1"/>
  <c r="K19" i="1"/>
  <c r="K20" i="1"/>
  <c r="K15" i="1"/>
  <c r="K57" i="1"/>
  <c r="K56" i="1"/>
  <c r="F44" i="1" l="1"/>
  <c r="F43" i="1"/>
  <c r="A48" i="2"/>
  <c r="B48" i="2"/>
  <c r="C48" i="2"/>
  <c r="E233" i="2"/>
  <c r="K245" i="1" s="1"/>
  <c r="E232" i="2"/>
  <c r="K244" i="1" s="1"/>
  <c r="E231" i="2"/>
  <c r="K243" i="1" s="1"/>
  <c r="E230" i="2"/>
  <c r="K242" i="1" s="1"/>
  <c r="E229" i="2"/>
  <c r="K241" i="1" s="1"/>
  <c r="E228" i="2"/>
  <c r="K240" i="1" s="1"/>
  <c r="A236" i="2"/>
  <c r="B236" i="2"/>
  <c r="C236" i="2"/>
  <c r="A232" i="2"/>
  <c r="B232" i="2"/>
  <c r="C232" i="2"/>
  <c r="A233" i="2"/>
  <c r="B233" i="2"/>
  <c r="C233" i="2"/>
  <c r="A234" i="2"/>
  <c r="B234" i="2"/>
  <c r="C234" i="2"/>
  <c r="A235" i="2"/>
  <c r="B235" i="2"/>
  <c r="C235" i="2"/>
  <c r="A228" i="2"/>
  <c r="B228" i="2"/>
  <c r="C228" i="2"/>
  <c r="A229" i="2"/>
  <c r="B229" i="2"/>
  <c r="C229" i="2"/>
  <c r="A230" i="2"/>
  <c r="B230" i="2"/>
  <c r="C230" i="2"/>
  <c r="A231" i="2"/>
  <c r="B231" i="2"/>
  <c r="C231" i="2"/>
  <c r="E78" i="2"/>
  <c r="E70" i="2"/>
  <c r="E69" i="2"/>
  <c r="E68" i="2"/>
  <c r="K68" i="1"/>
  <c r="A51" i="2" l="1"/>
  <c r="B51" i="2"/>
  <c r="A52" i="2"/>
  <c r="B52" i="2"/>
  <c r="C52" i="2"/>
  <c r="A53" i="2"/>
  <c r="B53" i="2"/>
  <c r="C53" i="2"/>
  <c r="A54" i="2"/>
  <c r="B54" i="2"/>
  <c r="C54" i="2"/>
  <c r="A55" i="2"/>
  <c r="B55" i="2"/>
  <c r="C55" i="2"/>
  <c r="K37" i="1"/>
  <c r="E36" i="2"/>
  <c r="A36" i="2"/>
  <c r="B36" i="2"/>
  <c r="C36" i="2"/>
  <c r="A31" i="2"/>
  <c r="K74" i="1" l="1"/>
  <c r="L240" i="1" l="1"/>
  <c r="M240" i="1"/>
  <c r="N240" i="1"/>
  <c r="L241" i="1"/>
  <c r="M241" i="1"/>
  <c r="N241" i="1"/>
  <c r="O241" i="1" s="1"/>
  <c r="P241" i="1" s="1"/>
  <c r="L242" i="1"/>
  <c r="M242" i="1"/>
  <c r="N242" i="1"/>
  <c r="O242" i="1" s="1"/>
  <c r="L243" i="1"/>
  <c r="M243" i="1"/>
  <c r="N243" i="1"/>
  <c r="O243" i="1"/>
  <c r="L244" i="1"/>
  <c r="M244" i="1"/>
  <c r="N244" i="1"/>
  <c r="O244" i="1"/>
  <c r="L245" i="1"/>
  <c r="M245" i="1"/>
  <c r="N245" i="1"/>
  <c r="O245" i="1" s="1"/>
  <c r="L246" i="1"/>
  <c r="M246" i="1"/>
  <c r="N246" i="1"/>
  <c r="L247" i="1"/>
  <c r="M247" i="1"/>
  <c r="N247" i="1"/>
  <c r="O247" i="1" s="1"/>
  <c r="P247" i="1" s="1"/>
  <c r="L248" i="1"/>
  <c r="M248" i="1"/>
  <c r="N248" i="1"/>
  <c r="O248" i="1"/>
  <c r="P248" i="1" s="1"/>
  <c r="I240" i="1"/>
  <c r="I241" i="1"/>
  <c r="I242" i="1"/>
  <c r="I243" i="1"/>
  <c r="I244" i="1"/>
  <c r="I245" i="1"/>
  <c r="I246" i="1"/>
  <c r="I247" i="1"/>
  <c r="I248" i="1"/>
  <c r="M53" i="1"/>
  <c r="N53" i="1"/>
  <c r="M54" i="1"/>
  <c r="N54" i="1"/>
  <c r="M55" i="1"/>
  <c r="N55" i="1"/>
  <c r="M56" i="1"/>
  <c r="N56" i="1"/>
  <c r="M57" i="1"/>
  <c r="N57" i="1"/>
  <c r="L53" i="1"/>
  <c r="L54" i="1"/>
  <c r="L55" i="1"/>
  <c r="L56" i="1"/>
  <c r="L57" i="1"/>
  <c r="I53" i="1"/>
  <c r="I54" i="1"/>
  <c r="I55" i="1"/>
  <c r="I56" i="1"/>
  <c r="I57" i="1"/>
  <c r="E53" i="1"/>
  <c r="C51" i="2" s="1"/>
  <c r="D53" i="1"/>
  <c r="M50" i="1"/>
  <c r="N50" i="1"/>
  <c r="L37" i="1"/>
  <c r="L30" i="1"/>
  <c r="L31" i="1"/>
  <c r="L50" i="1"/>
  <c r="I50" i="1"/>
  <c r="F46" i="1"/>
  <c r="F45" i="1"/>
  <c r="F42" i="1"/>
  <c r="F40" i="1"/>
  <c r="N37" i="1"/>
  <c r="M37" i="1"/>
  <c r="I37" i="1"/>
  <c r="N31" i="1"/>
  <c r="M31" i="1"/>
  <c r="I31" i="1"/>
  <c r="F30" i="1"/>
  <c r="F29" i="1"/>
  <c r="F28" i="1"/>
  <c r="F26" i="1"/>
  <c r="F24" i="1"/>
  <c r="F23" i="1"/>
  <c r="M18" i="1"/>
  <c r="M19" i="1"/>
  <c r="M20" i="1"/>
  <c r="I18" i="1"/>
  <c r="I19" i="1"/>
  <c r="I20" i="1"/>
  <c r="N18" i="1"/>
  <c r="O18" i="1" s="1"/>
  <c r="P18" i="1" s="1"/>
  <c r="N19" i="1"/>
  <c r="O19" i="1" s="1"/>
  <c r="P19" i="1" s="1"/>
  <c r="L20" i="1"/>
  <c r="F16" i="1"/>
  <c r="F15" i="1"/>
  <c r="P244" i="1" l="1"/>
  <c r="P243" i="1"/>
  <c r="P242" i="1"/>
  <c r="P245" i="1"/>
  <c r="O37" i="1"/>
  <c r="P37" i="1" s="1"/>
  <c r="O54" i="1"/>
  <c r="P54" i="1" s="1"/>
  <c r="O246" i="1"/>
  <c r="P246" i="1" s="1"/>
  <c r="O240" i="1"/>
  <c r="P240" i="1" s="1"/>
  <c r="O56" i="1"/>
  <c r="P56" i="1" s="1"/>
  <c r="O57" i="1"/>
  <c r="P57" i="1" s="1"/>
  <c r="O55" i="1"/>
  <c r="P55" i="1" s="1"/>
  <c r="O53" i="1"/>
  <c r="P53" i="1" s="1"/>
  <c r="O50" i="1"/>
  <c r="P50" i="1" s="1"/>
  <c r="O31" i="1"/>
  <c r="L18" i="1"/>
  <c r="P31" i="1"/>
  <c r="N20" i="1"/>
  <c r="O20" i="1" s="1"/>
  <c r="L19" i="1"/>
  <c r="K34" i="1"/>
  <c r="K35" i="1"/>
  <c r="L35" i="1" s="1"/>
  <c r="K36" i="1"/>
  <c r="L36" i="1" s="1"/>
  <c r="L75" i="1" l="1"/>
  <c r="L76" i="1"/>
  <c r="L77" i="1"/>
  <c r="L78" i="1"/>
  <c r="L79" i="1"/>
  <c r="W155" i="6" l="1"/>
  <c r="S155" i="6"/>
  <c r="W154" i="6"/>
  <c r="S154" i="6"/>
  <c r="W153" i="6"/>
  <c r="S153" i="6"/>
  <c r="W152" i="6"/>
  <c r="Z152" i="6" s="1"/>
  <c r="Z151" i="6"/>
  <c r="W151" i="6"/>
  <c r="W150" i="6"/>
  <c r="S150" i="6"/>
  <c r="W149" i="6"/>
  <c r="Z149" i="6" s="1"/>
  <c r="S149" i="6"/>
  <c r="W148" i="6"/>
  <c r="S148" i="6"/>
  <c r="W147" i="6"/>
  <c r="S147" i="6"/>
  <c r="W146" i="6"/>
  <c r="S146" i="6"/>
  <c r="W145" i="6"/>
  <c r="Z145" i="6" s="1"/>
  <c r="W144" i="6"/>
  <c r="S144" i="6"/>
  <c r="W143" i="6"/>
  <c r="S143" i="6"/>
  <c r="W142" i="6"/>
  <c r="S142" i="6"/>
  <c r="W141" i="6"/>
  <c r="Z141" i="6" s="1"/>
  <c r="W140" i="6"/>
  <c r="Z140" i="6" s="1"/>
  <c r="W139" i="6"/>
  <c r="Z139" i="6" s="1"/>
  <c r="S139" i="6"/>
  <c r="W138" i="6"/>
  <c r="Z138" i="6" s="1"/>
  <c r="W137" i="6"/>
  <c r="Z137" i="6" s="1"/>
  <c r="W136" i="6"/>
  <c r="S136" i="6"/>
  <c r="W135" i="6"/>
  <c r="Z135" i="6" s="1"/>
  <c r="W134" i="6"/>
  <c r="Z134" i="6" s="1"/>
  <c r="W133" i="6"/>
  <c r="Z133" i="6" s="1"/>
  <c r="W132" i="6"/>
  <c r="Z132" i="6" s="1"/>
  <c r="W131" i="6"/>
  <c r="Z131" i="6" s="1"/>
  <c r="W130" i="6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 s="1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Z130" i="6" l="1"/>
  <c r="Z154" i="6"/>
  <c r="Z146" i="6"/>
  <c r="Z148" i="6"/>
  <c r="Z136" i="6"/>
  <c r="Z143" i="6"/>
  <c r="Z155" i="6"/>
  <c r="Z142" i="6"/>
  <c r="Z144" i="6"/>
  <c r="Z150" i="6"/>
  <c r="Z147" i="6"/>
  <c r="Z153" i="6"/>
  <c r="AC42" i="6"/>
  <c r="S39" i="6"/>
  <c r="S36" i="6"/>
  <c r="Z36" i="6" s="1"/>
  <c r="S35" i="6"/>
  <c r="Z35" i="6" s="1"/>
  <c r="S34" i="6"/>
  <c r="Z34" i="6" s="1"/>
  <c r="S33" i="6"/>
  <c r="S32" i="6"/>
  <c r="Z32" i="6" s="1"/>
  <c r="S30" i="6"/>
  <c r="Z30" i="6" s="1"/>
  <c r="S29" i="6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29" i="6"/>
  <c r="Z31" i="6"/>
  <c r="Z33" i="6"/>
  <c r="Z37" i="6"/>
  <c r="Z38" i="6"/>
  <c r="Z39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Z406" i="5" s="1"/>
  <c r="S406" i="5"/>
  <c r="W405" i="5"/>
  <c r="S405" i="5"/>
  <c r="Z405" i="5" s="1"/>
  <c r="W404" i="5"/>
  <c r="Z404" i="5" s="1"/>
  <c r="S404" i="5"/>
  <c r="W403" i="5"/>
  <c r="Z403" i="5" s="1"/>
  <c r="S403" i="5"/>
  <c r="W402" i="5"/>
  <c r="S402" i="5"/>
  <c r="W401" i="5"/>
  <c r="S401" i="5"/>
  <c r="W400" i="5"/>
  <c r="S400" i="5"/>
  <c r="Z399" i="5"/>
  <c r="W399" i="5"/>
  <c r="S399" i="5"/>
  <c r="Z315" i="5"/>
  <c r="Z319" i="5"/>
  <c r="Z323" i="5"/>
  <c r="Z327" i="5"/>
  <c r="Z331" i="5"/>
  <c r="Z335" i="5"/>
  <c r="Z339" i="5"/>
  <c r="Z343" i="5"/>
  <c r="Z347" i="5"/>
  <c r="Z351" i="5"/>
  <c r="Z355" i="5"/>
  <c r="Z358" i="5"/>
  <c r="Z359" i="5"/>
  <c r="Z363" i="5"/>
  <c r="Z367" i="5"/>
  <c r="Z371" i="5"/>
  <c r="Z375" i="5"/>
  <c r="Z379" i="5"/>
  <c r="Z383" i="5"/>
  <c r="Z387" i="5"/>
  <c r="Z391" i="5"/>
  <c r="Z395" i="5"/>
  <c r="S312" i="5"/>
  <c r="S311" i="5"/>
  <c r="Z311" i="5" s="1"/>
  <c r="S310" i="5"/>
  <c r="S309" i="5"/>
  <c r="S308" i="5"/>
  <c r="S307" i="5"/>
  <c r="Z307" i="5" s="1"/>
  <c r="S306" i="5"/>
  <c r="S305" i="5"/>
  <c r="W305" i="5"/>
  <c r="Z305" i="5" s="1"/>
  <c r="W397" i="5"/>
  <c r="Z397" i="5" s="1"/>
  <c r="W396" i="5"/>
  <c r="Z396" i="5" s="1"/>
  <c r="W395" i="5"/>
  <c r="W394" i="5"/>
  <c r="Z394" i="5" s="1"/>
  <c r="W393" i="5"/>
  <c r="Z393" i="5" s="1"/>
  <c r="W392" i="5"/>
  <c r="Z392" i="5" s="1"/>
  <c r="W391" i="5"/>
  <c r="W390" i="5"/>
  <c r="Z390" i="5" s="1"/>
  <c r="W389" i="5"/>
  <c r="Z389" i="5" s="1"/>
  <c r="W388" i="5"/>
  <c r="Z388" i="5" s="1"/>
  <c r="W387" i="5"/>
  <c r="W386" i="5"/>
  <c r="Z386" i="5" s="1"/>
  <c r="W385" i="5"/>
  <c r="Z385" i="5" s="1"/>
  <c r="W384" i="5"/>
  <c r="Z384" i="5" s="1"/>
  <c r="W383" i="5"/>
  <c r="W382" i="5"/>
  <c r="Z382" i="5" s="1"/>
  <c r="W381" i="5"/>
  <c r="Z381" i="5" s="1"/>
  <c r="W380" i="5"/>
  <c r="Z380" i="5" s="1"/>
  <c r="W379" i="5"/>
  <c r="W378" i="5"/>
  <c r="Z378" i="5" s="1"/>
  <c r="W377" i="5"/>
  <c r="Z377" i="5" s="1"/>
  <c r="W376" i="5"/>
  <c r="Z376" i="5" s="1"/>
  <c r="W375" i="5"/>
  <c r="W374" i="5"/>
  <c r="Z374" i="5" s="1"/>
  <c r="W373" i="5"/>
  <c r="Z373" i="5" s="1"/>
  <c r="W372" i="5"/>
  <c r="Z372" i="5" s="1"/>
  <c r="W371" i="5"/>
  <c r="W370" i="5"/>
  <c r="Z370" i="5" s="1"/>
  <c r="W369" i="5"/>
  <c r="Z369" i="5" s="1"/>
  <c r="W368" i="5"/>
  <c r="Z368" i="5" s="1"/>
  <c r="W367" i="5"/>
  <c r="W366" i="5"/>
  <c r="Z366" i="5" s="1"/>
  <c r="W365" i="5"/>
  <c r="Z365" i="5" s="1"/>
  <c r="W364" i="5"/>
  <c r="Z364" i="5" s="1"/>
  <c r="W363" i="5"/>
  <c r="W362" i="5"/>
  <c r="Z362" i="5" s="1"/>
  <c r="W361" i="5"/>
  <c r="Z361" i="5" s="1"/>
  <c r="W360" i="5"/>
  <c r="Z360" i="5" s="1"/>
  <c r="W359" i="5"/>
  <c r="W358" i="5"/>
  <c r="W357" i="5"/>
  <c r="Z357" i="5" s="1"/>
  <c r="W356" i="5"/>
  <c r="Z356" i="5" s="1"/>
  <c r="W355" i="5"/>
  <c r="W354" i="5"/>
  <c r="Z354" i="5" s="1"/>
  <c r="W353" i="5"/>
  <c r="Z353" i="5" s="1"/>
  <c r="W352" i="5"/>
  <c r="Z352" i="5" s="1"/>
  <c r="W351" i="5"/>
  <c r="W350" i="5"/>
  <c r="Z350" i="5" s="1"/>
  <c r="W349" i="5"/>
  <c r="Z349" i="5" s="1"/>
  <c r="W348" i="5"/>
  <c r="Z348" i="5" s="1"/>
  <c r="W347" i="5"/>
  <c r="W346" i="5"/>
  <c r="Z346" i="5" s="1"/>
  <c r="W345" i="5"/>
  <c r="Z345" i="5" s="1"/>
  <c r="W344" i="5"/>
  <c r="Z344" i="5" s="1"/>
  <c r="W343" i="5"/>
  <c r="W342" i="5"/>
  <c r="Z342" i="5" s="1"/>
  <c r="W341" i="5"/>
  <c r="Z341" i="5" s="1"/>
  <c r="W340" i="5"/>
  <c r="Z340" i="5" s="1"/>
  <c r="W339" i="5"/>
  <c r="W338" i="5"/>
  <c r="Z338" i="5" s="1"/>
  <c r="W337" i="5"/>
  <c r="Z337" i="5" s="1"/>
  <c r="W336" i="5"/>
  <c r="Z336" i="5" s="1"/>
  <c r="W335" i="5"/>
  <c r="W334" i="5"/>
  <c r="Z334" i="5" s="1"/>
  <c r="W333" i="5"/>
  <c r="Z333" i="5" s="1"/>
  <c r="W332" i="5"/>
  <c r="Z332" i="5" s="1"/>
  <c r="W331" i="5"/>
  <c r="W330" i="5"/>
  <c r="Z330" i="5" s="1"/>
  <c r="W329" i="5"/>
  <c r="Z329" i="5" s="1"/>
  <c r="W328" i="5"/>
  <c r="Z328" i="5" s="1"/>
  <c r="W327" i="5"/>
  <c r="W326" i="5"/>
  <c r="Z326" i="5" s="1"/>
  <c r="W325" i="5"/>
  <c r="Z325" i="5" s="1"/>
  <c r="W324" i="5"/>
  <c r="Z324" i="5" s="1"/>
  <c r="W323" i="5"/>
  <c r="W322" i="5"/>
  <c r="Z322" i="5" s="1"/>
  <c r="W321" i="5"/>
  <c r="Z321" i="5" s="1"/>
  <c r="W320" i="5"/>
  <c r="Z320" i="5" s="1"/>
  <c r="W319" i="5"/>
  <c r="W318" i="5"/>
  <c r="Z318" i="5" s="1"/>
  <c r="W317" i="5"/>
  <c r="Z317" i="5" s="1"/>
  <c r="W316" i="5"/>
  <c r="Z316" i="5" s="1"/>
  <c r="W315" i="5"/>
  <c r="W314" i="5"/>
  <c r="Z314" i="5" s="1"/>
  <c r="W313" i="5"/>
  <c r="Z313" i="5" s="1"/>
  <c r="W312" i="5"/>
  <c r="Z312" i="5" s="1"/>
  <c r="W311" i="5"/>
  <c r="W310" i="5"/>
  <c r="Z310" i="5" s="1"/>
  <c r="W309" i="5"/>
  <c r="Z309" i="5" s="1"/>
  <c r="W308" i="5"/>
  <c r="Z308" i="5" s="1"/>
  <c r="W307" i="5"/>
  <c r="W306" i="5"/>
  <c r="Z306" i="5" s="1"/>
  <c r="Z221" i="5"/>
  <c r="Z225" i="5"/>
  <c r="Z229" i="5"/>
  <c r="Z233" i="5"/>
  <c r="Z253" i="5"/>
  <c r="Z257" i="5"/>
  <c r="Z261" i="5"/>
  <c r="Z287" i="5"/>
  <c r="K303" i="5"/>
  <c r="W303" i="5" s="1"/>
  <c r="Z303" i="5" s="1"/>
  <c r="K302" i="5"/>
  <c r="W302" i="5" s="1"/>
  <c r="Z302" i="5" s="1"/>
  <c r="K301" i="5"/>
  <c r="K300" i="5"/>
  <c r="W300" i="5" s="1"/>
  <c r="Z300" i="5" s="1"/>
  <c r="K299" i="5"/>
  <c r="W299" i="5" s="1"/>
  <c r="Z299" i="5" s="1"/>
  <c r="K298" i="5"/>
  <c r="W298" i="5" s="1"/>
  <c r="Z298" i="5" s="1"/>
  <c r="K296" i="5"/>
  <c r="K295" i="5"/>
  <c r="W295" i="5" s="1"/>
  <c r="Z295" i="5" s="1"/>
  <c r="K294" i="5"/>
  <c r="W294" i="5" s="1"/>
  <c r="Z294" i="5" s="1"/>
  <c r="K293" i="5"/>
  <c r="K297" i="5"/>
  <c r="K292" i="5"/>
  <c r="W292" i="5" s="1"/>
  <c r="Z292" i="5" s="1"/>
  <c r="K291" i="5"/>
  <c r="W291" i="5" s="1"/>
  <c r="Z291" i="5" s="1"/>
  <c r="K290" i="5"/>
  <c r="W290" i="5" s="1"/>
  <c r="Z290" i="5" s="1"/>
  <c r="K289" i="5"/>
  <c r="K288" i="5"/>
  <c r="K285" i="5"/>
  <c r="W285" i="5" s="1"/>
  <c r="Z285" i="5" s="1"/>
  <c r="K286" i="5"/>
  <c r="W286" i="5" s="1"/>
  <c r="Z286" i="5" s="1"/>
  <c r="K287" i="5"/>
  <c r="K284" i="5"/>
  <c r="K283" i="5"/>
  <c r="W283" i="5" s="1"/>
  <c r="Z283" i="5" s="1"/>
  <c r="K282" i="5"/>
  <c r="W282" i="5" s="1"/>
  <c r="Z282" i="5" s="1"/>
  <c r="K281" i="5"/>
  <c r="K280" i="5"/>
  <c r="W280" i="5" s="1"/>
  <c r="Z280" i="5" s="1"/>
  <c r="K279" i="5"/>
  <c r="W279" i="5" s="1"/>
  <c r="Z279" i="5" s="1"/>
  <c r="K278" i="5"/>
  <c r="W278" i="5" s="1"/>
  <c r="Z278" i="5" s="1"/>
  <c r="K277" i="5"/>
  <c r="K276" i="5"/>
  <c r="K275" i="5"/>
  <c r="W275" i="5" s="1"/>
  <c r="Z275" i="5" s="1"/>
  <c r="K274" i="5"/>
  <c r="W274" i="5" s="1"/>
  <c r="Z274" i="5" s="1"/>
  <c r="K273" i="5"/>
  <c r="K272" i="5"/>
  <c r="W272" i="5" s="1"/>
  <c r="Z272" i="5" s="1"/>
  <c r="K271" i="5"/>
  <c r="W271" i="5" s="1"/>
  <c r="Z271" i="5" s="1"/>
  <c r="K270" i="5"/>
  <c r="W270" i="5" s="1"/>
  <c r="Z270" i="5" s="1"/>
  <c r="K269" i="5"/>
  <c r="K268" i="5"/>
  <c r="K267" i="5"/>
  <c r="W267" i="5" s="1"/>
  <c r="Z267" i="5" s="1"/>
  <c r="K266" i="5"/>
  <c r="W266" i="5" s="1"/>
  <c r="Z266" i="5" s="1"/>
  <c r="K265" i="5"/>
  <c r="K264" i="5"/>
  <c r="W264" i="5" s="1"/>
  <c r="Z264" i="5" s="1"/>
  <c r="K263" i="5"/>
  <c r="W263" i="5" s="1"/>
  <c r="Z263" i="5" s="1"/>
  <c r="K262" i="5"/>
  <c r="W262" i="5" s="1"/>
  <c r="Z262" i="5" s="1"/>
  <c r="K261" i="5"/>
  <c r="W261" i="5" s="1"/>
  <c r="K260" i="5"/>
  <c r="W260" i="5" s="1"/>
  <c r="Z260" i="5" s="1"/>
  <c r="K259" i="5"/>
  <c r="W259" i="5" s="1"/>
  <c r="Z259" i="5" s="1"/>
  <c r="K258" i="5"/>
  <c r="K257" i="5"/>
  <c r="K256" i="5"/>
  <c r="W256" i="5" s="1"/>
  <c r="Z256" i="5" s="1"/>
  <c r="K255" i="5"/>
  <c r="W255" i="5" s="1"/>
  <c r="Z255" i="5" s="1"/>
  <c r="K254" i="5"/>
  <c r="K253" i="5"/>
  <c r="K252" i="5"/>
  <c r="W252" i="5" s="1"/>
  <c r="Z252" i="5" s="1"/>
  <c r="K251" i="5"/>
  <c r="W251" i="5" s="1"/>
  <c r="Z251" i="5" s="1"/>
  <c r="K234" i="5"/>
  <c r="K235" i="5"/>
  <c r="K236" i="5"/>
  <c r="W236" i="5" s="1"/>
  <c r="Z236" i="5" s="1"/>
  <c r="K237" i="5"/>
  <c r="W237" i="5" s="1"/>
  <c r="Z237" i="5" s="1"/>
  <c r="K238" i="5"/>
  <c r="K239" i="5"/>
  <c r="K240" i="5"/>
  <c r="K241" i="5"/>
  <c r="W241" i="5" s="1"/>
  <c r="Z241" i="5" s="1"/>
  <c r="K242" i="5"/>
  <c r="K243" i="5"/>
  <c r="K244" i="5"/>
  <c r="K245" i="5"/>
  <c r="W245" i="5" s="1"/>
  <c r="Z245" i="5" s="1"/>
  <c r="K246" i="5"/>
  <c r="K247" i="5"/>
  <c r="K248" i="5"/>
  <c r="W248" i="5" s="1"/>
  <c r="Z248" i="5" s="1"/>
  <c r="K249" i="5"/>
  <c r="W249" i="5" s="1"/>
  <c r="Z249" i="5" s="1"/>
  <c r="K250" i="5"/>
  <c r="K233" i="5"/>
  <c r="K232" i="5"/>
  <c r="W232" i="5" s="1"/>
  <c r="Z232" i="5" s="1"/>
  <c r="K231" i="5"/>
  <c r="W231" i="5" s="1"/>
  <c r="Z231" i="5" s="1"/>
  <c r="K230" i="5"/>
  <c r="K229" i="5"/>
  <c r="K228" i="5"/>
  <c r="W228" i="5" s="1"/>
  <c r="Z228" i="5" s="1"/>
  <c r="K227" i="5"/>
  <c r="W227" i="5" s="1"/>
  <c r="Z227" i="5" s="1"/>
  <c r="K226" i="5"/>
  <c r="K225" i="5"/>
  <c r="K224" i="5"/>
  <c r="W224" i="5" s="1"/>
  <c r="Z224" i="5" s="1"/>
  <c r="K223" i="5"/>
  <c r="W223" i="5" s="1"/>
  <c r="Z223" i="5" s="1"/>
  <c r="K222" i="5"/>
  <c r="K221" i="5"/>
  <c r="K220" i="5"/>
  <c r="W220" i="5" s="1"/>
  <c r="Z220" i="5" s="1"/>
  <c r="K219" i="5"/>
  <c r="W219" i="5" s="1"/>
  <c r="Z219" i="5" s="1"/>
  <c r="K218" i="5"/>
  <c r="W218" i="5" s="1"/>
  <c r="Z218" i="5" s="1"/>
  <c r="K217" i="5"/>
  <c r="K216" i="5"/>
  <c r="W216" i="5" s="1"/>
  <c r="Z216" i="5" s="1"/>
  <c r="K215" i="5"/>
  <c r="W215" i="5" s="1"/>
  <c r="Z215" i="5" s="1"/>
  <c r="K214" i="5"/>
  <c r="K213" i="5"/>
  <c r="K212" i="5"/>
  <c r="W212" i="5" s="1"/>
  <c r="Z212" i="5" s="1"/>
  <c r="K211" i="5"/>
  <c r="W301" i="5"/>
  <c r="Z301" i="5" s="1"/>
  <c r="W297" i="5"/>
  <c r="Z297" i="5" s="1"/>
  <c r="W296" i="5"/>
  <c r="Z296" i="5" s="1"/>
  <c r="W293" i="5"/>
  <c r="Z293" i="5" s="1"/>
  <c r="W289" i="5"/>
  <c r="Z289" i="5" s="1"/>
  <c r="W288" i="5"/>
  <c r="Z288" i="5" s="1"/>
  <c r="W287" i="5"/>
  <c r="W284" i="5"/>
  <c r="Z284" i="5" s="1"/>
  <c r="W281" i="5"/>
  <c r="Z281" i="5" s="1"/>
  <c r="W277" i="5"/>
  <c r="Z277" i="5" s="1"/>
  <c r="W276" i="5"/>
  <c r="Z276" i="5" s="1"/>
  <c r="W273" i="5"/>
  <c r="Z273" i="5" s="1"/>
  <c r="W269" i="5"/>
  <c r="Z269" i="5" s="1"/>
  <c r="W268" i="5"/>
  <c r="Z268" i="5" s="1"/>
  <c r="W265" i="5"/>
  <c r="Z265" i="5" s="1"/>
  <c r="W258" i="5"/>
  <c r="Z258" i="5" s="1"/>
  <c r="W257" i="5"/>
  <c r="W254" i="5"/>
  <c r="Z254" i="5" s="1"/>
  <c r="W253" i="5"/>
  <c r="W250" i="5"/>
  <c r="Z250" i="5" s="1"/>
  <c r="W247" i="5"/>
  <c r="Z247" i="5" s="1"/>
  <c r="W246" i="5"/>
  <c r="Z246" i="5" s="1"/>
  <c r="W244" i="5"/>
  <c r="Z244" i="5" s="1"/>
  <c r="W243" i="5"/>
  <c r="Z243" i="5" s="1"/>
  <c r="W242" i="5"/>
  <c r="Z242" i="5" s="1"/>
  <c r="W240" i="5"/>
  <c r="Z240" i="5" s="1"/>
  <c r="W239" i="5"/>
  <c r="Z239" i="5" s="1"/>
  <c r="W238" i="5"/>
  <c r="Z238" i="5" s="1"/>
  <c r="W235" i="5"/>
  <c r="Z235" i="5" s="1"/>
  <c r="W234" i="5"/>
  <c r="Z234" i="5" s="1"/>
  <c r="W233" i="5"/>
  <c r="W230" i="5"/>
  <c r="Z230" i="5" s="1"/>
  <c r="W229" i="5"/>
  <c r="W226" i="5"/>
  <c r="Z226" i="5" s="1"/>
  <c r="W225" i="5"/>
  <c r="W222" i="5"/>
  <c r="Z222" i="5" s="1"/>
  <c r="W221" i="5"/>
  <c r="W217" i="5"/>
  <c r="Z217" i="5" s="1"/>
  <c r="W214" i="5"/>
  <c r="Z214" i="5" s="1"/>
  <c r="W213" i="5"/>
  <c r="Z213" i="5" s="1"/>
  <c r="W211" i="5"/>
  <c r="Z211" i="5" s="1"/>
  <c r="K209" i="5"/>
  <c r="K208" i="5"/>
  <c r="K207" i="5"/>
  <c r="W207" i="5" s="1"/>
  <c r="Z207" i="5" s="1"/>
  <c r="K206" i="5"/>
  <c r="W206" i="5" s="1"/>
  <c r="Z206" i="5" s="1"/>
  <c r="K205" i="5"/>
  <c r="K204" i="5"/>
  <c r="W209" i="5"/>
  <c r="Z209" i="5" s="1"/>
  <c r="W208" i="5"/>
  <c r="Z208" i="5" s="1"/>
  <c r="W205" i="5"/>
  <c r="Z205" i="5" s="1"/>
  <c r="W204" i="5"/>
  <c r="Z204" i="5" s="1"/>
  <c r="K202" i="5"/>
  <c r="W202" i="5" s="1"/>
  <c r="Z202" i="5" s="1"/>
  <c r="K201" i="5"/>
  <c r="W201" i="5" s="1"/>
  <c r="Z201" i="5" s="1"/>
  <c r="K200" i="5"/>
  <c r="W200" i="5" s="1"/>
  <c r="Z200" i="5" s="1"/>
  <c r="K199" i="5"/>
  <c r="W199" i="5" s="1"/>
  <c r="Z199" i="5" s="1"/>
  <c r="K198" i="5"/>
  <c r="K197" i="5"/>
  <c r="W197" i="5" s="1"/>
  <c r="Z197" i="5" s="1"/>
  <c r="K196" i="5"/>
  <c r="W196" i="5" s="1"/>
  <c r="Z196" i="5" s="1"/>
  <c r="K195" i="5"/>
  <c r="W195" i="5" s="1"/>
  <c r="Z195" i="5" s="1"/>
  <c r="K194" i="5"/>
  <c r="K193" i="5"/>
  <c r="W193" i="5" s="1"/>
  <c r="Z193" i="5" s="1"/>
  <c r="K191" i="5"/>
  <c r="W191" i="5" s="1"/>
  <c r="Z191" i="5" s="1"/>
  <c r="K192" i="5"/>
  <c r="W192" i="5" s="1"/>
  <c r="Z192" i="5" s="1"/>
  <c r="K190" i="5"/>
  <c r="W190" i="5" s="1"/>
  <c r="Z190" i="5" s="1"/>
  <c r="K189" i="5"/>
  <c r="W189" i="5" s="1"/>
  <c r="Z189" i="5" s="1"/>
  <c r="K188" i="5"/>
  <c r="W188" i="5" s="1"/>
  <c r="Z188" i="5" s="1"/>
  <c r="K187" i="5"/>
  <c r="W187" i="5" s="1"/>
  <c r="Z187" i="5" s="1"/>
  <c r="K186" i="5"/>
  <c r="W186" i="5" s="1"/>
  <c r="Z186" i="5" s="1"/>
  <c r="K185" i="5"/>
  <c r="W185" i="5" s="1"/>
  <c r="Z185" i="5" s="1"/>
  <c r="K184" i="5"/>
  <c r="K183" i="5"/>
  <c r="W183" i="5" s="1"/>
  <c r="Z183" i="5" s="1"/>
  <c r="K182" i="5"/>
  <c r="W182" i="5" s="1"/>
  <c r="Z182" i="5" s="1"/>
  <c r="K181" i="5"/>
  <c r="W181" i="5" s="1"/>
  <c r="Z181" i="5" s="1"/>
  <c r="K180" i="5"/>
  <c r="W180" i="5" s="1"/>
  <c r="Z180" i="5" s="1"/>
  <c r="K179" i="5"/>
  <c r="W179" i="5" s="1"/>
  <c r="Z179" i="5" s="1"/>
  <c r="K178" i="5"/>
  <c r="W178" i="5" s="1"/>
  <c r="Z178" i="5" s="1"/>
  <c r="K177" i="5"/>
  <c r="K173" i="5"/>
  <c r="K172" i="5"/>
  <c r="W172" i="5" s="1"/>
  <c r="Z172" i="5" s="1"/>
  <c r="K171" i="5"/>
  <c r="W171" i="5" s="1"/>
  <c r="Z171" i="5" s="1"/>
  <c r="K170" i="5"/>
  <c r="W170" i="5" s="1"/>
  <c r="Z170" i="5" s="1"/>
  <c r="K169" i="5"/>
  <c r="W169" i="5" s="1"/>
  <c r="Z169" i="5" s="1"/>
  <c r="K168" i="5"/>
  <c r="W168" i="5" s="1"/>
  <c r="Z168" i="5" s="1"/>
  <c r="K167" i="5"/>
  <c r="W167" i="5" s="1"/>
  <c r="Z167" i="5" s="1"/>
  <c r="K166" i="5"/>
  <c r="K165" i="5"/>
  <c r="K164" i="5"/>
  <c r="K163" i="5"/>
  <c r="W163" i="5" s="1"/>
  <c r="Z163" i="5" s="1"/>
  <c r="K162" i="5"/>
  <c r="W162" i="5" s="1"/>
  <c r="Z162" i="5" s="1"/>
  <c r="K161" i="5"/>
  <c r="W161" i="5" s="1"/>
  <c r="Z161" i="5" s="1"/>
  <c r="K160" i="5"/>
  <c r="W160" i="5" s="1"/>
  <c r="Z160" i="5" s="1"/>
  <c r="K159" i="5"/>
  <c r="W159" i="5" s="1"/>
  <c r="Z159" i="5" s="1"/>
  <c r="K158" i="5"/>
  <c r="W158" i="5" s="1"/>
  <c r="Z158" i="5" s="1"/>
  <c r="K156" i="5"/>
  <c r="W156" i="5" s="1"/>
  <c r="Z156" i="5" s="1"/>
  <c r="K155" i="5"/>
  <c r="W155" i="5" s="1"/>
  <c r="Z155" i="5" s="1"/>
  <c r="K154" i="5"/>
  <c r="W154" i="5" s="1"/>
  <c r="Z154" i="5" s="1"/>
  <c r="K153" i="5"/>
  <c r="W153" i="5" s="1"/>
  <c r="Z153" i="5" s="1"/>
  <c r="K152" i="5"/>
  <c r="K151" i="5"/>
  <c r="W151" i="5" s="1"/>
  <c r="Z151" i="5" s="1"/>
  <c r="K150" i="5"/>
  <c r="W150" i="5" s="1"/>
  <c r="Z150" i="5" s="1"/>
  <c r="K149" i="5"/>
  <c r="W149" i="5" s="1"/>
  <c r="Z149" i="5" s="1"/>
  <c r="K148" i="5"/>
  <c r="W148" i="5" s="1"/>
  <c r="Z148" i="5" s="1"/>
  <c r="K147" i="5"/>
  <c r="W147" i="5" s="1"/>
  <c r="Z147" i="5" s="1"/>
  <c r="K146" i="5"/>
  <c r="W146" i="5" s="1"/>
  <c r="Z146" i="5" s="1"/>
  <c r="K145" i="5"/>
  <c r="W145" i="5" s="1"/>
  <c r="Z145" i="5" s="1"/>
  <c r="K144" i="5"/>
  <c r="W144" i="5" s="1"/>
  <c r="Z144" i="5" s="1"/>
  <c r="K143" i="5"/>
  <c r="K142" i="5"/>
  <c r="W142" i="5" s="1"/>
  <c r="Z142" i="5" s="1"/>
  <c r="K141" i="5"/>
  <c r="K140" i="5"/>
  <c r="W140" i="5" s="1"/>
  <c r="Z140" i="5" s="1"/>
  <c r="K139" i="5"/>
  <c r="W139" i="5" s="1"/>
  <c r="Z139" i="5" s="1"/>
  <c r="K138" i="5"/>
  <c r="W138" i="5" s="1"/>
  <c r="Z138" i="5" s="1"/>
  <c r="K137" i="5"/>
  <c r="W137" i="5" s="1"/>
  <c r="Z137" i="5" s="1"/>
  <c r="K136" i="5"/>
  <c r="W136" i="5" s="1"/>
  <c r="Z136" i="5" s="1"/>
  <c r="K135" i="5"/>
  <c r="K134" i="5"/>
  <c r="W134" i="5" s="1"/>
  <c r="Z134" i="5" s="1"/>
  <c r="K133" i="5"/>
  <c r="W133" i="5" s="1"/>
  <c r="Z133" i="5" s="1"/>
  <c r="K132" i="5"/>
  <c r="W132" i="5" s="1"/>
  <c r="Z132" i="5" s="1"/>
  <c r="K130" i="5"/>
  <c r="W130" i="5" s="1"/>
  <c r="Z130" i="5" s="1"/>
  <c r="K129" i="5"/>
  <c r="W129" i="5" s="1"/>
  <c r="Z129" i="5" s="1"/>
  <c r="K128" i="5"/>
  <c r="W128" i="5" s="1"/>
  <c r="Z128" i="5" s="1"/>
  <c r="K127" i="5"/>
  <c r="W127" i="5" s="1"/>
  <c r="Z127" i="5" s="1"/>
  <c r="K126" i="5"/>
  <c r="W126" i="5" s="1"/>
  <c r="Z126" i="5" s="1"/>
  <c r="K125" i="5"/>
  <c r="W125" i="5" s="1"/>
  <c r="Z125" i="5" s="1"/>
  <c r="K124" i="5"/>
  <c r="K123" i="5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W115" i="5" s="1"/>
  <c r="Z115" i="5" s="1"/>
  <c r="K114" i="5"/>
  <c r="W114" i="5" s="1"/>
  <c r="Z114" i="5" s="1"/>
  <c r="K113" i="5"/>
  <c r="W113" i="5" s="1"/>
  <c r="Z113" i="5" s="1"/>
  <c r="K112" i="5"/>
  <c r="W112" i="5" s="1"/>
  <c r="Z112" i="5" s="1"/>
  <c r="K111" i="5"/>
  <c r="W111" i="5" s="1"/>
  <c r="Z111" i="5" s="1"/>
  <c r="Z131" i="5"/>
  <c r="K110" i="5"/>
  <c r="W110" i="5" s="1"/>
  <c r="Z110" i="5" s="1"/>
  <c r="W152" i="5"/>
  <c r="Z152" i="5" s="1"/>
  <c r="W164" i="5"/>
  <c r="Z164" i="5" s="1"/>
  <c r="W166" i="5"/>
  <c r="Z166" i="5" s="1"/>
  <c r="W174" i="5"/>
  <c r="Z174" i="5" s="1"/>
  <c r="W176" i="5"/>
  <c r="Z176" i="5" s="1"/>
  <c r="W184" i="5"/>
  <c r="Z184" i="5" s="1"/>
  <c r="W198" i="5"/>
  <c r="Z198" i="5" s="1"/>
  <c r="W131" i="5"/>
  <c r="W143" i="5"/>
  <c r="Z143" i="5" s="1"/>
  <c r="W175" i="5"/>
  <c r="Z175" i="5" s="1"/>
  <c r="W177" i="5"/>
  <c r="Z177" i="5" s="1"/>
  <c r="W173" i="5"/>
  <c r="Z173" i="5" s="1"/>
  <c r="W157" i="5"/>
  <c r="Z157" i="5" s="1"/>
  <c r="W141" i="5"/>
  <c r="Z141" i="5" s="1"/>
  <c r="W135" i="5"/>
  <c r="Z135" i="5" s="1"/>
  <c r="W165" i="5"/>
  <c r="Z165" i="5" s="1"/>
  <c r="W123" i="5"/>
  <c r="Z123" i="5" s="1"/>
  <c r="W124" i="5"/>
  <c r="Z124" i="5" s="1"/>
  <c r="W194" i="5"/>
  <c r="Z194" i="5" s="1"/>
  <c r="AC210" i="5" l="1"/>
  <c r="Z400" i="5"/>
  <c r="Z402" i="5"/>
  <c r="Z401" i="5"/>
  <c r="AC398" i="5" s="1"/>
  <c r="Z103" i="6"/>
  <c r="AC45" i="6"/>
  <c r="AC15" i="6"/>
  <c r="AC72" i="6"/>
  <c r="AC75" i="6"/>
  <c r="AC304" i="5"/>
  <c r="AC203" i="5"/>
  <c r="AC102" i="6" l="1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Z93" i="5" s="1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Z62" i="5" s="1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W42" i="5"/>
  <c r="Z42" i="5" s="1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W37" i="5"/>
  <c r="Z37" i="5" s="1"/>
  <c r="W38" i="5"/>
  <c r="W39" i="5"/>
  <c r="Z39" i="5" s="1"/>
  <c r="W40" i="5"/>
  <c r="S20" i="5"/>
  <c r="W20" i="5"/>
  <c r="Z20" i="5" s="1"/>
  <c r="W19" i="5"/>
  <c r="S19" i="5"/>
  <c r="W18" i="5"/>
  <c r="S18" i="5"/>
  <c r="W17" i="5"/>
  <c r="S17" i="5"/>
  <c r="W16" i="5"/>
  <c r="S16" i="5"/>
  <c r="Z36" i="5" l="1"/>
  <c r="Z54" i="5"/>
  <c r="Z73" i="5"/>
  <c r="Z50" i="5"/>
  <c r="Z46" i="5"/>
  <c r="Z41" i="5"/>
  <c r="Z83" i="5"/>
  <c r="Z16" i="5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F17" i="2" l="1"/>
  <c r="F23" i="2"/>
  <c r="F38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K9" i="1" l="1"/>
  <c r="K10" i="1"/>
  <c r="K11" i="1"/>
  <c r="B240" i="2" l="1"/>
  <c r="B242" i="2"/>
  <c r="B239" i="2"/>
  <c r="B241" i="2" l="1"/>
  <c r="B237" i="2" s="1"/>
  <c r="A227" i="2"/>
  <c r="B227" i="2"/>
  <c r="C227" i="2"/>
  <c r="C226" i="2"/>
  <c r="B226" i="2"/>
  <c r="A226" i="2"/>
  <c r="B225" i="2"/>
  <c r="A225" i="2"/>
  <c r="A224" i="2"/>
  <c r="B224" i="2"/>
  <c r="C224" i="2"/>
  <c r="A221" i="2"/>
  <c r="B221" i="2"/>
  <c r="C221" i="2"/>
  <c r="A222" i="2"/>
  <c r="B222" i="2"/>
  <c r="C222" i="2"/>
  <c r="A223" i="2"/>
  <c r="B223" i="2"/>
  <c r="C223" i="2"/>
  <c r="A217" i="2"/>
  <c r="B217" i="2"/>
  <c r="C217" i="2"/>
  <c r="A218" i="2"/>
  <c r="B218" i="2"/>
  <c r="C218" i="2"/>
  <c r="A219" i="2"/>
  <c r="B219" i="2"/>
  <c r="C219" i="2"/>
  <c r="A220" i="2"/>
  <c r="B220" i="2"/>
  <c r="C220" i="2"/>
  <c r="C216" i="2"/>
  <c r="B216" i="2"/>
  <c r="A216" i="2"/>
  <c r="B215" i="2"/>
  <c r="A215" i="2"/>
  <c r="A213" i="2"/>
  <c r="B213" i="2"/>
  <c r="C213" i="2"/>
  <c r="A214" i="2"/>
  <c r="B214" i="2"/>
  <c r="C214" i="2"/>
  <c r="A209" i="2"/>
  <c r="B209" i="2"/>
  <c r="C209" i="2"/>
  <c r="A210" i="2"/>
  <c r="B210" i="2"/>
  <c r="C210" i="2"/>
  <c r="A211" i="2"/>
  <c r="B211" i="2"/>
  <c r="C211" i="2"/>
  <c r="A212" i="2"/>
  <c r="B212" i="2"/>
  <c r="C212" i="2"/>
  <c r="A201" i="2"/>
  <c r="B201" i="2"/>
  <c r="C201" i="2"/>
  <c r="A202" i="2"/>
  <c r="B202" i="2"/>
  <c r="C202" i="2"/>
  <c r="A203" i="2"/>
  <c r="B203" i="2"/>
  <c r="C203" i="2"/>
  <c r="A204" i="2"/>
  <c r="B204" i="2"/>
  <c r="C204" i="2"/>
  <c r="A205" i="2"/>
  <c r="B205" i="2"/>
  <c r="C205" i="2"/>
  <c r="A206" i="2"/>
  <c r="B206" i="2"/>
  <c r="C206" i="2"/>
  <c r="A207" i="2"/>
  <c r="B207" i="2"/>
  <c r="C207" i="2"/>
  <c r="A208" i="2"/>
  <c r="B208" i="2"/>
  <c r="C208" i="2"/>
  <c r="A197" i="2"/>
  <c r="B197" i="2"/>
  <c r="C197" i="2"/>
  <c r="A198" i="2"/>
  <c r="B198" i="2"/>
  <c r="C198" i="2"/>
  <c r="A199" i="2"/>
  <c r="B199" i="2"/>
  <c r="C199" i="2"/>
  <c r="A200" i="2"/>
  <c r="B200" i="2"/>
  <c r="C200" i="2"/>
  <c r="A188" i="2"/>
  <c r="B188" i="2"/>
  <c r="C188" i="2"/>
  <c r="A189" i="2"/>
  <c r="B189" i="2"/>
  <c r="C189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86" i="2"/>
  <c r="B186" i="2"/>
  <c r="C186" i="2"/>
  <c r="A187" i="2"/>
  <c r="B187" i="2"/>
  <c r="C187" i="2"/>
  <c r="C155" i="2"/>
  <c r="B155" i="2"/>
  <c r="A155" i="2"/>
  <c r="A154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07" i="2"/>
  <c r="A106" i="2"/>
  <c r="A102" i="2"/>
  <c r="A103" i="2"/>
  <c r="A104" i="2"/>
  <c r="A105" i="2"/>
  <c r="A101" i="2"/>
  <c r="A100" i="2"/>
  <c r="A99" i="2"/>
  <c r="C98" i="2"/>
  <c r="B98" i="2"/>
  <c r="A98" i="2"/>
  <c r="B97" i="2"/>
  <c r="A97" i="2"/>
  <c r="A84" i="2"/>
  <c r="B84" i="2"/>
  <c r="C84" i="2"/>
  <c r="A85" i="2"/>
  <c r="B85" i="2"/>
  <c r="C85" i="2"/>
  <c r="A86" i="2"/>
  <c r="B86" i="2"/>
  <c r="C86" i="2"/>
  <c r="A87" i="2"/>
  <c r="B87" i="2"/>
  <c r="C87" i="2"/>
  <c r="A88" i="2"/>
  <c r="B88" i="2"/>
  <c r="C88" i="2"/>
  <c r="A89" i="2"/>
  <c r="B89" i="2"/>
  <c r="C89" i="2"/>
  <c r="A90" i="2"/>
  <c r="B90" i="2"/>
  <c r="C90" i="2"/>
  <c r="A91" i="2"/>
  <c r="B91" i="2"/>
  <c r="C91" i="2"/>
  <c r="A92" i="2"/>
  <c r="B92" i="2"/>
  <c r="C92" i="2"/>
  <c r="A93" i="2"/>
  <c r="B93" i="2"/>
  <c r="C93" i="2"/>
  <c r="A94" i="2"/>
  <c r="B94" i="2"/>
  <c r="C94" i="2"/>
  <c r="A95" i="2"/>
  <c r="B95" i="2"/>
  <c r="C95" i="2"/>
  <c r="A96" i="2"/>
  <c r="B96" i="2"/>
  <c r="C96" i="2"/>
  <c r="C83" i="2"/>
  <c r="B83" i="2"/>
  <c r="A83" i="2"/>
  <c r="B82" i="2"/>
  <c r="A82" i="2"/>
  <c r="A80" i="2"/>
  <c r="B80" i="2"/>
  <c r="C80" i="2"/>
  <c r="A81" i="2"/>
  <c r="B81" i="2"/>
  <c r="C81" i="2"/>
  <c r="A78" i="2"/>
  <c r="B78" i="2"/>
  <c r="C78" i="2"/>
  <c r="A79" i="2"/>
  <c r="B79" i="2"/>
  <c r="C79" i="2"/>
  <c r="C77" i="2"/>
  <c r="B77" i="2"/>
  <c r="A77" i="2"/>
  <c r="B76" i="2"/>
  <c r="A76" i="2"/>
  <c r="A69" i="2"/>
  <c r="B69" i="2"/>
  <c r="C69" i="2"/>
  <c r="A70" i="2"/>
  <c r="B70" i="2"/>
  <c r="C70" i="2"/>
  <c r="A71" i="2"/>
  <c r="B71" i="2"/>
  <c r="C71" i="2"/>
  <c r="A72" i="2"/>
  <c r="B72" i="2"/>
  <c r="C72" i="2"/>
  <c r="A73" i="2"/>
  <c r="B73" i="2"/>
  <c r="C73" i="2"/>
  <c r="A74" i="2"/>
  <c r="B74" i="2"/>
  <c r="C74" i="2"/>
  <c r="A75" i="2"/>
  <c r="B75" i="2"/>
  <c r="C75" i="2"/>
  <c r="C68" i="2"/>
  <c r="B68" i="2"/>
  <c r="A68" i="2"/>
  <c r="B67" i="2"/>
  <c r="A67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A65" i="2"/>
  <c r="B65" i="2"/>
  <c r="C65" i="2"/>
  <c r="A66" i="2"/>
  <c r="B66" i="2"/>
  <c r="C66" i="2"/>
  <c r="C57" i="2"/>
  <c r="B57" i="2"/>
  <c r="A57" i="2"/>
  <c r="B56" i="2"/>
  <c r="A56" i="2"/>
  <c r="B49" i="2"/>
  <c r="A49" i="2"/>
  <c r="A50" i="2"/>
  <c r="B50" i="2"/>
  <c r="C50" i="2"/>
  <c r="A39" i="2"/>
  <c r="A42" i="6" s="1"/>
  <c r="B39" i="2"/>
  <c r="D42" i="6" s="1"/>
  <c r="C39" i="2"/>
  <c r="AF42" i="6" s="1"/>
  <c r="A40" i="2"/>
  <c r="B40" i="2"/>
  <c r="C40" i="2"/>
  <c r="A41" i="2"/>
  <c r="B41" i="2"/>
  <c r="C4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47" i="2"/>
  <c r="B47" i="2"/>
  <c r="C47" i="2"/>
  <c r="C38" i="2"/>
  <c r="B38" i="2"/>
  <c r="A38" i="2"/>
  <c r="A37" i="2"/>
  <c r="A34" i="2"/>
  <c r="B34" i="2"/>
  <c r="C34" i="2"/>
  <c r="A35" i="2"/>
  <c r="B35" i="2"/>
  <c r="C35" i="2"/>
  <c r="C33" i="2"/>
  <c r="B33" i="2"/>
  <c r="A33" i="2"/>
  <c r="B32" i="2"/>
  <c r="A32" i="2"/>
  <c r="C24" i="2"/>
  <c r="C25" i="2"/>
  <c r="C26" i="2"/>
  <c r="C27" i="2"/>
  <c r="C28" i="2"/>
  <c r="C29" i="2"/>
  <c r="C30" i="2"/>
  <c r="C23" i="2"/>
  <c r="A24" i="2"/>
  <c r="B24" i="2"/>
  <c r="A25" i="2"/>
  <c r="B25" i="2"/>
  <c r="A26" i="2"/>
  <c r="B26" i="2"/>
  <c r="A27" i="2"/>
  <c r="B27" i="2"/>
  <c r="A28" i="2"/>
  <c r="B28" i="2"/>
  <c r="A29" i="2"/>
  <c r="B29" i="2"/>
  <c r="A30" i="2"/>
  <c r="B30" i="2"/>
  <c r="B23" i="2"/>
  <c r="A23" i="2"/>
  <c r="B22" i="2"/>
  <c r="A22" i="2"/>
  <c r="C17" i="2"/>
  <c r="C18" i="2"/>
  <c r="C16" i="2"/>
  <c r="A17" i="2"/>
  <c r="B17" i="2"/>
  <c r="A18" i="2"/>
  <c r="B18" i="2"/>
  <c r="B16" i="2"/>
  <c r="A16" i="2"/>
  <c r="B15" i="2"/>
  <c r="A15" i="2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G12" i="1"/>
  <c r="G11" i="1"/>
  <c r="G10" i="1"/>
  <c r="G9" i="1"/>
  <c r="A15" i="6" l="1"/>
  <c r="A15" i="5"/>
  <c r="AF398" i="5"/>
  <c r="AF129" i="6"/>
  <c r="A75" i="6"/>
  <c r="A210" i="5"/>
  <c r="D15" i="6"/>
  <c r="D15" i="5"/>
  <c r="D398" i="5"/>
  <c r="D129" i="6"/>
  <c r="A102" i="6"/>
  <c r="A304" i="5"/>
  <c r="D45" i="6"/>
  <c r="D109" i="5"/>
  <c r="D102" i="6"/>
  <c r="D304" i="5"/>
  <c r="AF15" i="6"/>
  <c r="AF15" i="5"/>
  <c r="A129" i="6"/>
  <c r="A398" i="5"/>
  <c r="AF75" i="6"/>
  <c r="AF210" i="5"/>
  <c r="D72" i="6"/>
  <c r="D203" i="5"/>
  <c r="A45" i="6"/>
  <c r="A109" i="5"/>
  <c r="A13" i="6"/>
  <c r="A13" i="5"/>
  <c r="AF102" i="6"/>
  <c r="AF304" i="5"/>
  <c r="D75" i="6"/>
  <c r="D210" i="5"/>
  <c r="A72" i="6"/>
  <c r="A203" i="5"/>
  <c r="L239" i="1"/>
  <c r="L238" i="1"/>
  <c r="L228" i="1"/>
  <c r="L229" i="1"/>
  <c r="L230" i="1"/>
  <c r="L231" i="1"/>
  <c r="L232" i="1"/>
  <c r="L233" i="1"/>
  <c r="L234" i="1"/>
  <c r="L235" i="1"/>
  <c r="L227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165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16" i="1"/>
  <c r="L110" i="1"/>
  <c r="L111" i="1"/>
  <c r="L112" i="1"/>
  <c r="L113" i="1"/>
  <c r="L109" i="1"/>
  <c r="L106" i="1"/>
  <c r="L105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89" i="1"/>
  <c r="L83" i="1"/>
  <c r="L84" i="1"/>
  <c r="L85" i="1"/>
  <c r="L86" i="1"/>
  <c r="L82" i="1"/>
  <c r="L73" i="1"/>
  <c r="L74" i="1"/>
  <c r="L72" i="1"/>
  <c r="L61" i="1"/>
  <c r="L62" i="1"/>
  <c r="L63" i="1"/>
  <c r="L64" i="1"/>
  <c r="L65" i="1"/>
  <c r="L66" i="1"/>
  <c r="L67" i="1"/>
  <c r="L68" i="1"/>
  <c r="L69" i="1"/>
  <c r="L60" i="1"/>
  <c r="L52" i="1"/>
  <c r="L41" i="1"/>
  <c r="L42" i="1"/>
  <c r="L43" i="1"/>
  <c r="L44" i="1"/>
  <c r="L45" i="1"/>
  <c r="L46" i="1"/>
  <c r="L47" i="1"/>
  <c r="L48" i="1"/>
  <c r="L49" i="1"/>
  <c r="L40" i="1"/>
  <c r="L34" i="1"/>
  <c r="L24" i="1"/>
  <c r="L25" i="1"/>
  <c r="L26" i="1"/>
  <c r="L27" i="1"/>
  <c r="L28" i="1"/>
  <c r="L29" i="1"/>
  <c r="L23" i="1"/>
  <c r="L16" i="1"/>
  <c r="L17" i="1"/>
  <c r="L15" i="1"/>
  <c r="L10" i="1"/>
  <c r="L11" i="1"/>
  <c r="L12" i="1"/>
  <c r="L9" i="1"/>
  <c r="H72" i="1"/>
  <c r="N72" i="1" s="1"/>
  <c r="H191" i="1"/>
  <c r="N191" i="1" s="1"/>
  <c r="H238" i="1"/>
  <c r="N238" i="1" s="1"/>
  <c r="H68" i="1"/>
  <c r="N184" i="1"/>
  <c r="H184" i="1"/>
  <c r="M184" i="1" s="1"/>
  <c r="H227" i="1"/>
  <c r="H40" i="1"/>
  <c r="N40" i="1" s="1"/>
  <c r="H175" i="1"/>
  <c r="H99" i="1"/>
  <c r="N99" i="1" s="1"/>
  <c r="H79" i="1"/>
  <c r="N79" i="1" s="1"/>
  <c r="M79" i="1"/>
  <c r="H47" i="1"/>
  <c r="M47" i="1" s="1"/>
  <c r="H15" i="1"/>
  <c r="I15" i="1" s="1"/>
  <c r="H110" i="1"/>
  <c r="I110" i="1" s="1"/>
  <c r="M110" i="1"/>
  <c r="H150" i="1"/>
  <c r="I150" i="1" s="1"/>
  <c r="H102" i="1"/>
  <c r="M102" i="1" s="1"/>
  <c r="I132" i="1"/>
  <c r="H132" i="1"/>
  <c r="N132" i="1" s="1"/>
  <c r="H116" i="1"/>
  <c r="I116" i="1" s="1"/>
  <c r="H83" i="1"/>
  <c r="I83" i="1" s="1"/>
  <c r="H63" i="1"/>
  <c r="I63" i="1" s="1"/>
  <c r="H172" i="1"/>
  <c r="I172" i="1" s="1"/>
  <c r="H120" i="1"/>
  <c r="I120" i="1" s="1"/>
  <c r="H223" i="1"/>
  <c r="N223" i="1" s="1"/>
  <c r="H92" i="1"/>
  <c r="I92" i="1" s="1"/>
  <c r="H66" i="1"/>
  <c r="H105" i="1"/>
  <c r="N105" i="1" s="1"/>
  <c r="H89" i="1"/>
  <c r="H90" i="1"/>
  <c r="M90" i="1" s="1"/>
  <c r="H23" i="1"/>
  <c r="H24" i="1"/>
  <c r="M24" i="1" s="1"/>
  <c r="H25" i="1"/>
  <c r="M25" i="1" s="1"/>
  <c r="H210" i="1"/>
  <c r="M210" i="1" s="1"/>
  <c r="H178" i="1"/>
  <c r="I178" i="1" s="1"/>
  <c r="N178" i="1"/>
  <c r="H142" i="1"/>
  <c r="M142" i="1" s="1"/>
  <c r="H78" i="1"/>
  <c r="H29" i="1"/>
  <c r="N29" i="1" s="1"/>
  <c r="H186" i="1"/>
  <c r="I186" i="1" s="1"/>
  <c r="H82" i="1"/>
  <c r="I82" i="1" s="1"/>
  <c r="H86" i="1"/>
  <c r="I86" i="1" s="1"/>
  <c r="H158" i="1"/>
  <c r="M158" i="1" s="1"/>
  <c r="H194" i="1"/>
  <c r="I194" i="1" s="1"/>
  <c r="H126" i="1"/>
  <c r="H94" i="1"/>
  <c r="I94" i="1" s="1"/>
  <c r="H197" i="1"/>
  <c r="I197" i="1" s="1"/>
  <c r="H202" i="1"/>
  <c r="N202" i="1" s="1"/>
  <c r="H154" i="1"/>
  <c r="M154" i="1" s="1"/>
  <c r="H180" i="1"/>
  <c r="H128" i="1"/>
  <c r="M128" i="1" s="1"/>
  <c r="H64" i="1"/>
  <c r="I64" i="1" s="1"/>
  <c r="H147" i="1"/>
  <c r="N147" i="1" s="1"/>
  <c r="M147" i="1"/>
  <c r="H95" i="1"/>
  <c r="I95" i="1" s="1"/>
  <c r="H75" i="1"/>
  <c r="I75" i="1" s="1"/>
  <c r="M75" i="1"/>
  <c r="H43" i="1"/>
  <c r="H228" i="1"/>
  <c r="I228" i="1" s="1"/>
  <c r="H216" i="1"/>
  <c r="N216" i="1" s="1"/>
  <c r="N144" i="1"/>
  <c r="H144" i="1"/>
  <c r="I144" i="1" s="1"/>
  <c r="H84" i="1"/>
  <c r="M84" i="1"/>
  <c r="H52" i="1"/>
  <c r="M52" i="1" s="1"/>
  <c r="H207" i="1"/>
  <c r="N207" i="1" s="1"/>
  <c r="N131" i="1"/>
  <c r="H131" i="1"/>
  <c r="I131" i="1" s="1"/>
  <c r="H188" i="1"/>
  <c r="H165" i="1"/>
  <c r="I165" i="1" s="1"/>
  <c r="H170" i="1"/>
  <c r="N170" i="1" s="1"/>
  <c r="H198" i="1"/>
  <c r="N198" i="1" s="1"/>
  <c r="H208" i="1"/>
  <c r="M208" i="1" s="1"/>
  <c r="H196" i="1"/>
  <c r="M196" i="1" s="1"/>
  <c r="H160" i="1"/>
  <c r="M160" i="1" s="1"/>
  <c r="N100" i="1"/>
  <c r="H100" i="1"/>
  <c r="I100" i="1" s="1"/>
  <c r="H44" i="1"/>
  <c r="H214" i="1"/>
  <c r="M214" i="1" s="1"/>
  <c r="H91" i="1"/>
  <c r="N91" i="1" s="1"/>
  <c r="H67" i="1"/>
  <c r="N67" i="1" s="1"/>
  <c r="H224" i="1"/>
  <c r="M224" i="1" s="1"/>
  <c r="H148" i="1"/>
  <c r="I148" i="1" s="1"/>
  <c r="M136" i="1"/>
  <c r="H136" i="1"/>
  <c r="I136" i="1" s="1"/>
  <c r="H155" i="1"/>
  <c r="N155" i="1" s="1"/>
  <c r="H167" i="1"/>
  <c r="N167" i="1" s="1"/>
  <c r="H239" i="1"/>
  <c r="N239" i="1" s="1"/>
  <c r="H96" i="1"/>
  <c r="I96" i="1" s="1"/>
  <c r="H152" i="1"/>
  <c r="N152" i="1" s="1"/>
  <c r="H42" i="1"/>
  <c r="N42" i="1" s="1"/>
  <c r="H11" i="1"/>
  <c r="N11" i="1" s="1"/>
  <c r="H183" i="1"/>
  <c r="N183" i="1" s="1"/>
  <c r="H123" i="1"/>
  <c r="M123" i="1" s="1"/>
  <c r="H151" i="1"/>
  <c r="I151" i="1" s="1"/>
  <c r="I195" i="1"/>
  <c r="H195" i="1"/>
  <c r="M195" i="1" s="1"/>
  <c r="H199" i="1"/>
  <c r="N199" i="1" s="1"/>
  <c r="I36" i="1"/>
  <c r="H36" i="1"/>
  <c r="N36" i="1" s="1"/>
  <c r="H76" i="1"/>
  <c r="N76" i="1" s="1"/>
  <c r="I112" i="1"/>
  <c r="H112" i="1"/>
  <c r="N112" i="1" s="1"/>
  <c r="H16" i="1"/>
  <c r="N16" i="1" s="1"/>
  <c r="H111" i="1"/>
  <c r="N111" i="1" s="1"/>
  <c r="H143" i="1"/>
  <c r="I143" i="1" s="1"/>
  <c r="H187" i="1"/>
  <c r="N187" i="1" s="1"/>
  <c r="H219" i="1"/>
  <c r="N219" i="1" s="1"/>
  <c r="H231" i="1"/>
  <c r="N231" i="1" s="1"/>
  <c r="H10" i="1"/>
  <c r="M10" i="1" s="1"/>
  <c r="H106" i="1"/>
  <c r="I106" i="1" s="1"/>
  <c r="H119" i="1"/>
  <c r="I119" i="1" s="1"/>
  <c r="H127" i="1"/>
  <c r="I127" i="1" s="1"/>
  <c r="H135" i="1"/>
  <c r="I135" i="1" s="1"/>
  <c r="M135" i="1"/>
  <c r="H139" i="1"/>
  <c r="N139" i="1" s="1"/>
  <c r="H159" i="1"/>
  <c r="I159" i="1" s="1"/>
  <c r="H171" i="1"/>
  <c r="I171" i="1" s="1"/>
  <c r="H179" i="1"/>
  <c r="N179" i="1" s="1"/>
  <c r="H203" i="1"/>
  <c r="I203" i="1" s="1"/>
  <c r="H211" i="1"/>
  <c r="I211" i="1" s="1"/>
  <c r="H215" i="1"/>
  <c r="N235" i="1"/>
  <c r="H235" i="1"/>
  <c r="I235" i="1" s="1"/>
  <c r="H28" i="1"/>
  <c r="N28" i="1" s="1"/>
  <c r="M124" i="1"/>
  <c r="H124" i="1"/>
  <c r="N124" i="1" s="1"/>
  <c r="H156" i="1"/>
  <c r="I156" i="1" s="1"/>
  <c r="H168" i="1"/>
  <c r="M168" i="1" s="1"/>
  <c r="H62" i="1"/>
  <c r="I62" i="1" s="1"/>
  <c r="H74" i="1"/>
  <c r="N74" i="1" s="1"/>
  <c r="M74" i="1"/>
  <c r="H48" i="1"/>
  <c r="N48" i="1" s="1"/>
  <c r="H60" i="1"/>
  <c r="N60" i="1" s="1"/>
  <c r="H140" i="1"/>
  <c r="I140" i="1" s="1"/>
  <c r="H192" i="1"/>
  <c r="I192" i="1" s="1"/>
  <c r="H200" i="1"/>
  <c r="M200" i="1" s="1"/>
  <c r="H166" i="1"/>
  <c r="M166" i="1" s="1"/>
  <c r="H182" i="1"/>
  <c r="N182" i="1" s="1"/>
  <c r="H73" i="1"/>
  <c r="N73" i="1" s="1"/>
  <c r="H85" i="1"/>
  <c r="N85" i="1" s="1"/>
  <c r="H97" i="1"/>
  <c r="I97" i="1" s="1"/>
  <c r="H113" i="1"/>
  <c r="I113" i="1" s="1"/>
  <c r="H125" i="1"/>
  <c r="I125" i="1" s="1"/>
  <c r="H133" i="1"/>
  <c r="N133" i="1" s="1"/>
  <c r="H153" i="1"/>
  <c r="M153" i="1"/>
  <c r="H161" i="1"/>
  <c r="I161" i="1" s="1"/>
  <c r="H169" i="1"/>
  <c r="M169" i="1" s="1"/>
  <c r="H177" i="1"/>
  <c r="M177" i="1" s="1"/>
  <c r="H193" i="1"/>
  <c r="M193" i="1"/>
  <c r="H229" i="1"/>
  <c r="M229" i="1" s="1"/>
  <c r="H134" i="1"/>
  <c r="I134" i="1" s="1"/>
  <c r="H185" i="1"/>
  <c r="H145" i="1"/>
  <c r="M145" i="1" s="1"/>
  <c r="H234" i="1"/>
  <c r="H17" i="1"/>
  <c r="I17" i="1" s="1"/>
  <c r="H27" i="1"/>
  <c r="H30" i="1"/>
  <c r="H176" i="1"/>
  <c r="H204" i="1"/>
  <c r="I204" i="1" s="1"/>
  <c r="H212" i="1"/>
  <c r="N212" i="1" s="1"/>
  <c r="H220" i="1"/>
  <c r="H232" i="1"/>
  <c r="N232" i="1" s="1"/>
  <c r="H34" i="1"/>
  <c r="H46" i="1"/>
  <c r="M46" i="1" s="1"/>
  <c r="H98" i="1"/>
  <c r="H109" i="1"/>
  <c r="M109" i="1" s="1"/>
  <c r="H122" i="1"/>
  <c r="M122" i="1" s="1"/>
  <c r="H130" i="1"/>
  <c r="N130" i="1" s="1"/>
  <c r="I138" i="1"/>
  <c r="H138" i="1"/>
  <c r="N138" i="1" s="1"/>
  <c r="H146" i="1"/>
  <c r="M146" i="1" s="1"/>
  <c r="H162" i="1"/>
  <c r="N162" i="1" s="1"/>
  <c r="H174" i="1"/>
  <c r="M174" i="1" s="1"/>
  <c r="H190" i="1"/>
  <c r="N190" i="1" s="1"/>
  <c r="H206" i="1"/>
  <c r="M206" i="1" s="1"/>
  <c r="H218" i="1"/>
  <c r="I218" i="1" s="1"/>
  <c r="H230" i="1"/>
  <c r="M230" i="1" s="1"/>
  <c r="I41" i="1"/>
  <c r="H41" i="1"/>
  <c r="N41" i="1" s="1"/>
  <c r="H45" i="1"/>
  <c r="N45" i="1" s="1"/>
  <c r="I49" i="1"/>
  <c r="H49" i="1"/>
  <c r="M49" i="1" s="1"/>
  <c r="H61" i="1"/>
  <c r="M61" i="1" s="1"/>
  <c r="I65" i="1"/>
  <c r="H65" i="1"/>
  <c r="N65" i="1" s="1"/>
  <c r="H69" i="1"/>
  <c r="N69" i="1" s="1"/>
  <c r="H77" i="1"/>
  <c r="I77" i="1" s="1"/>
  <c r="H93" i="1"/>
  <c r="N93" i="1" s="1"/>
  <c r="H101" i="1"/>
  <c r="I101" i="1" s="1"/>
  <c r="H117" i="1"/>
  <c r="H121" i="1"/>
  <c r="H129" i="1"/>
  <c r="I129" i="1" s="1"/>
  <c r="H137" i="1"/>
  <c r="I137" i="1" s="1"/>
  <c r="N137" i="1"/>
  <c r="H141" i="1"/>
  <c r="M141" i="1" s="1"/>
  <c r="H149" i="1"/>
  <c r="N149" i="1" s="1"/>
  <c r="M149" i="1"/>
  <c r="H157" i="1"/>
  <c r="I157" i="1" s="1"/>
  <c r="H173" i="1"/>
  <c r="I173" i="1" s="1"/>
  <c r="H181" i="1"/>
  <c r="I181" i="1" s="1"/>
  <c r="H189" i="1"/>
  <c r="I189" i="1" s="1"/>
  <c r="H201" i="1"/>
  <c r="M201" i="1" s="1"/>
  <c r="H205" i="1"/>
  <c r="N205" i="1" s="1"/>
  <c r="H209" i="1"/>
  <c r="N209" i="1" s="1"/>
  <c r="I213" i="1"/>
  <c r="H213" i="1"/>
  <c r="M213" i="1" s="1"/>
  <c r="H221" i="1"/>
  <c r="M221" i="1"/>
  <c r="H233" i="1"/>
  <c r="M233" i="1" s="1"/>
  <c r="H118" i="1"/>
  <c r="I118" i="1" s="1"/>
  <c r="H222" i="1"/>
  <c r="I222" i="1" s="1"/>
  <c r="H35" i="1"/>
  <c r="H217" i="1"/>
  <c r="M217" i="1" s="1"/>
  <c r="H26" i="1"/>
  <c r="H12" i="1"/>
  <c r="H9" i="1"/>
  <c r="I9" i="1" s="1"/>
  <c r="I190" i="1" l="1"/>
  <c r="I162" i="1"/>
  <c r="I122" i="1"/>
  <c r="N122" i="1"/>
  <c r="O122" i="1" s="1"/>
  <c r="N143" i="1"/>
  <c r="I16" i="1"/>
  <c r="I167" i="1"/>
  <c r="I73" i="1"/>
  <c r="M191" i="1"/>
  <c r="M238" i="1"/>
  <c r="N101" i="1"/>
  <c r="I69" i="1"/>
  <c r="I61" i="1"/>
  <c r="I45" i="1"/>
  <c r="I130" i="1"/>
  <c r="N49" i="1"/>
  <c r="I74" i="1"/>
  <c r="I124" i="1"/>
  <c r="M235" i="1"/>
  <c r="N135" i="1"/>
  <c r="M112" i="1"/>
  <c r="M36" i="1"/>
  <c r="M170" i="1"/>
  <c r="M131" i="1"/>
  <c r="M144" i="1"/>
  <c r="O144" i="1" s="1"/>
  <c r="Q144" i="1" s="1"/>
  <c r="N75" i="1"/>
  <c r="I147" i="1"/>
  <c r="M94" i="1"/>
  <c r="N86" i="1"/>
  <c r="M178" i="1"/>
  <c r="O178" i="1" s="1"/>
  <c r="N110" i="1"/>
  <c r="O184" i="1"/>
  <c r="N82" i="1"/>
  <c r="I205" i="1"/>
  <c r="M162" i="1"/>
  <c r="I232" i="1"/>
  <c r="M85" i="1"/>
  <c r="O85" i="1" s="1"/>
  <c r="M137" i="1"/>
  <c r="O137" i="1" s="1"/>
  <c r="I10" i="1"/>
  <c r="M143" i="1"/>
  <c r="M16" i="1"/>
  <c r="O16" i="1" s="1"/>
  <c r="O170" i="1"/>
  <c r="M86" i="1"/>
  <c r="M186" i="1"/>
  <c r="M63" i="1"/>
  <c r="I79" i="1"/>
  <c r="I191" i="1"/>
  <c r="I230" i="1"/>
  <c r="I123" i="1"/>
  <c r="N92" i="1"/>
  <c r="N47" i="1"/>
  <c r="N222" i="1"/>
  <c r="O222" i="1" s="1"/>
  <c r="I209" i="1"/>
  <c r="I201" i="1"/>
  <c r="O149" i="1"/>
  <c r="N218" i="1"/>
  <c r="I146" i="1"/>
  <c r="M130" i="1"/>
  <c r="O130" i="1" s="1"/>
  <c r="I212" i="1"/>
  <c r="N213" i="1"/>
  <c r="M113" i="1"/>
  <c r="N140" i="1"/>
  <c r="O140" i="1" s="1"/>
  <c r="Q140" i="1" s="1"/>
  <c r="I48" i="1"/>
  <c r="M218" i="1"/>
  <c r="N62" i="1"/>
  <c r="M28" i="1"/>
  <c r="O28" i="1" s="1"/>
  <c r="M139" i="1"/>
  <c r="O139" i="1" s="1"/>
  <c r="N10" i="1"/>
  <c r="O10" i="1" s="1"/>
  <c r="I76" i="1"/>
  <c r="I199" i="1"/>
  <c r="N195" i="1"/>
  <c r="O195" i="1" s="1"/>
  <c r="Q195" i="1" s="1"/>
  <c r="N123" i="1"/>
  <c r="O123" i="1" s="1"/>
  <c r="Q123" i="1" s="1"/>
  <c r="M239" i="1"/>
  <c r="M155" i="1"/>
  <c r="O155" i="1" s="1"/>
  <c r="Q155" i="1" s="1"/>
  <c r="N136" i="1"/>
  <c r="O136" i="1" s="1"/>
  <c r="Q136" i="1" s="1"/>
  <c r="M198" i="1"/>
  <c r="O198" i="1" s="1"/>
  <c r="M207" i="1"/>
  <c r="N228" i="1"/>
  <c r="N95" i="1"/>
  <c r="M64" i="1"/>
  <c r="M197" i="1"/>
  <c r="M105" i="1"/>
  <c r="O105" i="1" s="1"/>
  <c r="M223" i="1"/>
  <c r="O223" i="1" s="1"/>
  <c r="N120" i="1"/>
  <c r="N172" i="1"/>
  <c r="N63" i="1"/>
  <c r="O63" i="1" s="1"/>
  <c r="Q63" i="1" s="1"/>
  <c r="M15" i="1"/>
  <c r="I47" i="1"/>
  <c r="M99" i="1"/>
  <c r="I184" i="1"/>
  <c r="Q184" i="1" s="1"/>
  <c r="I170" i="1"/>
  <c r="Q170" i="1" s="1"/>
  <c r="M157" i="1"/>
  <c r="M129" i="1"/>
  <c r="M101" i="1"/>
  <c r="M138" i="1"/>
  <c r="N46" i="1"/>
  <c r="O46" i="1" s="1"/>
  <c r="M204" i="1"/>
  <c r="N146" i="1"/>
  <c r="O146" i="1" s="1"/>
  <c r="I28" i="1"/>
  <c r="O235" i="1"/>
  <c r="P235" i="1" s="1"/>
  <c r="O135" i="1"/>
  <c r="Q135" i="1" s="1"/>
  <c r="M167" i="1"/>
  <c r="M100" i="1"/>
  <c r="O131" i="1"/>
  <c r="Q131" i="1" s="1"/>
  <c r="N194" i="1"/>
  <c r="M172" i="1"/>
  <c r="I198" i="1"/>
  <c r="I216" i="1"/>
  <c r="O101" i="1"/>
  <c r="Q101" i="1" s="1"/>
  <c r="I219" i="1"/>
  <c r="O100" i="1"/>
  <c r="Q100" i="1" s="1"/>
  <c r="M222" i="1"/>
  <c r="M181" i="1"/>
  <c r="N230" i="1"/>
  <c r="O230" i="1" s="1"/>
  <c r="N206" i="1"/>
  <c r="O206" i="1" s="1"/>
  <c r="I133" i="1"/>
  <c r="M140" i="1"/>
  <c r="M48" i="1"/>
  <c r="O48" i="1" s="1"/>
  <c r="Q48" i="1" s="1"/>
  <c r="I206" i="1"/>
  <c r="P206" i="1" s="1"/>
  <c r="M62" i="1"/>
  <c r="I46" i="1"/>
  <c r="I139" i="1"/>
  <c r="I231" i="1"/>
  <c r="M76" i="1"/>
  <c r="M199" i="1"/>
  <c r="I239" i="1"/>
  <c r="I155" i="1"/>
  <c r="I207" i="1"/>
  <c r="M216" i="1"/>
  <c r="M95" i="1"/>
  <c r="N197" i="1"/>
  <c r="O197" i="1" s="1"/>
  <c r="Q197" i="1" s="1"/>
  <c r="M194" i="1"/>
  <c r="I29" i="1"/>
  <c r="M120" i="1"/>
  <c r="N116" i="1"/>
  <c r="I99" i="1"/>
  <c r="I42" i="1"/>
  <c r="N12" i="1"/>
  <c r="M12" i="1"/>
  <c r="I12" i="1"/>
  <c r="I117" i="1"/>
  <c r="N117" i="1"/>
  <c r="M117" i="1"/>
  <c r="N220" i="1"/>
  <c r="I220" i="1"/>
  <c r="M220" i="1"/>
  <c r="I27" i="1"/>
  <c r="M27" i="1"/>
  <c r="N27" i="1"/>
  <c r="N185" i="1"/>
  <c r="O185" i="1" s="1"/>
  <c r="I185" i="1"/>
  <c r="M185" i="1"/>
  <c r="I34" i="1"/>
  <c r="N34" i="1"/>
  <c r="M34" i="1"/>
  <c r="O213" i="1"/>
  <c r="Q213" i="1" s="1"/>
  <c r="I26" i="1"/>
  <c r="N26" i="1"/>
  <c r="M26" i="1"/>
  <c r="P213" i="1"/>
  <c r="M98" i="1"/>
  <c r="N98" i="1"/>
  <c r="I98" i="1"/>
  <c r="M176" i="1"/>
  <c r="N176" i="1"/>
  <c r="I176" i="1"/>
  <c r="I234" i="1"/>
  <c r="N234" i="1"/>
  <c r="M234" i="1"/>
  <c r="N35" i="1"/>
  <c r="M35" i="1"/>
  <c r="I35" i="1"/>
  <c r="N121" i="1"/>
  <c r="O121" i="1" s="1"/>
  <c r="M121" i="1"/>
  <c r="I121" i="1"/>
  <c r="I30" i="1"/>
  <c r="M30" i="1"/>
  <c r="N30" i="1"/>
  <c r="O49" i="1"/>
  <c r="Q49" i="1" s="1"/>
  <c r="O138" i="1"/>
  <c r="N9" i="1"/>
  <c r="M118" i="1"/>
  <c r="N118" i="1"/>
  <c r="I221" i="1"/>
  <c r="N221" i="1"/>
  <c r="O221" i="1" s="1"/>
  <c r="N141" i="1"/>
  <c r="O141" i="1" s="1"/>
  <c r="I141" i="1"/>
  <c r="P101" i="1"/>
  <c r="M93" i="1"/>
  <c r="O93" i="1" s="1"/>
  <c r="M77" i="1"/>
  <c r="N77" i="1"/>
  <c r="O162" i="1"/>
  <c r="N109" i="1"/>
  <c r="I109" i="1"/>
  <c r="M17" i="1"/>
  <c r="M134" i="1"/>
  <c r="N134" i="1"/>
  <c r="N201" i="1"/>
  <c r="O201" i="1" s="1"/>
  <c r="N193" i="1"/>
  <c r="O193" i="1" s="1"/>
  <c r="I193" i="1"/>
  <c r="N169" i="1"/>
  <c r="O169" i="1" s="1"/>
  <c r="Q169" i="1" s="1"/>
  <c r="I169" i="1"/>
  <c r="N153" i="1"/>
  <c r="O153" i="1" s="1"/>
  <c r="I153" i="1"/>
  <c r="N97" i="1"/>
  <c r="N61" i="1"/>
  <c r="O61" i="1" s="1"/>
  <c r="M182" i="1"/>
  <c r="I200" i="1"/>
  <c r="O74" i="1"/>
  <c r="I168" i="1"/>
  <c r="O124" i="1"/>
  <c r="Q124" i="1" s="1"/>
  <c r="M211" i="1"/>
  <c r="N211" i="1"/>
  <c r="M159" i="1"/>
  <c r="N159" i="1"/>
  <c r="M127" i="1"/>
  <c r="N127" i="1"/>
  <c r="M106" i="1"/>
  <c r="N106" i="1"/>
  <c r="N107" i="1" s="1"/>
  <c r="O112" i="1"/>
  <c r="Q112" i="1" s="1"/>
  <c r="O76" i="1"/>
  <c r="Q76" i="1" s="1"/>
  <c r="O36" i="1"/>
  <c r="Q36" i="1" s="1"/>
  <c r="O199" i="1"/>
  <c r="M183" i="1"/>
  <c r="O183" i="1" s="1"/>
  <c r="Q183" i="1" s="1"/>
  <c r="I11" i="1"/>
  <c r="M42" i="1"/>
  <c r="I152" i="1"/>
  <c r="O239" i="1"/>
  <c r="Q239" i="1" s="1"/>
  <c r="O167" i="1"/>
  <c r="Q167" i="1" s="1"/>
  <c r="N200" i="1"/>
  <c r="O200" i="1" s="1"/>
  <c r="P136" i="1"/>
  <c r="M67" i="1"/>
  <c r="O67" i="1" s="1"/>
  <c r="M91" i="1"/>
  <c r="O86" i="1"/>
  <c r="Q86" i="1" s="1"/>
  <c r="I149" i="1"/>
  <c r="P149" i="1" s="1"/>
  <c r="I175" i="1"/>
  <c r="N175" i="1"/>
  <c r="M175" i="1"/>
  <c r="N227" i="1"/>
  <c r="M227" i="1"/>
  <c r="I227" i="1"/>
  <c r="I179" i="1"/>
  <c r="I217" i="1"/>
  <c r="N217" i="1"/>
  <c r="O217" i="1" s="1"/>
  <c r="M209" i="1"/>
  <c r="O209" i="1" s="1"/>
  <c r="M205" i="1"/>
  <c r="O205" i="1" s="1"/>
  <c r="M189" i="1"/>
  <c r="M173" i="1"/>
  <c r="N129" i="1"/>
  <c r="M69" i="1"/>
  <c r="O69" i="1" s="1"/>
  <c r="Q69" i="1" s="1"/>
  <c r="M65" i="1"/>
  <c r="O65" i="1" s="1"/>
  <c r="M45" i="1"/>
  <c r="O45" i="1" s="1"/>
  <c r="M41" i="1"/>
  <c r="O41" i="1" s="1"/>
  <c r="M190" i="1"/>
  <c r="O190" i="1" s="1"/>
  <c r="Q190" i="1" s="1"/>
  <c r="M232" i="1"/>
  <c r="O232" i="1" s="1"/>
  <c r="M212" i="1"/>
  <c r="O212" i="1" s="1"/>
  <c r="Q212" i="1" s="1"/>
  <c r="N204" i="1"/>
  <c r="I145" i="1"/>
  <c r="N145" i="1"/>
  <c r="O145" i="1" s="1"/>
  <c r="M161" i="1"/>
  <c r="M133" i="1"/>
  <c r="O133" i="1" s="1"/>
  <c r="M125" i="1"/>
  <c r="N125" i="1"/>
  <c r="N113" i="1"/>
  <c r="O113" i="1" s="1"/>
  <c r="Q113" i="1" s="1"/>
  <c r="M73" i="1"/>
  <c r="O73" i="1" s="1"/>
  <c r="O182" i="1"/>
  <c r="I166" i="1"/>
  <c r="N166" i="1"/>
  <c r="O166" i="1" s="1"/>
  <c r="M203" i="1"/>
  <c r="N203" i="1"/>
  <c r="M171" i="1"/>
  <c r="N171" i="1"/>
  <c r="M119" i="1"/>
  <c r="N119" i="1"/>
  <c r="I107" i="1"/>
  <c r="M9" i="1"/>
  <c r="M231" i="1"/>
  <c r="M219" i="1"/>
  <c r="O219" i="1" s="1"/>
  <c r="O42" i="1"/>
  <c r="Q42" i="1" s="1"/>
  <c r="I224" i="1"/>
  <c r="N224" i="1"/>
  <c r="O224" i="1" s="1"/>
  <c r="N189" i="1"/>
  <c r="O91" i="1"/>
  <c r="I214" i="1"/>
  <c r="N214" i="1"/>
  <c r="O214" i="1" s="1"/>
  <c r="I43" i="1"/>
  <c r="N43" i="1"/>
  <c r="M43" i="1"/>
  <c r="O75" i="1"/>
  <c r="Q75" i="1" s="1"/>
  <c r="N181" i="1"/>
  <c r="O181" i="1" s="1"/>
  <c r="Q181" i="1" s="1"/>
  <c r="P123" i="1"/>
  <c r="I66" i="1"/>
  <c r="N66" i="1"/>
  <c r="M66" i="1"/>
  <c r="N17" i="1"/>
  <c r="O17" i="1" s="1"/>
  <c r="N173" i="1"/>
  <c r="N249" i="1"/>
  <c r="O238" i="1"/>
  <c r="P184" i="1"/>
  <c r="N215" i="1"/>
  <c r="I215" i="1"/>
  <c r="I187" i="1"/>
  <c r="I111" i="1"/>
  <c r="N168" i="1"/>
  <c r="O168" i="1" s="1"/>
  <c r="I23" i="1"/>
  <c r="N23" i="1"/>
  <c r="M23" i="1"/>
  <c r="I233" i="1"/>
  <c r="N233" i="1"/>
  <c r="O233" i="1" s="1"/>
  <c r="Q233" i="1" s="1"/>
  <c r="I93" i="1"/>
  <c r="N174" i="1"/>
  <c r="O174" i="1" s="1"/>
  <c r="I174" i="1"/>
  <c r="N229" i="1"/>
  <c r="O229" i="1" s="1"/>
  <c r="Q229" i="1" s="1"/>
  <c r="I229" i="1"/>
  <c r="I177" i="1"/>
  <c r="N177" i="1"/>
  <c r="O177" i="1" s="1"/>
  <c r="P113" i="1"/>
  <c r="M97" i="1"/>
  <c r="I182" i="1"/>
  <c r="P182" i="1" s="1"/>
  <c r="M192" i="1"/>
  <c r="N192" i="1"/>
  <c r="O192" i="1" s="1"/>
  <c r="Q192" i="1" s="1"/>
  <c r="I60" i="1"/>
  <c r="M60" i="1"/>
  <c r="M156" i="1"/>
  <c r="N156" i="1"/>
  <c r="O156" i="1" s="1"/>
  <c r="Q156" i="1" s="1"/>
  <c r="M215" i="1"/>
  <c r="M179" i="1"/>
  <c r="O179" i="1" s="1"/>
  <c r="Q179" i="1" s="1"/>
  <c r="O231" i="1"/>
  <c r="M187" i="1"/>
  <c r="O187" i="1" s="1"/>
  <c r="Q187" i="1" s="1"/>
  <c r="M111" i="1"/>
  <c r="M151" i="1"/>
  <c r="N151" i="1"/>
  <c r="O151" i="1" s="1"/>
  <c r="Q151" i="1" s="1"/>
  <c r="I183" i="1"/>
  <c r="M11" i="1"/>
  <c r="O11" i="1" s="1"/>
  <c r="Q11" i="1" s="1"/>
  <c r="M152" i="1"/>
  <c r="O152" i="1" s="1"/>
  <c r="Q152" i="1" s="1"/>
  <c r="M96" i="1"/>
  <c r="N96" i="1"/>
  <c r="M148" i="1"/>
  <c r="N157" i="1"/>
  <c r="I67" i="1"/>
  <c r="I91" i="1"/>
  <c r="N44" i="1"/>
  <c r="I44" i="1"/>
  <c r="M44" i="1"/>
  <c r="N196" i="1"/>
  <c r="O196" i="1" s="1"/>
  <c r="I196" i="1"/>
  <c r="P196" i="1" s="1"/>
  <c r="I85" i="1"/>
  <c r="N165" i="1"/>
  <c r="M165" i="1"/>
  <c r="I188" i="1"/>
  <c r="N188" i="1"/>
  <c r="M188" i="1"/>
  <c r="N84" i="1"/>
  <c r="O84" i="1" s="1"/>
  <c r="I84" i="1"/>
  <c r="P84" i="1" s="1"/>
  <c r="N180" i="1"/>
  <c r="I180" i="1"/>
  <c r="M180" i="1"/>
  <c r="N161" i="1"/>
  <c r="N126" i="1"/>
  <c r="M126" i="1"/>
  <c r="I126" i="1"/>
  <c r="I78" i="1"/>
  <c r="N78" i="1"/>
  <c r="N80" i="1" s="1"/>
  <c r="M78" i="1"/>
  <c r="I89" i="1"/>
  <c r="N89" i="1"/>
  <c r="M89" i="1"/>
  <c r="I68" i="1"/>
  <c r="M68" i="1"/>
  <c r="N68" i="1"/>
  <c r="M249" i="1"/>
  <c r="N148" i="1"/>
  <c r="O216" i="1"/>
  <c r="I210" i="1"/>
  <c r="N210" i="1"/>
  <c r="O210" i="1" s="1"/>
  <c r="Q210" i="1" s="1"/>
  <c r="N24" i="1"/>
  <c r="O24" i="1" s="1"/>
  <c r="I24" i="1"/>
  <c r="N150" i="1"/>
  <c r="I21" i="1"/>
  <c r="I40" i="1"/>
  <c r="M40" i="1"/>
  <c r="O40" i="1" s="1"/>
  <c r="I202" i="1"/>
  <c r="I238" i="1"/>
  <c r="M116" i="1"/>
  <c r="N160" i="1"/>
  <c r="O160" i="1" s="1"/>
  <c r="Q160" i="1" s="1"/>
  <c r="I160" i="1"/>
  <c r="I208" i="1"/>
  <c r="N208" i="1"/>
  <c r="O208" i="1" s="1"/>
  <c r="O207" i="1"/>
  <c r="Q207" i="1" s="1"/>
  <c r="I52" i="1"/>
  <c r="N52" i="1"/>
  <c r="O52" i="1" s="1"/>
  <c r="M228" i="1"/>
  <c r="O147" i="1"/>
  <c r="I128" i="1"/>
  <c r="N128" i="1"/>
  <c r="O128" i="1" s="1"/>
  <c r="I154" i="1"/>
  <c r="N154" i="1"/>
  <c r="O154" i="1" s="1"/>
  <c r="M202" i="1"/>
  <c r="M82" i="1"/>
  <c r="M29" i="1"/>
  <c r="O29" i="1" s="1"/>
  <c r="N142" i="1"/>
  <c r="O142" i="1" s="1"/>
  <c r="I142" i="1"/>
  <c r="N90" i="1"/>
  <c r="O90" i="1" s="1"/>
  <c r="I90" i="1"/>
  <c r="M92" i="1"/>
  <c r="O92" i="1" s="1"/>
  <c r="I223" i="1"/>
  <c r="P63" i="1"/>
  <c r="M83" i="1"/>
  <c r="N83" i="1"/>
  <c r="M132" i="1"/>
  <c r="O132" i="1" s="1"/>
  <c r="M150" i="1"/>
  <c r="N186" i="1"/>
  <c r="O186" i="1" s="1"/>
  <c r="Q186" i="1" s="1"/>
  <c r="N64" i="1"/>
  <c r="O64" i="1" s="1"/>
  <c r="Q64" i="1" s="1"/>
  <c r="O202" i="1"/>
  <c r="Q202" i="1" s="1"/>
  <c r="N158" i="1"/>
  <c r="O158" i="1" s="1"/>
  <c r="I158" i="1"/>
  <c r="I25" i="1"/>
  <c r="N25" i="1"/>
  <c r="O25" i="1" s="1"/>
  <c r="Q25" i="1" s="1"/>
  <c r="I102" i="1"/>
  <c r="N102" i="1"/>
  <c r="O102" i="1" s="1"/>
  <c r="Q102" i="1" s="1"/>
  <c r="O110" i="1"/>
  <c r="Q110" i="1" s="1"/>
  <c r="N15" i="1"/>
  <c r="N94" i="1"/>
  <c r="O94" i="1" s="1"/>
  <c r="Q94" i="1" s="1"/>
  <c r="O47" i="1"/>
  <c r="O79" i="1"/>
  <c r="O99" i="1"/>
  <c r="O191" i="1"/>
  <c r="Q191" i="1" s="1"/>
  <c r="I72" i="1"/>
  <c r="M72" i="1"/>
  <c r="O72" i="1" s="1"/>
  <c r="P137" i="1" l="1"/>
  <c r="Q137" i="1"/>
  <c r="Q178" i="1"/>
  <c r="P178" i="1"/>
  <c r="P122" i="1"/>
  <c r="Q122" i="1"/>
  <c r="Q16" i="1"/>
  <c r="P16" i="1"/>
  <c r="P52" i="1"/>
  <c r="P85" i="1"/>
  <c r="O157" i="1"/>
  <c r="Q157" i="1" s="1"/>
  <c r="Q231" i="1"/>
  <c r="P217" i="1"/>
  <c r="P75" i="1"/>
  <c r="Q199" i="1"/>
  <c r="O234" i="1"/>
  <c r="Q234" i="1" s="1"/>
  <c r="Q185" i="1"/>
  <c r="O12" i="1"/>
  <c r="Q12" i="1" s="1"/>
  <c r="Q230" i="1"/>
  <c r="P17" i="1"/>
  <c r="Q17" i="1"/>
  <c r="P28" i="1"/>
  <c r="Q28" i="1"/>
  <c r="P197" i="1"/>
  <c r="O161" i="1"/>
  <c r="Q161" i="1" s="1"/>
  <c r="O44" i="1"/>
  <c r="Q44" i="1" s="1"/>
  <c r="M114" i="1"/>
  <c r="M70" i="1"/>
  <c r="P145" i="1"/>
  <c r="M107" i="1"/>
  <c r="Q61" i="1"/>
  <c r="O35" i="1"/>
  <c r="Q35" i="1" s="1"/>
  <c r="P140" i="1"/>
  <c r="P10" i="1"/>
  <c r="Q10" i="1"/>
  <c r="P29" i="1"/>
  <c r="Q29" i="1"/>
  <c r="P154" i="1"/>
  <c r="O228" i="1"/>
  <c r="Q208" i="1"/>
  <c r="Q24" i="1"/>
  <c r="Q216" i="1"/>
  <c r="Q174" i="1"/>
  <c r="P151" i="1"/>
  <c r="O215" i="1"/>
  <c r="Q215" i="1" s="1"/>
  <c r="Q214" i="1"/>
  <c r="Q224" i="1"/>
  <c r="Q74" i="1"/>
  <c r="O97" i="1"/>
  <c r="Q97" i="1" s="1"/>
  <c r="Q221" i="1"/>
  <c r="Q121" i="1"/>
  <c r="P36" i="1"/>
  <c r="O98" i="1"/>
  <c r="Q98" i="1" s="1"/>
  <c r="O95" i="1"/>
  <c r="P95" i="1" s="1"/>
  <c r="Q139" i="1"/>
  <c r="O143" i="1"/>
  <c r="P86" i="1"/>
  <c r="Q146" i="1"/>
  <c r="P146" i="1"/>
  <c r="Q95" i="1"/>
  <c r="Q198" i="1"/>
  <c r="P198" i="1"/>
  <c r="Q46" i="1"/>
  <c r="P46" i="1"/>
  <c r="Q222" i="1"/>
  <c r="P222" i="1"/>
  <c r="Q130" i="1"/>
  <c r="P130" i="1"/>
  <c r="Q90" i="1"/>
  <c r="M87" i="1"/>
  <c r="Q128" i="1"/>
  <c r="P131" i="1"/>
  <c r="P91" i="1"/>
  <c r="O96" i="1"/>
  <c r="Q96" i="1" s="1"/>
  <c r="Q149" i="1"/>
  <c r="O189" i="1"/>
  <c r="Q189" i="1" s="1"/>
  <c r="O171" i="1"/>
  <c r="Q171" i="1" s="1"/>
  <c r="O204" i="1"/>
  <c r="O175" i="1"/>
  <c r="Q175" i="1" s="1"/>
  <c r="P100" i="1"/>
  <c r="Q200" i="1"/>
  <c r="O106" i="1"/>
  <c r="O107" i="1" s="1"/>
  <c r="Q107" i="1" s="1"/>
  <c r="P135" i="1"/>
  <c r="O211" i="1"/>
  <c r="Q153" i="1"/>
  <c r="Q193" i="1"/>
  <c r="M21" i="1"/>
  <c r="O77" i="1"/>
  <c r="P141" i="1"/>
  <c r="P221" i="1"/>
  <c r="P35" i="1"/>
  <c r="Q235" i="1"/>
  <c r="P195" i="1"/>
  <c r="O218" i="1"/>
  <c r="P158" i="1"/>
  <c r="O83" i="1"/>
  <c r="Q83" i="1" s="1"/>
  <c r="P223" i="1"/>
  <c r="P142" i="1"/>
  <c r="O148" i="1"/>
  <c r="Q148" i="1" s="1"/>
  <c r="O129" i="1"/>
  <c r="Q129" i="1" s="1"/>
  <c r="P170" i="1"/>
  <c r="Q201" i="1"/>
  <c r="N87" i="1"/>
  <c r="P112" i="1"/>
  <c r="Q85" i="1"/>
  <c r="P12" i="1"/>
  <c r="O172" i="1"/>
  <c r="O150" i="1"/>
  <c r="O78" i="1"/>
  <c r="Q78" i="1" s="1"/>
  <c r="O126" i="1"/>
  <c r="P126" i="1" s="1"/>
  <c r="Q177" i="1"/>
  <c r="Q168" i="1"/>
  <c r="P110" i="1"/>
  <c r="O119" i="1"/>
  <c r="Q119" i="1" s="1"/>
  <c r="O203" i="1"/>
  <c r="Q203" i="1" s="1"/>
  <c r="Q217" i="1"/>
  <c r="Q67" i="1"/>
  <c r="O127" i="1"/>
  <c r="Q127" i="1" s="1"/>
  <c r="O159" i="1"/>
  <c r="Q159" i="1" s="1"/>
  <c r="O134" i="1"/>
  <c r="Q134" i="1" s="1"/>
  <c r="Q93" i="1"/>
  <c r="P157" i="1"/>
  <c r="P74" i="1"/>
  <c r="P230" i="1"/>
  <c r="Q206" i="1"/>
  <c r="O194" i="1"/>
  <c r="O120" i="1"/>
  <c r="O62" i="1"/>
  <c r="Q92" i="1"/>
  <c r="P92" i="1"/>
  <c r="Q232" i="1"/>
  <c r="P232" i="1"/>
  <c r="Q65" i="1"/>
  <c r="P65" i="1"/>
  <c r="Q228" i="1"/>
  <c r="P228" i="1"/>
  <c r="Q132" i="1"/>
  <c r="P132" i="1"/>
  <c r="Q73" i="1"/>
  <c r="P73" i="1"/>
  <c r="Q133" i="1"/>
  <c r="P133" i="1"/>
  <c r="Q41" i="1"/>
  <c r="P41" i="1"/>
  <c r="Q205" i="1"/>
  <c r="P205" i="1"/>
  <c r="Q219" i="1"/>
  <c r="P219" i="1"/>
  <c r="Q45" i="1"/>
  <c r="P45" i="1"/>
  <c r="Q209" i="1"/>
  <c r="P209" i="1"/>
  <c r="N114" i="1"/>
  <c r="O109" i="1"/>
  <c r="P49" i="1"/>
  <c r="P102" i="1"/>
  <c r="M163" i="1"/>
  <c r="M58" i="1"/>
  <c r="Q223" i="1"/>
  <c r="P210" i="1"/>
  <c r="N163" i="1"/>
  <c r="I103" i="1"/>
  <c r="Q84" i="1"/>
  <c r="M225" i="1"/>
  <c r="Q196" i="1"/>
  <c r="P183" i="1"/>
  <c r="I70" i="1"/>
  <c r="I32" i="1"/>
  <c r="P156" i="1"/>
  <c r="P191" i="1"/>
  <c r="N58" i="1"/>
  <c r="O43" i="1"/>
  <c r="Q43" i="1" s="1"/>
  <c r="P214" i="1"/>
  <c r="M236" i="1"/>
  <c r="P144" i="1"/>
  <c r="P168" i="1"/>
  <c r="P200" i="1"/>
  <c r="P153" i="1"/>
  <c r="P193" i="1"/>
  <c r="P162" i="1"/>
  <c r="Q162" i="1"/>
  <c r="O82" i="1"/>
  <c r="P207" i="1"/>
  <c r="P231" i="1"/>
  <c r="P97" i="1"/>
  <c r="N70" i="1"/>
  <c r="O176" i="1"/>
  <c r="Q176" i="1" s="1"/>
  <c r="P98" i="1"/>
  <c r="P181" i="1"/>
  <c r="O26" i="1"/>
  <c r="Q26" i="1" s="1"/>
  <c r="P119" i="1"/>
  <c r="M38" i="1"/>
  <c r="P61" i="1"/>
  <c r="O27" i="1"/>
  <c r="Q27" i="1" s="1"/>
  <c r="O117" i="1"/>
  <c r="Q117" i="1" s="1"/>
  <c r="Q147" i="1"/>
  <c r="P147" i="1"/>
  <c r="Q72" i="1"/>
  <c r="O89" i="1"/>
  <c r="N103" i="1"/>
  <c r="P161" i="1"/>
  <c r="Q40" i="1"/>
  <c r="O58" i="1"/>
  <c r="P11" i="1"/>
  <c r="O111" i="1"/>
  <c r="Q111" i="1" s="1"/>
  <c r="P25" i="1"/>
  <c r="Q158" i="1"/>
  <c r="Q142" i="1"/>
  <c r="P128" i="1"/>
  <c r="Q52" i="1"/>
  <c r="P208" i="1"/>
  <c r="I249" i="1"/>
  <c r="P238" i="1"/>
  <c r="I58" i="1"/>
  <c r="P40" i="1"/>
  <c r="P24" i="1"/>
  <c r="P186" i="1"/>
  <c r="O68" i="1"/>
  <c r="Q68" i="1" s="1"/>
  <c r="O116" i="1"/>
  <c r="O165" i="1"/>
  <c r="N225" i="1"/>
  <c r="P67" i="1"/>
  <c r="P177" i="1"/>
  <c r="P93" i="1"/>
  <c r="P233" i="1"/>
  <c r="P187" i="1"/>
  <c r="P192" i="1"/>
  <c r="O249" i="1"/>
  <c r="Q238" i="1"/>
  <c r="O173" i="1"/>
  <c r="P43" i="1"/>
  <c r="Q91" i="1"/>
  <c r="P224" i="1"/>
  <c r="P166" i="1"/>
  <c r="O125" i="1"/>
  <c r="P134" i="1"/>
  <c r="P96" i="1"/>
  <c r="O227" i="1"/>
  <c r="P227" i="1" s="1"/>
  <c r="N236" i="1"/>
  <c r="P152" i="1"/>
  <c r="N13" i="1"/>
  <c r="O9" i="1"/>
  <c r="Q9" i="1" s="1"/>
  <c r="P155" i="1"/>
  <c r="P190" i="1"/>
  <c r="P121" i="1"/>
  <c r="P201" i="1"/>
  <c r="O60" i="1"/>
  <c r="P26" i="1"/>
  <c r="P199" i="1"/>
  <c r="O34" i="1"/>
  <c r="N38" i="1"/>
  <c r="P69" i="1"/>
  <c r="O220" i="1"/>
  <c r="Q220" i="1" s="1"/>
  <c r="P117" i="1"/>
  <c r="P105" i="1"/>
  <c r="P189" i="1"/>
  <c r="O23" i="1"/>
  <c r="Q23" i="1" s="1"/>
  <c r="N32" i="1"/>
  <c r="I236" i="1"/>
  <c r="P124" i="1"/>
  <c r="Q99" i="1"/>
  <c r="P99" i="1"/>
  <c r="O15" i="1"/>
  <c r="Q15" i="1" s="1"/>
  <c r="N21" i="1"/>
  <c r="P94" i="1"/>
  <c r="M80" i="1"/>
  <c r="P79" i="1"/>
  <c r="Q79" i="1"/>
  <c r="I80" i="1"/>
  <c r="P72" i="1"/>
  <c r="Q47" i="1"/>
  <c r="P47" i="1"/>
  <c r="I87" i="1"/>
  <c r="P90" i="1"/>
  <c r="Q154" i="1"/>
  <c r="P64" i="1"/>
  <c r="P160" i="1"/>
  <c r="P202" i="1"/>
  <c r="I163" i="1"/>
  <c r="M103" i="1"/>
  <c r="Q126" i="1"/>
  <c r="O180" i="1"/>
  <c r="Q180" i="1" s="1"/>
  <c r="O188" i="1"/>
  <c r="Q188" i="1" s="1"/>
  <c r="P44" i="1"/>
  <c r="P229" i="1"/>
  <c r="P174" i="1"/>
  <c r="M32" i="1"/>
  <c r="P215" i="1"/>
  <c r="P216" i="1"/>
  <c r="O66" i="1"/>
  <c r="Q66" i="1" s="1"/>
  <c r="M13" i="1"/>
  <c r="Q182" i="1"/>
  <c r="Q145" i="1"/>
  <c r="I13" i="1"/>
  <c r="P179" i="1"/>
  <c r="P169" i="1"/>
  <c r="I114" i="1"/>
  <c r="P109" i="1"/>
  <c r="Q141" i="1"/>
  <c r="O118" i="1"/>
  <c r="P42" i="1"/>
  <c r="I225" i="1"/>
  <c r="P239" i="1"/>
  <c r="P139" i="1"/>
  <c r="P138" i="1"/>
  <c r="Q138" i="1"/>
  <c r="O30" i="1"/>
  <c r="P234" i="1"/>
  <c r="P212" i="1"/>
  <c r="P167" i="1"/>
  <c r="P76" i="1"/>
  <c r="P48" i="1"/>
  <c r="I38" i="1"/>
  <c r="P34" i="1"/>
  <c r="P185" i="1"/>
  <c r="P27" i="1"/>
  <c r="Q143" i="1" l="1"/>
  <c r="P143" i="1"/>
  <c r="P159" i="1"/>
  <c r="P30" i="1"/>
  <c r="Q30" i="1"/>
  <c r="P171" i="1"/>
  <c r="O38" i="1"/>
  <c r="Q34" i="1"/>
  <c r="P58" i="1"/>
  <c r="O80" i="1"/>
  <c r="P220" i="1"/>
  <c r="P78" i="1"/>
  <c r="P38" i="1"/>
  <c r="N250" i="1"/>
  <c r="N4" i="1" s="1"/>
  <c r="P83" i="1"/>
  <c r="P68" i="1"/>
  <c r="Q80" i="1"/>
  <c r="P129" i="1"/>
  <c r="P148" i="1"/>
  <c r="P203" i="1"/>
  <c r="P127" i="1"/>
  <c r="P175" i="1"/>
  <c r="M250" i="1"/>
  <c r="P277" i="1" s="1"/>
  <c r="Q62" i="1"/>
  <c r="P62" i="1"/>
  <c r="Q150" i="1"/>
  <c r="P150" i="1"/>
  <c r="Q218" i="1"/>
  <c r="P218" i="1"/>
  <c r="Q106" i="1"/>
  <c r="P106" i="1"/>
  <c r="Q204" i="1"/>
  <c r="P204" i="1"/>
  <c r="Q120" i="1"/>
  <c r="P120" i="1"/>
  <c r="P188" i="1"/>
  <c r="P107" i="1"/>
  <c r="Q194" i="1"/>
  <c r="P194" i="1"/>
  <c r="Q172" i="1"/>
  <c r="P172" i="1"/>
  <c r="Q77" i="1"/>
  <c r="P77" i="1"/>
  <c r="Q211" i="1"/>
  <c r="P211" i="1"/>
  <c r="Q118" i="1"/>
  <c r="P118" i="1"/>
  <c r="O21" i="1"/>
  <c r="P15" i="1"/>
  <c r="Q38" i="1"/>
  <c r="O70" i="1"/>
  <c r="Q70" i="1" s="1"/>
  <c r="Q60" i="1"/>
  <c r="P66" i="1"/>
  <c r="P60" i="1"/>
  <c r="O114" i="1"/>
  <c r="Q114" i="1" s="1"/>
  <c r="Q109" i="1"/>
  <c r="O13" i="1"/>
  <c r="P9" i="1"/>
  <c r="Q173" i="1"/>
  <c r="P173" i="1"/>
  <c r="Q116" i="1"/>
  <c r="O163" i="1"/>
  <c r="Q163" i="1" s="1"/>
  <c r="P116" i="1"/>
  <c r="O32" i="1"/>
  <c r="Q249" i="1"/>
  <c r="O225" i="1"/>
  <c r="Q225" i="1" s="1"/>
  <c r="Q165" i="1"/>
  <c r="P165" i="1"/>
  <c r="Q58" i="1"/>
  <c r="O103" i="1"/>
  <c r="Q103" i="1" s="1"/>
  <c r="Q89" i="1"/>
  <c r="O87" i="1"/>
  <c r="Q87" i="1" s="1"/>
  <c r="Q82" i="1"/>
  <c r="P82" i="1"/>
  <c r="P111" i="1"/>
  <c r="O236" i="1"/>
  <c r="Q236" i="1" s="1"/>
  <c r="Q227" i="1"/>
  <c r="P80" i="1"/>
  <c r="Q125" i="1"/>
  <c r="P125" i="1"/>
  <c r="P180" i="1"/>
  <c r="P249" i="1"/>
  <c r="J250" i="1"/>
  <c r="P176" i="1"/>
  <c r="P23" i="1"/>
  <c r="P89" i="1"/>
  <c r="P21" i="1" l="1"/>
  <c r="Q21" i="1"/>
  <c r="P32" i="1"/>
  <c r="Q32" i="1"/>
  <c r="P13" i="1"/>
  <c r="Q13" i="1"/>
  <c r="P114" i="1"/>
  <c r="P70" i="1"/>
  <c r="P87" i="1"/>
  <c r="P163" i="1"/>
  <c r="O250" i="1"/>
  <c r="P103" i="1"/>
  <c r="P225" i="1"/>
  <c r="P236" i="1"/>
  <c r="P250" i="1" l="1"/>
</calcChain>
</file>

<file path=xl/sharedStrings.xml><?xml version="1.0" encoding="utf-8"?>
<sst xmlns="http://schemas.openxmlformats.org/spreadsheetml/2006/main" count="2941" uniqueCount="867">
  <si>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</si>
  <si>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</si>
  <si>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</si>
  <si>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</si>
  <si>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</si>
  <si>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</si>
  <si>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</si>
  <si>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</si>
  <si>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</si>
  <si>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</si>
  <si>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</si>
  <si>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</si>
  <si>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</si>
  <si>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</si>
  <si>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</si>
  <si>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</si>
  <si>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</si>
  <si>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</si>
  <si>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</si>
  <si>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</si>
  <si>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</si>
  <si>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</si>
  <si>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</si>
  <si>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</si>
  <si>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</si>
  <si>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</si>
  <si>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</si>
  <si>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</si>
  <si>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</si>
  <si>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</si>
  <si>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</si>
  <si>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</si>
  <si>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</si>
  <si>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</si>
  <si>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</si>
  <si>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</si>
  <si>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</si>
  <si>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</si>
  <si>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</si>
  <si>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</si>
  <si>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</si>
  <si>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</si>
  <si>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</si>
  <si>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</si>
  <si>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</si>
  <si>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</si>
  <si>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</si>
  <si>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</si>
  <si>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</si>
  <si>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</si>
  <si>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</si>
  <si>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</si>
  <si>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</si>
  <si>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</si>
  <si>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</si>
  <si>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</si>
  <si>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</si>
  <si>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</si>
  <si>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</si>
  <si>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</si>
  <si>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</si>
  <si>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</si>
  <si>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</si>
  <si>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</si>
  <si>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</si>
  <si>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</si>
  <si>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</si>
  <si>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</si>
  <si>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</si>
  <si>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</si>
  <si>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</si>
  <si>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</si>
  <si>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</si>
  <si>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</si>
  <si>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</si>
  <si>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</si>
  <si>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</si>
  <si>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</si>
  <si>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</si>
  <si>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</si>
  <si>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</si>
  <si>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</si>
  <si>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</si>
  <si>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</si>
  <si>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</si>
  <si>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</si>
  <si>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</si>
  <si>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</si>
  <si>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</si>
  <si>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</si>
  <si>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</si>
  <si>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</si>
  <si>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</si>
  <si>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</si>
  <si>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</si>
  <si>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</si>
  <si>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</si>
  <si>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</si>
  <si>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</si>
  <si>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</si>
  <si>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</si>
  <si>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</si>
  <si>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</si>
  <si>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</si>
  <si>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</si>
  <si>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</si>
  <si>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</si>
  <si>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</si>
  <si>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</si>
  <si>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</si>
  <si>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</si>
  <si>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</si>
  <si>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</si>
  <si>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</si>
  <si>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</si>
  <si>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</si>
  <si>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</si>
  <si>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</si>
  <si>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</si>
  <si>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</si>
  <si>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</si>
  <si>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</si>
  <si>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</si>
  <si>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</si>
  <si>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</si>
  <si>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</si>
  <si>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</si>
  <si>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</si>
  <si>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</si>
  <si>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</si>
  <si>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</si>
  <si>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</si>
  <si>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</si>
  <si>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</si>
  <si>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</si>
  <si>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</si>
  <si>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</si>
  <si>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</si>
  <si>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</si>
  <si>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</si>
  <si>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</si>
  <si>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</si>
  <si>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</si>
  <si>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</si>
  <si>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</si>
  <si>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</si>
  <si>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</si>
  <si>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</si>
  <si>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</si>
  <si>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</si>
  <si>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</si>
  <si>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</si>
  <si>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</si>
  <si>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</si>
  <si>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</si>
  <si>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</si>
  <si>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</si>
  <si>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</si>
  <si>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</si>
  <si>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</si>
  <si>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</si>
  <si>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</si>
  <si>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</si>
  <si>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</si>
  <si>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</si>
  <si>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</si>
  <si>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</si>
  <si>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</si>
  <si>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</si>
  <si>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</si>
  <si>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</si>
  <si>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</si>
  <si>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</si>
  <si>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</si>
  <si>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</si>
  <si>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</si>
  <si>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</si>
  <si>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</si>
  <si>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</si>
  <si>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</si>
  <si>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</si>
  <si>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</si>
  <si>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</si>
  <si>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</si>
  <si>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</si>
  <si>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</si>
  <si>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</si>
  <si>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</si>
  <si>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</si>
  <si>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</si>
  <si>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</si>
  <si>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</si>
  <si>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</si>
  <si>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</si>
  <si>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</si>
  <si>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</si>
  <si>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</si>
  <si>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</si>
  <si>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</si>
  <si>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</si>
  <si>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</si>
  <si>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</si>
  <si>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</si>
  <si>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</si>
  <si>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</si>
  <si>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</si>
  <si>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</si>
  <si>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</si>
  <si>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</si>
  <si>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</si>
  <si>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</si>
  <si>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</si>
  <si>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</si>
  <si>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</si>
  <si>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</si>
  <si>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</si>
  <si>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</si>
  <si>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</si>
  <si>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</si>
  <si>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</si>
  <si>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</si>
  <si>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</si>
  <si>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</si>
  <si>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</si>
  <si>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</si>
  <si>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</si>
  <si>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</si>
  <si>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</si>
  <si>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</si>
  <si>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</si>
  <si>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</si>
  <si>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</si>
  <si>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</si>
  <si>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</si>
  <si>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</si>
  <si>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</si>
  <si>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</si>
  <si>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</si>
  <si>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</si>
  <si>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</si>
  <si>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</si>
  <si>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</si>
  <si>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</si>
  <si>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</si>
  <si>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</si>
  <si>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</si>
  <si>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</si>
  <si>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</si>
  <si>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</si>
  <si>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</si>
  <si>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</si>
  <si>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</si>
  <si>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</si>
  <si>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</si>
  <si>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</si>
  <si>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</si>
  <si>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</si>
  <si>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</si>
  <si>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</si>
  <si>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</si>
  <si>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</si>
  <si>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</si>
  <si>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</si>
  <si>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</si>
  <si>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</si>
  <si>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</si>
  <si>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</si>
  <si>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</si>
  <si>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</si>
  <si>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</si>
  <si>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</si>
  <si>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</si>
  <si>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</si>
  <si>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</si>
  <si>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</si>
  <si>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</si>
  <si>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</si>
  <si>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</si>
  <si>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</si>
  <si>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</si>
  <si>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</si>
  <si>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</si>
  <si>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</si>
  <si>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</si>
  <si>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</si>
  <si>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</si>
  <si>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</si>
  <si>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</si>
  <si>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</si>
  <si>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</si>
  <si>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</si>
  <si>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</si>
  <si>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</si>
  <si>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</si>
  <si>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</si>
  <si>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</si>
  <si>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</si>
  <si>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</si>
  <si>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</si>
  <si>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</si>
  <si>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</si>
  <si>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</si>
  <si>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</si>
  <si>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</si>
  <si>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</si>
  <si>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</si>
  <si>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</si>
  <si>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</si>
  <si>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</si>
  <si>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</si>
  <si>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</si>
  <si>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</si>
  <si>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</si>
  <si>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</si>
  <si>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</si>
  <si>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</si>
  <si>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</si>
  <si>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</si>
  <si>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</si>
  <si>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</si>
  <si>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</si>
  <si>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</si>
  <si>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</si>
  <si>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</si>
  <si>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</si>
  <si>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</si>
  <si>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</si>
  <si>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</si>
  <si>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</si>
  <si>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</si>
  <si>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</si>
  <si>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</si>
  <si>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</si>
  <si>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</si>
  <si>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</si>
  <si>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</si>
  <si>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</si>
  <si>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</si>
  <si>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</si>
  <si>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</si>
  <si>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</si>
  <si>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</si>
  <si>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</si>
  <si>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</si>
  <si>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</si>
  <si>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</si>
  <si>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</si>
  <si>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</si>
  <si>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</si>
  <si>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</si>
  <si>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</si>
  <si>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</si>
  <si>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</si>
  <si>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</si>
  <si>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</si>
  <si>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</si>
  <si>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</si>
  <si>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</si>
  <si>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</si>
  <si>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</si>
  <si>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</si>
  <si>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</si>
  <si>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</si>
  <si>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</si>
  <si>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</si>
  <si>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</si>
  <si>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</si>
  <si>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</si>
  <si>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</si>
  <si>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</si>
  <si>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</si>
  <si>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</si>
  <si>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</si>
  <si>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</si>
  <si>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</si>
  <si>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</si>
  <si>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</si>
  <si>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</si>
  <si>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</si>
  <si>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</si>
  <si>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</si>
  <si>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</si>
  <si>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</si>
  <si>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</si>
  <si>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</si>
  <si>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</si>
  <si>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</si>
  <si>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</si>
  <si>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</si>
  <si>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</si>
  <si>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</si>
  <si>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</si>
  <si>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</si>
  <si>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</si>
  <si>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</si>
  <si>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</si>
  <si>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</si>
  <si>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</si>
  <si>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</si>
  <si>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</si>
  <si>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</si>
  <si>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</si>
  <si>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</si>
  <si>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</si>
  <si>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</si>
  <si>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</si>
  <si>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</si>
  <si>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</si>
  <si>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</si>
  <si>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</si>
  <si>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</si>
  <si>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</si>
  <si>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</si>
  <si>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</si>
  <si>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</si>
  <si>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</si>
  <si>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</si>
  <si>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</si>
  <si>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</si>
  <si>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</si>
  <si>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</si>
  <si>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</si>
  <si>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</si>
  <si>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</si>
  <si>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</si>
  <si>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</si>
  <si>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</si>
  <si>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</si>
  <si>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</si>
  <si>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</si>
  <si>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</si>
  <si>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</si>
  <si>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</si>
  <si>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</si>
  <si>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</si>
  <si>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</si>
  <si>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</si>
  <si>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</si>
  <si>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</si>
  <si>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</si>
  <si>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</si>
  <si>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</si>
  <si>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</si>
  <si>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</si>
  <si>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</si>
  <si>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</si>
  <si>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</si>
  <si>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</si>
  <si>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</si>
  <si>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</si>
  <si>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</si>
  <si>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</si>
  <si>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</si>
  <si>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</si>
  <si>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</si>
  <si>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</si>
  <si>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</si>
  <si>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</si>
  <si>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</si>
  <si>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</si>
  <si>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</si>
  <si>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</si>
  <si>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</si>
  <si>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</si>
  <si>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</si>
  <si>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</si>
  <si>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</si>
  <si>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</si>
  <si>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</si>
  <si>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</si>
  <si>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</si>
  <si>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</si>
  <si>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</si>
  <si>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</si>
  <si>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</si>
  <si>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</si>
  <si>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</si>
  <si>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</si>
  <si>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</si>
  <si>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</si>
  <si>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</si>
  <si>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</si>
  <si>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</si>
  <si>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</si>
  <si>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</si>
  <si>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</si>
  <si>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</si>
  <si>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</si>
  <si>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</si>
  <si>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</si>
  <si>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</si>
  <si>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</si>
  <si>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</si>
  <si>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</si>
  <si>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</si>
  <si>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</si>
  <si>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</si>
  <si>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</si>
  <si>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</si>
  <si>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</si>
  <si>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</si>
  <si>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</si>
  <si>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</si>
  <si>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</si>
  <si>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</si>
  <si>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</si>
  <si>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</si>
  <si>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</si>
  <si>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</si>
  <si>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</si>
  <si>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</si>
  <si>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</si>
  <si>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</si>
  <si>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</si>
  <si>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</si>
  <si>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</si>
  <si>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</si>
  <si>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</si>
  <si>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</si>
  <si>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</si>
  <si>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</si>
  <si>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</si>
  <si>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</si>
  <si>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</si>
  <si>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</si>
  <si>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</si>
  <si>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</si>
  <si>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</si>
  <si>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</si>
  <si>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</si>
  <si>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</si>
  <si>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</si>
  <si>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</si>
  <si>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</si>
  <si>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</si>
  <si>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</si>
  <si>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</si>
  <si>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</si>
  <si>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</si>
  <si>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</si>
  <si>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</si>
  <si>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</si>
  <si>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</si>
  <si>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</si>
  <si>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</si>
  <si>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</si>
  <si>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</si>
  <si>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</si>
  <si>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</si>
  <si>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</si>
  <si>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</si>
  <si>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</si>
  <si>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</si>
  <si>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</si>
  <si>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</si>
  <si>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</si>
  <si>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</si>
  <si>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</si>
  <si>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</si>
  <si>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</si>
  <si>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</si>
  <si>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</si>
  <si>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</si>
  <si>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</si>
  <si>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</si>
  <si>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</si>
  <si>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</si>
  <si>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</si>
  <si>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</si>
  <si>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</si>
  <si>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</si>
  <si>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</si>
  <si>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</si>
  <si>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</si>
  <si>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</si>
  <si>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</si>
  <si>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</si>
  <si>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</si>
  <si>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</si>
  <si>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</si>
  <si>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</si>
  <si>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</si>
  <si>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</si>
  <si>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</si>
  <si>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</si>
  <si>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</si>
  <si>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</si>
  <si>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</si>
  <si>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</si>
  <si>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</si>
  <si>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</si>
  <si>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</si>
  <si>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</si>
  <si>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</si>
  <si>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</si>
  <si>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</si>
  <si>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</si>
  <si>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</si>
  <si>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</si>
  <si>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</si>
  <si>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</si>
  <si>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</si>
  <si>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</si>
  <si>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</si>
  <si>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</si>
  <si>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</si>
  <si>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</si>
  <si>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</si>
  <si>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</si>
  <si>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</si>
  <si>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</si>
  <si>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</si>
  <si>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</si>
  <si>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</si>
  <si>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</si>
  <si>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</si>
  <si>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</si>
  <si>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</si>
  <si>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</si>
  <si>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</si>
  <si>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</si>
  <si>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</si>
  <si>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</si>
  <si>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</si>
  <si>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PREÇO
UNITÁRIO R$ - BDI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</si>
  <si>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</si>
  <si>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</si>
  <si>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</si>
  <si>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</si>
  <si>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</si>
  <si>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</si>
  <si>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</si>
  <si>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</si>
  <si>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</si>
  <si>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</si>
  <si>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</si>
  <si>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</si>
  <si>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</si>
  <si>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</si>
  <si>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</si>
  <si>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</si>
  <si>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</si>
  <si>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</si>
  <si>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</si>
  <si>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</si>
  <si>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</si>
  <si>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</si>
  <si>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</si>
  <si>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</si>
  <si>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</si>
  <si>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</si>
  <si>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</si>
  <si>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</si>
  <si>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</si>
  <si>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</si>
  <si>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</si>
  <si>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</si>
  <si>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</si>
  <si>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</si>
  <si>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</si>
  <si>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</si>
  <si>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</si>
  <si>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</si>
  <si>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</si>
  <si>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</si>
  <si>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</si>
  <si>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</si>
  <si>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</si>
  <si>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</si>
  <si>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</si>
  <si>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</si>
  <si>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</si>
  <si>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</si>
  <si>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</si>
  <si>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</si>
  <si>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</si>
  <si>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</si>
  <si>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</si>
  <si>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</si>
  <si>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</si>
  <si>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</si>
  <si>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</si>
  <si>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</si>
  <si>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</si>
  <si>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</si>
  <si>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</si>
  <si>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</si>
  <si>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</si>
  <si>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</si>
  <si>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</si>
  <si>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</si>
  <si>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</si>
  <si>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</si>
  <si>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</si>
  <si>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</si>
  <si>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</si>
  <si>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</si>
  <si>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</si>
  <si>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</si>
  <si>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</si>
  <si>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</si>
  <si>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</si>
  <si>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</si>
  <si>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</si>
  <si>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</si>
  <si>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</si>
  <si>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</si>
  <si>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</si>
  <si>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</si>
  <si>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</si>
  <si>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</si>
  <si>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</si>
  <si>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</si>
  <si>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</si>
  <si>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</si>
  <si>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</si>
  <si>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</si>
  <si>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</si>
  <si>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</si>
  <si>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</si>
  <si>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</si>
  <si>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</si>
  <si>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</si>
  <si>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</si>
  <si>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</si>
  <si>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</si>
  <si>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</si>
  <si>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</si>
  <si>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</si>
  <si>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</si>
  <si>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</si>
  <si>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</si>
  <si>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</si>
  <si>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</si>
  <si>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</si>
  <si>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</si>
  <si>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</si>
  <si>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</si>
  <si>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</si>
  <si>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</si>
  <si>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</si>
  <si>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</si>
  <si>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</si>
  <si>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</si>
  <si>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</si>
  <si>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</si>
  <si>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</si>
  <si>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</si>
  <si>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</si>
  <si>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</si>
  <si>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</si>
  <si>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</si>
  <si>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</si>
  <si>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</si>
  <si>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</si>
  <si>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</si>
  <si>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</si>
  <si>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</si>
  <si>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</si>
  <si>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</si>
  <si>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</si>
  <si>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</si>
  <si>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</si>
  <si>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</si>
  <si>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</si>
  <si>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</si>
  <si>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</si>
  <si>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</si>
  <si>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</si>
  <si>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</si>
  <si>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</si>
  <si>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</si>
  <si>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</si>
  <si>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</si>
  <si>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</si>
  <si>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</si>
  <si>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</si>
  <si>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</si>
  <si>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</si>
  <si>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</si>
  <si>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</si>
  <si>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</si>
  <si>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</si>
  <si>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</si>
  <si>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t>Tubo de queda d'água = 72,00 m</t>
  </si>
  <si>
    <t xml:space="preserve">De acordo com coberta in loco = 98,35 m 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</si>
  <si>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
TOTAL 944,79 - PAGO NO BM 05 (607,82 m²)</t>
  </si>
  <si>
    <t>,</t>
  </si>
  <si>
    <t>PLATIBANDA NORTE = 49,20 * 1,30 = 63,56 m²
PLATIBANDA SUL = 21,20 * 1,30 = 27,56 m²
PLATIBANDA OESTE = ((28,45*1,30)+(3*0,4)) = 38,18 m²
PLATIBANDA LESTE = ((28,45*1,3)+(3*0,40)) = 38,18 m²
PLATIBANDA INTERNA = 56,40 * 1,3 = 73,32 m²
EMPENAS MAIORES (3 UND) = (3*(((5*1,4)/2)*2)) = 21 m²
EMPENAS MENORES (12 UND) = =(12*(((4,037*1,1)/2)*2)) = 53,28 m²
TOTAL PLATIBANDA + EMPENAS = 315,08 * 2 FACES DA ALVENARIA = 630,16 m²</t>
  </si>
  <si>
    <t>2.4</t>
  </si>
  <si>
    <t>2.5</t>
  </si>
  <si>
    <t>2.6</t>
  </si>
  <si>
    <t>ESCAVAÇÃO MECANIZADA DE VALA COM PROF. ATÉ 1,5 M (MÉDIA ENTRE MONTANTE E JUSANTE/UMA COMPOSIÇÃO POR TRECHO) COM RETROESCAVADEIRA (0,26 M3/88 HP), LARGURA MENOR QUE 0,8 M, EM SOLO DE 2A CATEGORIA, EM LOCAIS COM BAIXO NÍVEL DE NTERFERÊNCIA. AF_02/2021</t>
  </si>
  <si>
    <t>Expurgo de jazida (consv)</t>
  </si>
  <si>
    <t>SONDAGEM À PERCUSSÃO P/RECONHECIMENTO DO SUBSOLO</t>
  </si>
  <si>
    <t>C2290</t>
  </si>
  <si>
    <t>.</t>
  </si>
  <si>
    <t>3.9</t>
  </si>
  <si>
    <t>Impermeabilização de alicerce e viga baldrame com 2 demãos de tinta asfáltica tipo Neutrol da Vedacit ou similar, exceto argamassa impermeabilização</t>
  </si>
  <si>
    <t>4.4</t>
  </si>
  <si>
    <t>(COMPOSIÇÃO REPRESENTATIVA) DO SERVIÇO DE ALVENARIA DE VEDAÇÃO DE BLOCOS VAZADOS DE CERÂMICA DE 14X9X19CM (ESPESSURA 14CM, BLOCO DEITADO), PARA EDIFICAÇÃO HABITACIONAL UNIFAMILIAR (CASA) E EDIFICAÇÃO PÚBLICA PADRÃO. AF_12/2014</t>
  </si>
  <si>
    <t>5.10.1</t>
  </si>
  <si>
    <t>ARMAÇÃO DE PILAR OU VIGA DE UMA ESTRUTURA CONVENCIONAL DE CONCRETO ARMADO EM UMA EDIFICAÇÃO TÉRREA OU SOBRADO UTILIZANDO AÇO CA-50 DE 8,0 MM - MONTAGEM. AF_12/2015</t>
  </si>
  <si>
    <t>5.11.2</t>
  </si>
  <si>
    <t>5.11.3</t>
  </si>
  <si>
    <t>5.11.4</t>
  </si>
  <si>
    <t>5.11.5</t>
  </si>
  <si>
    <t>5.11.6</t>
  </si>
  <si>
    <t>15.3</t>
  </si>
  <si>
    <t>15.4</t>
  </si>
  <si>
    <t>15.5</t>
  </si>
  <si>
    <t>EXECUÇÃO DE PASSEIO (CALÇADA) OU PISO DE CONCRETO COM CONCRETO MOLDADO IN LOCO, FEITO EM OBRA, ACABAMENTO CONVENCIONAL, ESPESSURA 6 CM, ARMADO. AF_07/2016</t>
  </si>
  <si>
    <t>15.6</t>
  </si>
  <si>
    <t>15.7</t>
  </si>
  <si>
    <t>15.8</t>
  </si>
  <si>
    <t>15.9</t>
  </si>
  <si>
    <t>15.10</t>
  </si>
  <si>
    <t>15.11</t>
  </si>
  <si>
    <t>Fiadas embassamento ao redor do colégio (altura) = 0,80 m
Fiadas internas embassamento (altura) = 0,20 m
Comprimento fiadas embassamento ao redor do colégio = 18,83 + 38,00 + 18,82 + 5,75 + 12,30 + 23,25 + 9,80 + 6,45 + 2,53 + 15,45 = 151,18 m
Comprimento fiadas embassamento internas = 15,45+15,45+8,13+8,13+8,13+1,60+1,85+1,85+1,60+4,00+8,20+7,53+6+6+6,20+9,45+9,45+3,00+3,15+3,15+1,95+8,3+8,3+8,3+17,25+11,50+8,15+8,15+8,15+17,25 = 225,62 m 
Área alvenaria de embassamento ao redor do colégio =  151,18 m * 0,80 m = 120,95 m²
Área alvenaria de embassamento internas = 225,62 m * 0,20 m = 45,124 m²</t>
  </si>
  <si>
    <t xml:space="preserve">MEMÓRIA MURO </t>
  </si>
  <si>
    <t>Alvenaria escada = ((3,12 * 0,75 * 2) + (3,59*0,75*2)) = 10,065 m²
Alvenaria rampa = ((6,33*0,75*2) + (4,65*0,75*2)) = 16,47 m²</t>
  </si>
  <si>
    <t>Aterro escada = 3,12*3,59*0,75 = 8,4006 m³
Aterro rampa = 6,33*4,65*0,75 = 22,07588 m³</t>
  </si>
  <si>
    <t>Piso escada = 3,12*3,59 = 11,2008 m²
Piso rampa = 6,33*4,65 = 29,4345 m²</t>
  </si>
  <si>
    <t>Contrapiso escada = 3,12*3,59 = 11,2008 m²
Contrapiso rampa = 6,33*4,65 = 29,4345 m²</t>
  </si>
  <si>
    <t>Escada = 3,12 * 0,75 = 2,34 m²
Rampa = ((6,32*0,75)+(4,65*0,75)+(4,8*0,75*2)+(1,62*0,75)) = 16,65 m²</t>
  </si>
  <si>
    <r>
      <rPr>
        <b/>
        <sz val="14"/>
        <color theme="1"/>
        <rFont val="Calibri"/>
        <family val="2"/>
      </rPr>
      <t>8ª</t>
    </r>
    <r>
      <rPr>
        <b/>
        <sz val="14"/>
        <color theme="1"/>
        <rFont val="Arial"/>
        <family val="2"/>
      </rPr>
      <t xml:space="preserve"> MEDIÇÃO</t>
    </r>
  </si>
  <si>
    <t>PERIODO 21/03/2024 a 06/09/2024</t>
  </si>
  <si>
    <t>ARGAMASSA UTILIZADA PARA ASSENTAMENTO DE ALVENARIA DE EMBASSAMENTO, COM ADITIVO
Fiadas embassamento ao redor do colégio (altura) = 0,80 m
Fiadas internas embassamento (altura) = 0,20 m
Comprimento fiadas embassamento ao redor do colégio = 18,83 + 38,00 + 18,82 + 5,75 + 12,30 + 23,25 + 9,80 + 6,45 + 2,53 + 15,45 = 151,18 m
Comprimento fiadas embassamento internas = 15,45+15,45+8,13+8,13+8,13+1,60+1,85+1,85+1,60+4,00+8,20+7,53+6+6+6,20+9,45+9,45+3,00+3,15+3,15+1,95+8,3+8,3+8,3+17,25+11,50+8,15+8,15+8,15+17,25 = 225,62 m 
Área alvenaria de embassamento ao redor do colégio =  151,18 m * 0,80 m = 120,95 m²
Área alvenaria de embassamento internas = 225,62 m * 0,20 m = 45,124 m²
Volume de argamassa = (45.124+120.95)*0.0025 espessura = 0.42 m³</t>
  </si>
  <si>
    <t>MEMÓRIA DE CÁLCULO - BM 08</t>
  </si>
  <si>
    <t>MEMORIA DE CALCULO - BM 08</t>
  </si>
  <si>
    <t>MEMÓRIA DE CÁLCULO MURRO - BM 08</t>
  </si>
  <si>
    <t>MEMÓRIA DE CÁLCULO ATERRO - BM 08</t>
  </si>
  <si>
    <t>MEMÓRIA DE CÁLCULO PILARES - BM 08</t>
  </si>
  <si>
    <t>MEMÓRIA DE CÁLCULO VIGAS - BM 08</t>
  </si>
  <si>
    <t>BOLETIM DE MEDIÇÃO- BM-07</t>
  </si>
  <si>
    <t>Prefeitura Municipal de Sousa-PB</t>
  </si>
  <si>
    <t>Licitado</t>
  </si>
  <si>
    <t>VALORES/QUANTITATIVO</t>
  </si>
  <si>
    <t>BDI</t>
  </si>
  <si>
    <t>Contratado</t>
  </si>
  <si>
    <t>QUANTIDADE CONTRATADA</t>
  </si>
  <si>
    <t>PREÇO R$ (BDI)</t>
  </si>
  <si>
    <t>TOTAL PREVISTO R$</t>
  </si>
  <si>
    <t>PAGO ATÉ BM-06</t>
  </si>
  <si>
    <t>EXECUTADO ATUAL</t>
  </si>
  <si>
    <t>VALOR MEDIÇÃO ATUAL</t>
  </si>
  <si>
    <t>ACUMULADO INCLUINDO ATUAL</t>
  </si>
  <si>
    <t>% MEDIDA</t>
  </si>
  <si>
    <t>OBS</t>
  </si>
  <si>
    <t>Redução ofertada</t>
  </si>
  <si>
    <t>OBS: ESSA ALVENARIA É IGUAL A ANTERIOR</t>
  </si>
  <si>
    <t>ITEM NÃO EXECUTADO</t>
  </si>
  <si>
    <t>ITEM PAGO NO BM-06</t>
  </si>
  <si>
    <t>FALTANDO BANEIROS</t>
  </si>
  <si>
    <t>7.9</t>
  </si>
  <si>
    <t>SERVIÇO NÃO EXECUTADO</t>
  </si>
  <si>
    <t>CONTRATADO PÓS ADITIVO</t>
  </si>
  <si>
    <t>ACUMULADO ANTERIRO</t>
  </si>
  <si>
    <t>MEDIÇÃO ATUAL</t>
  </si>
  <si>
    <t>ACUMULADO</t>
  </si>
  <si>
    <t>OBSERVAÇÕES</t>
  </si>
  <si>
    <t xml:space="preserve"> 1- Obra sem evolução. pagamento referente a itens executados, oriundos do aditivo 01</t>
  </si>
  <si>
    <t>2- Solicita-se ao setor de convênios/contrato para análise e tomada das medidas administrativas cabíveis</t>
  </si>
  <si>
    <t>Sousa ,07 de maio de 2024</t>
  </si>
  <si>
    <t>Ricardo Lima Rodrigues</t>
  </si>
  <si>
    <t>Eng. Fiscal</t>
  </si>
  <si>
    <t>acumulado BM-07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</si>
</sst>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0" fontId="1" fillId="7" borderId="0"/>
    <xf numFmtId="0" fontId="1" fillId="7" borderId="0"/>
    <xf numFmtId="9" fontId="1" fillId="0" borderId="0" applyFont="0" applyFill="0" applyBorder="0" applyAlignment="0" applyProtection="0"/>
  </cellStyleXfs>
  <cellXfs count="380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0" fontId="13" fillId="11" borderId="1" xfId="0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10" borderId="1" xfId="2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 applyProtection="1">
      <alignment horizontal="center" vertical="center" wrapText="1"/>
    </xf>
    <xf numFmtId="4" fontId="13" fillId="6" borderId="1" xfId="0" applyNumberFormat="1" applyFont="1" applyFill="1" applyBorder="1" applyAlignment="1" applyProtection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1" borderId="1" xfId="0" applyNumberFormat="1" applyFont="1" applyFill="1" applyBorder="1" applyAlignment="1" applyProtection="1">
      <alignment horizontal="center" vertical="center" wrapText="1"/>
    </xf>
    <xf numFmtId="44" fontId="13" fillId="11" borderId="1" xfId="2" applyFont="1" applyFill="1" applyBorder="1" applyAlignment="1" applyProtection="1">
      <alignment horizontal="center" vertical="center" wrapText="1"/>
    </xf>
    <xf numFmtId="44" fontId="12" fillId="11" borderId="1" xfId="2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 wrapText="1"/>
    </xf>
    <xf numFmtId="0" fontId="2" fillId="8" borderId="15" xfId="3" applyFont="1" applyFill="1" applyBorder="1" applyAlignment="1">
      <alignment horizontal="center" vertical="center"/>
    </xf>
    <xf numFmtId="0" fontId="2" fillId="8" borderId="11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2" fillId="8" borderId="6" xfId="0" applyNumberFormat="1" applyFont="1" applyFill="1" applyBorder="1" applyAlignment="1" applyProtection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 wrapText="1"/>
    </xf>
    <xf numFmtId="44" fontId="0" fillId="0" borderId="7" xfId="2" applyFont="1" applyBorder="1" applyAlignment="1">
      <alignment horizontal="center" vertical="center"/>
    </xf>
    <xf numFmtId="0" fontId="13" fillId="11" borderId="6" xfId="0" applyNumberFormat="1" applyFont="1" applyFill="1" applyBorder="1" applyAlignment="1" applyProtection="1">
      <alignment horizontal="center" vertical="center" wrapText="1"/>
    </xf>
    <xf numFmtId="44" fontId="2" fillId="11" borderId="7" xfId="2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wrapText="1"/>
    </xf>
    <xf numFmtId="0" fontId="0" fillId="14" borderId="1" xfId="0" applyFill="1" applyBorder="1"/>
    <xf numFmtId="43" fontId="20" fillId="7" borderId="24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5" xfId="4" applyFont="1" applyBorder="1" applyAlignment="1" applyProtection="1">
      <alignment vertical="center"/>
      <protection locked="0"/>
    </xf>
    <xf numFmtId="43" fontId="21" fillId="7" borderId="26" xfId="4" applyFont="1" applyFill="1" applyBorder="1" applyAlignment="1">
      <alignment vertical="center"/>
    </xf>
    <xf numFmtId="43" fontId="21" fillId="7" borderId="17" xfId="4" applyFont="1" applyFill="1" applyBorder="1" applyAlignment="1">
      <alignment vertical="center"/>
    </xf>
    <xf numFmtId="43" fontId="22" fillId="7" borderId="17" xfId="4" applyFont="1" applyFill="1" applyBorder="1" applyAlignment="1">
      <alignment vertical="center"/>
    </xf>
    <xf numFmtId="43" fontId="22" fillId="7" borderId="27" xfId="4" applyFont="1" applyFill="1" applyBorder="1" applyAlignment="1">
      <alignment vertical="center"/>
    </xf>
    <xf numFmtId="0" fontId="24" fillId="7" borderId="24" xfId="5" applyFont="1" applyFill="1" applyBorder="1" applyAlignment="1">
      <alignment vertical="center"/>
    </xf>
    <xf numFmtId="49" fontId="25" fillId="7" borderId="0" xfId="5" applyNumberFormat="1" applyFont="1" applyFill="1" applyBorder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Fill="1" applyBorder="1" applyAlignment="1">
      <alignment vertical="center"/>
    </xf>
    <xf numFmtId="0" fontId="24" fillId="7" borderId="25" xfId="5" applyFont="1" applyFill="1" applyBorder="1" applyAlignment="1">
      <alignment vertical="center"/>
    </xf>
    <xf numFmtId="43" fontId="19" fillId="14" borderId="38" xfId="4" applyFont="1" applyFill="1" applyBorder="1" applyAlignment="1">
      <alignment horizontal="center" vertical="center"/>
    </xf>
    <xf numFmtId="43" fontId="19" fillId="14" borderId="36" xfId="4" applyFont="1" applyFill="1" applyBorder="1" applyAlignment="1">
      <alignment horizontal="center" vertical="center"/>
    </xf>
    <xf numFmtId="43" fontId="19" fillId="14" borderId="37" xfId="4" applyFont="1" applyFill="1" applyBorder="1" applyAlignment="1">
      <alignment horizontal="center" vertical="center"/>
    </xf>
    <xf numFmtId="43" fontId="19" fillId="14" borderId="39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43" fontId="26" fillId="7" borderId="32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2" fontId="26" fillId="14" borderId="33" xfId="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3" fontId="0" fillId="0" borderId="0" xfId="0" applyNumberFormat="1"/>
    <xf numFmtId="2" fontId="0" fillId="0" borderId="0" xfId="0" applyNumberFormat="1"/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13" fillId="14" borderId="1" xfId="0" applyNumberFormat="1" applyFont="1" applyFill="1" applyBorder="1" applyAlignment="1" applyProtection="1">
      <alignment horizontal="center" vertical="center" wrapText="1"/>
    </xf>
    <xf numFmtId="0" fontId="13" fillId="14" borderId="6" xfId="0" applyNumberFormat="1" applyFont="1" applyFill="1" applyBorder="1" applyAlignment="1" applyProtection="1">
      <alignment horizontal="center" vertical="center" wrapText="1"/>
    </xf>
    <xf numFmtId="44" fontId="0" fillId="14" borderId="1" xfId="2" applyFont="1" applyFill="1" applyBorder="1" applyAlignment="1">
      <alignment horizontal="center" vertical="center"/>
    </xf>
    <xf numFmtId="0" fontId="0" fillId="7" borderId="1" xfId="7" applyFont="1" applyFill="1" applyBorder="1" applyAlignment="1">
      <alignment horizontal="left" vertical="center" wrapText="1"/>
    </xf>
    <xf numFmtId="43" fontId="1" fillId="7" borderId="1" xfId="7" applyNumberFormat="1" applyFill="1" applyBorder="1" applyAlignment="1">
      <alignment horizontal="center" vertical="center"/>
    </xf>
    <xf numFmtId="0" fontId="1" fillId="14" borderId="1" xfId="7" applyFill="1" applyBorder="1" applyAlignment="1">
      <alignment horizontal="left" vertical="center" wrapText="1"/>
    </xf>
    <xf numFmtId="2" fontId="1" fillId="7" borderId="1" xfId="7" applyNumberFormat="1" applyFill="1" applyBorder="1" applyAlignment="1">
      <alignment horizontal="center" vertical="center"/>
    </xf>
    <xf numFmtId="44" fontId="13" fillId="14" borderId="1" xfId="2" applyFont="1" applyFill="1" applyBorder="1" applyAlignment="1" applyProtection="1">
      <alignment horizontal="right" vertical="center" wrapText="1"/>
    </xf>
    <xf numFmtId="44" fontId="13" fillId="14" borderId="1" xfId="2" applyFont="1" applyFill="1" applyBorder="1" applyAlignment="1" applyProtection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30" fillId="14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left" vertical="center" wrapText="1"/>
    </xf>
    <xf numFmtId="4" fontId="13" fillId="14" borderId="1" xfId="0" applyNumberFormat="1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4" fontId="0" fillId="10" borderId="1" xfId="0" applyNumberFormat="1" applyFill="1" applyBorder="1" applyAlignment="1">
      <alignment horizontal="center" vertical="center"/>
    </xf>
    <xf numFmtId="0" fontId="0" fillId="14" borderId="1" xfId="7" applyFont="1" applyFill="1" applyBorder="1" applyAlignment="1">
      <alignment horizontal="left" vertical="center" wrapText="1"/>
    </xf>
    <xf numFmtId="0" fontId="1" fillId="7" borderId="1" xfId="7" applyBorder="1" applyAlignment="1">
      <alignment horizontal="left" vertical="center" wrapText="1"/>
    </xf>
    <xf numFmtId="0" fontId="0" fillId="7" borderId="1" xfId="7" applyFont="1" applyBorder="1" applyAlignment="1">
      <alignment horizontal="left" vertical="center" wrapText="1"/>
    </xf>
    <xf numFmtId="0" fontId="1" fillId="7" borderId="1" xfId="7" applyFill="1" applyBorder="1" applyAlignment="1">
      <alignment horizontal="center" vertical="center"/>
    </xf>
    <xf numFmtId="0" fontId="1" fillId="7" borderId="1" xfId="7" applyBorder="1" applyAlignment="1">
      <alignment horizontal="left" vertical="center"/>
    </xf>
    <xf numFmtId="0" fontId="1" fillId="7" borderId="1" xfId="7" applyBorder="1" applyAlignment="1">
      <alignment horizontal="center" vertical="center"/>
    </xf>
    <xf numFmtId="4" fontId="0" fillId="14" borderId="1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4" fontId="30" fillId="1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6" fillId="12" borderId="1" xfId="1" applyNumberFormat="1" applyFont="1" applyFill="1" applyBorder="1" applyAlignment="1" applyProtection="1">
      <alignment horizontal="center" vertical="center"/>
    </xf>
    <xf numFmtId="165" fontId="16" fillId="12" borderId="9" xfId="1" applyNumberFormat="1" applyFont="1" applyFill="1" applyBorder="1" applyAlignment="1" applyProtection="1">
      <alignment horizontal="center" vertical="center"/>
    </xf>
    <xf numFmtId="4" fontId="14" fillId="12" borderId="6" xfId="0" applyNumberFormat="1" applyFont="1" applyFill="1" applyBorder="1" applyAlignment="1" applyProtection="1">
      <alignment horizontal="center" vertical="center"/>
      <protection locked="0"/>
    </xf>
    <xf numFmtId="4" fontId="14" fillId="12" borderId="1" xfId="0" applyNumberFormat="1" applyFont="1" applyFill="1" applyBorder="1" applyAlignment="1" applyProtection="1">
      <alignment horizontal="center" vertical="center"/>
      <protection locked="0"/>
    </xf>
    <xf numFmtId="4" fontId="14" fillId="12" borderId="8" xfId="0" applyNumberFormat="1" applyFont="1" applyFill="1" applyBorder="1" applyAlignment="1" applyProtection="1">
      <alignment horizontal="center" vertical="center"/>
      <protection locked="0"/>
    </xf>
    <xf numFmtId="4" fontId="14" fillId="12" borderId="9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NumberFormat="1" applyFont="1" applyFill="1" applyBorder="1" applyAlignment="1" applyProtection="1">
      <alignment horizontal="center" vertical="center" wrapText="1"/>
    </xf>
    <xf numFmtId="0" fontId="12" fillId="8" borderId="7" xfId="0" applyNumberFormat="1" applyFont="1" applyFill="1" applyBorder="1" applyAlignment="1" applyProtection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9" borderId="7" xfId="0" applyNumberFormat="1" applyFont="1" applyFill="1" applyBorder="1" applyAlignment="1" applyProtection="1">
      <alignment horizontal="center" vertical="center" wrapText="1"/>
    </xf>
    <xf numFmtId="44" fontId="15" fillId="12" borderId="1" xfId="2" applyNumberFormat="1" applyFont="1" applyFill="1" applyBorder="1" applyAlignment="1" applyProtection="1">
      <alignment horizontal="center" vertical="center"/>
    </xf>
    <xf numFmtId="44" fontId="15" fillId="12" borderId="9" xfId="2" applyNumberFormat="1" applyFont="1" applyFill="1" applyBorder="1" applyAlignment="1" applyProtection="1">
      <alignment horizontal="center" vertical="center"/>
    </xf>
    <xf numFmtId="165" fontId="16" fillId="10" borderId="1" xfId="1" applyNumberFormat="1" applyFont="1" applyFill="1" applyBorder="1" applyAlignment="1" applyProtection="1">
      <alignment horizontal="center" vertical="center"/>
    </xf>
    <xf numFmtId="165" fontId="16" fillId="10" borderId="9" xfId="1" applyNumberFormat="1" applyFont="1" applyFill="1" applyBorder="1" applyAlignment="1" applyProtection="1">
      <alignment horizontal="center" vertical="center"/>
    </xf>
    <xf numFmtId="165" fontId="14" fillId="12" borderId="7" xfId="1" applyNumberFormat="1" applyFont="1" applyFill="1" applyBorder="1" applyAlignment="1" applyProtection="1">
      <alignment horizontal="center" vertical="center"/>
    </xf>
    <xf numFmtId="165" fontId="14" fillId="12" borderId="10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67" fontId="26" fillId="14" borderId="38" xfId="4" applyNumberFormat="1" applyFont="1" applyFill="1" applyBorder="1" applyAlignment="1">
      <alignment horizontal="center" vertical="center"/>
    </xf>
    <xf numFmtId="167" fontId="26" fillId="14" borderId="36" xfId="4" applyNumberFormat="1" applyFont="1" applyFill="1" applyBorder="1" applyAlignment="1">
      <alignment horizontal="center" vertical="center"/>
    </xf>
    <xf numFmtId="167" fontId="26" fillId="14" borderId="37" xfId="4" applyNumberFormat="1" applyFont="1" applyFill="1" applyBorder="1" applyAlignment="1">
      <alignment horizontal="center" vertical="center"/>
    </xf>
    <xf numFmtId="43" fontId="26" fillId="14" borderId="38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19" fillId="14" borderId="30" xfId="4" applyFont="1" applyFill="1" applyBorder="1" applyAlignment="1">
      <alignment horizontal="center" vertical="center"/>
    </xf>
    <xf numFmtId="43" fontId="19" fillId="14" borderId="31" xfId="4" applyFont="1" applyFill="1" applyBorder="1" applyAlignment="1">
      <alignment horizontal="center" vertical="center"/>
    </xf>
    <xf numFmtId="43" fontId="19" fillId="14" borderId="32" xfId="4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indent="1"/>
    </xf>
    <xf numFmtId="43" fontId="19" fillId="14" borderId="31" xfId="4" applyFont="1" applyFill="1" applyBorder="1" applyAlignment="1">
      <alignment horizontal="left" vertical="center" indent="1"/>
    </xf>
    <xf numFmtId="43" fontId="19" fillId="14" borderId="32" xfId="4" applyFont="1" applyFill="1" applyBorder="1" applyAlignment="1">
      <alignment horizontal="left" vertical="center" indent="1"/>
    </xf>
    <xf numFmtId="43" fontId="19" fillId="14" borderId="33" xfId="4" applyFont="1" applyFill="1" applyBorder="1" applyAlignment="1">
      <alignment horizontal="center" vertical="center"/>
    </xf>
    <xf numFmtId="43" fontId="19" fillId="14" borderId="34" xfId="4" applyFont="1" applyFill="1" applyBorder="1" applyAlignment="1">
      <alignment horizontal="center" vertical="center"/>
    </xf>
    <xf numFmtId="43" fontId="23" fillId="7" borderId="1" xfId="4" applyFont="1" applyFill="1" applyBorder="1" applyAlignment="1">
      <alignment horizontal="center" vertical="center"/>
    </xf>
    <xf numFmtId="43" fontId="19" fillId="8" borderId="28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4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left" vertical="center" indent="1"/>
    </xf>
    <xf numFmtId="43" fontId="19" fillId="8" borderId="13" xfId="4" applyFont="1" applyFill="1" applyBorder="1" applyAlignment="1">
      <alignment horizontal="left" vertical="center" indent="1"/>
    </xf>
    <xf numFmtId="43" fontId="19" fillId="8" borderId="29" xfId="4" applyFont="1" applyFill="1" applyBorder="1" applyAlignment="1">
      <alignment horizontal="left" vertical="center" indent="1"/>
    </xf>
    <xf numFmtId="43" fontId="21" fillId="7" borderId="6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7" xfId="4" applyFont="1" applyFill="1" applyBorder="1" applyAlignment="1">
      <alignment horizontal="center" vertical="center"/>
    </xf>
    <xf numFmtId="167" fontId="26" fillId="14" borderId="33" xfId="4" applyNumberFormat="1" applyFont="1" applyFill="1" applyBorder="1" applyAlignment="1">
      <alignment horizontal="center" vertical="center"/>
    </xf>
    <xf numFmtId="167" fontId="26" fillId="14" borderId="31" xfId="4" applyNumberFormat="1" applyFont="1" applyFill="1" applyBorder="1" applyAlignment="1">
      <alignment horizontal="center" vertical="center"/>
    </xf>
    <xf numFmtId="167" fontId="26" fillId="14" borderId="32" xfId="4" applyNumberFormat="1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26" fillId="14" borderId="31" xfId="4" applyNumberFormat="1" applyFont="1" applyFill="1" applyBorder="1" applyAlignment="1">
      <alignment horizontal="center" vertical="center"/>
    </xf>
    <xf numFmtId="0" fontId="26" fillId="14" borderId="32" xfId="4" applyNumberFormat="1" applyFont="1" applyFill="1" applyBorder="1" applyAlignment="1">
      <alignment horizontal="center" vertical="center"/>
    </xf>
    <xf numFmtId="43" fontId="26" fillId="14" borderId="33" xfId="4" applyFont="1" applyFill="1" applyBorder="1" applyAlignment="1">
      <alignment horizontal="center" vertical="center"/>
    </xf>
    <xf numFmtId="43" fontId="26" fillId="14" borderId="32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center" vertical="center"/>
    </xf>
    <xf numFmtId="0" fontId="26" fillId="14" borderId="36" xfId="4" applyNumberFormat="1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wrapText="1" indent="1"/>
    </xf>
    <xf numFmtId="43" fontId="19" fillId="14" borderId="31" xfId="4" applyFont="1" applyFill="1" applyBorder="1" applyAlignment="1">
      <alignment horizontal="left" vertical="center" wrapText="1" indent="1"/>
    </xf>
    <xf numFmtId="43" fontId="19" fillId="14" borderId="32" xfId="4" applyFont="1" applyFill="1" applyBorder="1" applyAlignment="1">
      <alignment horizontal="left" vertical="center" wrapText="1" indent="1"/>
    </xf>
    <xf numFmtId="0" fontId="26" fillId="15" borderId="33" xfId="4" applyNumberFormat="1" applyFont="1" applyFill="1" applyBorder="1" applyAlignment="1">
      <alignment horizontal="center" vertical="center"/>
    </xf>
    <xf numFmtId="0" fontId="26" fillId="15" borderId="31" xfId="4" applyNumberFormat="1" applyFont="1" applyFill="1" applyBorder="1" applyAlignment="1">
      <alignment horizontal="center" vertical="center"/>
    </xf>
    <xf numFmtId="0" fontId="26" fillId="15" borderId="32" xfId="4" applyNumberFormat="1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7" borderId="0" xfId="0" applyFill="1"/>
    <xf numFmtId="0" fontId="5" fillId="0" borderId="0" xfId="0" applyFont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4" fontId="0" fillId="0" borderId="0" xfId="2" applyFont="1"/>
    <xf numFmtId="0" fontId="3" fillId="7" borderId="4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43" fontId="3" fillId="9" borderId="50" xfId="4" applyFont="1" applyFill="1" applyBorder="1" applyAlignment="1" applyProtection="1">
      <alignment horizontal="center" vertical="center" wrapText="1"/>
    </xf>
    <xf numFmtId="43" fontId="3" fillId="9" borderId="47" xfId="4" applyFont="1" applyFill="1" applyBorder="1" applyAlignment="1" applyProtection="1">
      <alignment horizontal="center" vertical="center" wrapText="1"/>
    </xf>
    <xf numFmtId="43" fontId="3" fillId="9" borderId="51" xfId="4" applyFont="1" applyFill="1" applyBorder="1" applyAlignment="1" applyProtection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10" fontId="2" fillId="7" borderId="1" xfId="0" applyNumberFormat="1" applyFont="1" applyFill="1" applyBorder="1" applyAlignment="1">
      <alignment horizontal="center" vertical="center"/>
    </xf>
    <xf numFmtId="0" fontId="3" fillId="7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43" fontId="3" fillId="7" borderId="46" xfId="4" applyFont="1" applyFill="1" applyBorder="1" applyAlignment="1" applyProtection="1">
      <alignment horizontal="center" vertical="center" wrapText="1"/>
    </xf>
    <xf numFmtId="43" fontId="3" fillId="7" borderId="54" xfId="4" applyFont="1" applyFill="1" applyBorder="1" applyAlignment="1" applyProtection="1">
      <alignment horizontal="center" vertical="center" wrapText="1"/>
    </xf>
    <xf numFmtId="43" fontId="3" fillId="7" borderId="55" xfId="4" applyFont="1" applyFill="1" applyBorder="1" applyAlignment="1" applyProtection="1">
      <alignment horizontal="center" vertical="center" wrapText="1"/>
    </xf>
    <xf numFmtId="43" fontId="3" fillId="7" borderId="50" xfId="4" applyFont="1" applyFill="1" applyBorder="1" applyAlignment="1" applyProtection="1">
      <alignment horizontal="center" vertical="center" wrapText="1"/>
    </xf>
    <xf numFmtId="43" fontId="3" fillId="16" borderId="46" xfId="4" applyFont="1" applyFill="1" applyBorder="1" applyAlignment="1" applyProtection="1">
      <alignment vertical="center" wrapText="1"/>
    </xf>
    <xf numFmtId="44" fontId="3" fillId="17" borderId="50" xfId="2" applyFont="1" applyFill="1" applyBorder="1" applyAlignment="1" applyProtection="1">
      <alignment horizontal="center" vertical="center" wrapText="1"/>
    </xf>
    <xf numFmtId="43" fontId="3" fillId="17" borderId="50" xfId="4" applyFont="1" applyFill="1" applyBorder="1" applyAlignment="1" applyProtection="1">
      <alignment horizontal="center" vertical="center" wrapText="1"/>
    </xf>
    <xf numFmtId="44" fontId="3" fillId="18" borderId="56" xfId="2" applyFont="1" applyFill="1" applyBorder="1" applyAlignment="1" applyProtection="1">
      <alignment horizontal="center" vertical="center" wrapText="1"/>
    </xf>
    <xf numFmtId="44" fontId="3" fillId="18" borderId="57" xfId="2" applyFont="1" applyFill="1" applyBorder="1" applyAlignment="1" applyProtection="1">
      <alignment horizontal="center" vertical="center" wrapText="1"/>
    </xf>
    <xf numFmtId="43" fontId="3" fillId="18" borderId="57" xfId="4" applyFont="1" applyFill="1" applyBorder="1" applyAlignment="1" applyProtection="1">
      <alignment horizontal="center" vertical="center" wrapText="1"/>
    </xf>
    <xf numFmtId="43" fontId="3" fillId="18" borderId="48" xfId="4" applyFont="1" applyFill="1" applyBorder="1" applyAlignment="1" applyProtection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31" fillId="7" borderId="53" xfId="0" applyFont="1" applyFill="1" applyBorder="1" applyAlignment="1">
      <alignment horizontal="center" vertical="center"/>
    </xf>
    <xf numFmtId="0" fontId="31" fillId="0" borderId="0" xfId="0" applyFont="1"/>
    <xf numFmtId="0" fontId="3" fillId="7" borderId="41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7" borderId="0" xfId="2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1" fillId="7" borderId="0" xfId="0" applyFont="1" applyFill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44" fontId="12" fillId="8" borderId="1" xfId="2" applyFont="1" applyFill="1" applyBorder="1" applyAlignment="1">
      <alignment vertical="center" wrapText="1"/>
    </xf>
    <xf numFmtId="44" fontId="12" fillId="8" borderId="1" xfId="2" applyFont="1" applyFill="1" applyBorder="1" applyAlignment="1" applyProtection="1">
      <alignment horizontal="center" vertical="center" wrapText="1"/>
    </xf>
    <xf numFmtId="43" fontId="12" fillId="8" borderId="1" xfId="4" applyFont="1" applyFill="1" applyBorder="1" applyAlignment="1" applyProtection="1">
      <alignment horizontal="center" vertical="center" wrapText="1"/>
    </xf>
    <xf numFmtId="43" fontId="12" fillId="7" borderId="0" xfId="4" applyFont="1" applyFill="1" applyBorder="1" applyAlignment="1" applyProtection="1">
      <alignment horizontal="center" vertical="center" wrapText="1"/>
    </xf>
    <xf numFmtId="0" fontId="2" fillId="7" borderId="0" xfId="0" applyFont="1" applyFill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43" fontId="13" fillId="7" borderId="1" xfId="4" applyFont="1" applyFill="1" applyBorder="1" applyAlignment="1" applyProtection="1">
      <alignment horizontal="right" vertical="center" wrapText="1"/>
    </xf>
    <xf numFmtId="43" fontId="13" fillId="7" borderId="1" xfId="4" applyFont="1" applyFill="1" applyBorder="1" applyAlignment="1" applyProtection="1">
      <alignment horizontal="center" vertical="center" wrapText="1"/>
    </xf>
    <xf numFmtId="43" fontId="13" fillId="7" borderId="12" xfId="4" applyFont="1" applyFill="1" applyBorder="1" applyAlignment="1" applyProtection="1">
      <alignment horizontal="center" vertical="center" wrapText="1"/>
    </xf>
    <xf numFmtId="43" fontId="13" fillId="7" borderId="12" xfId="4" applyFont="1" applyFill="1" applyBorder="1" applyAlignment="1" applyProtection="1">
      <alignment vertical="center" wrapText="1"/>
    </xf>
    <xf numFmtId="44" fontId="13" fillId="7" borderId="12" xfId="2" applyFont="1" applyFill="1" applyBorder="1" applyAlignment="1" applyProtection="1">
      <alignment horizontal="center" vertical="center" wrapText="1"/>
    </xf>
    <xf numFmtId="9" fontId="13" fillId="7" borderId="1" xfId="9" applyFont="1" applyFill="1" applyBorder="1" applyAlignment="1" applyProtection="1">
      <alignment horizontal="center" vertical="center" wrapText="1"/>
    </xf>
    <xf numFmtId="9" fontId="13" fillId="7" borderId="0" xfId="9" applyFont="1" applyFill="1" applyBorder="1" applyAlignment="1" applyProtection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vertical="center" wrapText="1"/>
    </xf>
    <xf numFmtId="43" fontId="13" fillId="11" borderId="1" xfId="4" applyFont="1" applyFill="1" applyBorder="1" applyAlignment="1" applyProtection="1">
      <alignment horizontal="right" vertical="center" wrapText="1"/>
    </xf>
    <xf numFmtId="43" fontId="13" fillId="11" borderId="1" xfId="4" applyFont="1" applyFill="1" applyBorder="1" applyAlignment="1" applyProtection="1">
      <alignment horizontal="center" vertical="center" wrapText="1"/>
    </xf>
    <xf numFmtId="43" fontId="12" fillId="11" borderId="12" xfId="4" applyFont="1" applyFill="1" applyBorder="1" applyAlignment="1" applyProtection="1">
      <alignment horizontal="center" vertical="center" wrapText="1"/>
    </xf>
    <xf numFmtId="44" fontId="12" fillId="11" borderId="12" xfId="2" applyFont="1" applyFill="1" applyBorder="1" applyAlignment="1" applyProtection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vertical="center" wrapText="1"/>
    </xf>
    <xf numFmtId="43" fontId="12" fillId="7" borderId="12" xfId="4" applyFont="1" applyFill="1" applyBorder="1" applyAlignment="1" applyProtection="1">
      <alignment horizontal="center" vertical="center" wrapText="1"/>
    </xf>
    <xf numFmtId="43" fontId="12" fillId="7" borderId="12" xfId="4" applyFont="1" applyFill="1" applyBorder="1" applyAlignment="1" applyProtection="1">
      <alignment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3" fillId="19" borderId="1" xfId="0" applyFont="1" applyFill="1" applyBorder="1" applyAlignment="1">
      <alignment horizontal="center" vertical="center" wrapText="1"/>
    </xf>
    <xf numFmtId="0" fontId="30" fillId="19" borderId="0" xfId="0" applyFont="1" applyFill="1" applyAlignment="1">
      <alignment vertical="center" wrapText="1"/>
    </xf>
    <xf numFmtId="43" fontId="13" fillId="19" borderId="1" xfId="4" applyFont="1" applyFill="1" applyBorder="1" applyAlignment="1" applyProtection="1">
      <alignment horizontal="right" vertical="center" wrapText="1"/>
    </xf>
    <xf numFmtId="43" fontId="13" fillId="19" borderId="1" xfId="4" applyFont="1" applyFill="1" applyBorder="1" applyAlignment="1" applyProtection="1">
      <alignment horizontal="center" vertical="center" wrapText="1"/>
    </xf>
    <xf numFmtId="0" fontId="0" fillId="19" borderId="0" xfId="0" applyFill="1"/>
    <xf numFmtId="0" fontId="30" fillId="19" borderId="1" xfId="0" applyFont="1" applyFill="1" applyBorder="1" applyAlignment="1">
      <alignment vertical="center" wrapText="1"/>
    </xf>
    <xf numFmtId="0" fontId="0" fillId="7" borderId="1" xfId="0" applyFill="1" applyBorder="1"/>
    <xf numFmtId="0" fontId="30" fillId="7" borderId="1" xfId="0" applyFont="1" applyFill="1" applyBorder="1" applyAlignment="1">
      <alignment vertical="center" wrapText="1"/>
    </xf>
    <xf numFmtId="0" fontId="13" fillId="19" borderId="1" xfId="0" applyFont="1" applyFill="1" applyBorder="1" applyAlignment="1">
      <alignment vertical="center" wrapText="1"/>
    </xf>
    <xf numFmtId="0" fontId="13" fillId="14" borderId="1" xfId="0" applyFont="1" applyFill="1" applyBorder="1" applyAlignment="1">
      <alignment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43" fontId="12" fillId="11" borderId="12" xfId="4" applyFont="1" applyFill="1" applyBorder="1" applyAlignment="1" applyProtection="1">
      <alignment vertical="center" wrapText="1"/>
    </xf>
    <xf numFmtId="43" fontId="12" fillId="11" borderId="1" xfId="4" applyFont="1" applyFill="1" applyBorder="1" applyAlignment="1" applyProtection="1">
      <alignment horizontal="center" vertical="center" wrapText="1"/>
    </xf>
    <xf numFmtId="43" fontId="12" fillId="11" borderId="0" xfId="4" applyFont="1" applyFill="1" applyBorder="1" applyAlignment="1" applyProtection="1">
      <alignment horizontal="center" vertical="center" wrapText="1"/>
    </xf>
    <xf numFmtId="43" fontId="0" fillId="7" borderId="0" xfId="0" applyNumberFormat="1" applyFill="1"/>
    <xf numFmtId="0" fontId="32" fillId="7" borderId="17" xfId="0" applyFont="1" applyFill="1" applyBorder="1"/>
    <xf numFmtId="0" fontId="32" fillId="0" borderId="17" xfId="0" applyFont="1" applyBorder="1"/>
    <xf numFmtId="4" fontId="7" fillId="0" borderId="53" xfId="0" applyNumberFormat="1" applyFont="1" applyBorder="1" applyAlignment="1">
      <alignment horizontal="center"/>
    </xf>
    <xf numFmtId="43" fontId="32" fillId="7" borderId="53" xfId="4" applyFont="1" applyBorder="1" applyAlignment="1">
      <alignment horizontal="center"/>
    </xf>
    <xf numFmtId="43" fontId="32" fillId="7" borderId="53" xfId="4" applyFont="1" applyBorder="1" applyAlignment="1">
      <alignment vertical="center"/>
    </xf>
    <xf numFmtId="44" fontId="32" fillId="0" borderId="1" xfId="2" applyFont="1" applyBorder="1" applyAlignment="1">
      <alignment horizontal="center"/>
    </xf>
    <xf numFmtId="43" fontId="32" fillId="7" borderId="1" xfId="4" applyFont="1" applyBorder="1" applyAlignment="1">
      <alignment horizontal="center"/>
    </xf>
    <xf numFmtId="44" fontId="32" fillId="0" borderId="16" xfId="2" applyFont="1" applyBorder="1" applyAlignment="1">
      <alignment horizontal="center"/>
    </xf>
    <xf numFmtId="43" fontId="32" fillId="7" borderId="0" xfId="4" applyFont="1" applyBorder="1" applyAlignment="1">
      <alignment horizontal="center"/>
    </xf>
    <xf numFmtId="0" fontId="32" fillId="7" borderId="0" xfId="0" applyFont="1" applyFill="1"/>
    <xf numFmtId="0" fontId="32" fillId="0" borderId="0" xfId="0" applyFont="1"/>
    <xf numFmtId="43" fontId="3" fillId="7" borderId="0" xfId="4" applyFont="1" applyFill="1" applyBorder="1" applyAlignment="1" applyProtection="1">
      <alignment horizontal="center" vertical="center" wrapText="1"/>
    </xf>
    <xf numFmtId="44" fontId="33" fillId="7" borderId="58" xfId="2" applyFont="1" applyFill="1" applyBorder="1" applyAlignment="1">
      <alignment horizontal="center"/>
    </xf>
    <xf numFmtId="44" fontId="33" fillId="7" borderId="0" xfId="2" applyFont="1" applyFill="1" applyBorder="1" applyAlignment="1">
      <alignment vertical="center"/>
    </xf>
    <xf numFmtId="44" fontId="33" fillId="20" borderId="57" xfId="2" applyFont="1" applyFill="1" applyBorder="1" applyAlignment="1">
      <alignment horizontal="center"/>
    </xf>
    <xf numFmtId="44" fontId="33" fillId="21" borderId="57" xfId="2" applyFont="1" applyFill="1" applyBorder="1" applyAlignment="1">
      <alignment horizontal="center"/>
    </xf>
    <xf numFmtId="9" fontId="33" fillId="0" borderId="14" xfId="9" applyFont="1" applyBorder="1" applyAlignment="1">
      <alignment horizontal="center"/>
    </xf>
    <xf numFmtId="9" fontId="33" fillId="0" borderId="0" xfId="9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44" fontId="33" fillId="0" borderId="59" xfId="2" applyFont="1" applyBorder="1" applyAlignment="1">
      <alignment horizontal="center" vertical="center" wrapText="1"/>
    </xf>
    <xf numFmtId="44" fontId="32" fillId="0" borderId="17" xfId="2" applyFont="1" applyBorder="1" applyAlignment="1">
      <alignment vertical="center"/>
    </xf>
    <xf numFmtId="44" fontId="2" fillId="0" borderId="8" xfId="2" applyFont="1" applyBorder="1" applyAlignment="1">
      <alignment horizontal="center" wrapText="1"/>
    </xf>
    <xf numFmtId="43" fontId="2" fillId="7" borderId="10" xfId="4" applyFont="1" applyBorder="1" applyAlignment="1">
      <alignment horizontal="center"/>
    </xf>
    <xf numFmtId="44" fontId="2" fillId="21" borderId="54" xfId="2" applyFont="1" applyFill="1" applyBorder="1" applyAlignment="1">
      <alignment horizontal="center" vertical="center"/>
    </xf>
    <xf numFmtId="44" fontId="2" fillId="21" borderId="48" xfId="2" applyFont="1" applyFill="1" applyBorder="1" applyAlignment="1">
      <alignment horizontal="center" vertical="center"/>
    </xf>
    <xf numFmtId="43" fontId="1" fillId="7" borderId="0" xfId="4" applyFont="1" applyBorder="1" applyAlignment="1">
      <alignment horizontal="center"/>
    </xf>
    <xf numFmtId="43" fontId="0" fillId="7" borderId="0" xfId="4" applyFont="1" applyAlignment="1">
      <alignment horizontal="center"/>
    </xf>
    <xf numFmtId="43" fontId="0" fillId="7" borderId="0" xfId="4" applyFont="1" applyAlignment="1">
      <alignment vertical="center"/>
    </xf>
    <xf numFmtId="44" fontId="0" fillId="0" borderId="0" xfId="2" applyFont="1" applyAlignment="1">
      <alignment horizontal="center"/>
    </xf>
    <xf numFmtId="9" fontId="2" fillId="0" borderId="57" xfId="9" applyFont="1" applyBorder="1" applyAlignment="1">
      <alignment horizontal="center"/>
    </xf>
    <xf numFmtId="44" fontId="0" fillId="0" borderId="0" xfId="2" applyFont="1" applyBorder="1" applyAlignment="1">
      <alignment horizontal="center"/>
    </xf>
    <xf numFmtId="43" fontId="0" fillId="7" borderId="0" xfId="4" applyFont="1" applyBorder="1" applyAlignment="1">
      <alignment horizontal="center"/>
    </xf>
    <xf numFmtId="43" fontId="0" fillId="7" borderId="0" xfId="4" applyFont="1" applyAlignment="1">
      <alignment horizontal="right"/>
    </xf>
    <xf numFmtId="0" fontId="34" fillId="0" borderId="0" xfId="0" applyFont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4" fontId="0" fillId="0" borderId="1" xfId="2" applyFont="1" applyBorder="1" applyAlignment="1">
      <alignment horizontal="center"/>
    </xf>
    <xf numFmtId="43" fontId="0" fillId="0" borderId="1" xfId="0" applyNumberFormat="1" applyBorder="1" applyAlignment="1">
      <alignment horizontal="center" vertical="center"/>
    </xf>
    <xf numFmtId="44" fontId="13" fillId="15" borderId="1" xfId="2" applyFont="1" applyFill="1" applyBorder="1" applyAlignment="1" applyProtection="1">
      <alignment horizontal="center" vertical="center" wrapText="1"/>
    </xf>
    <xf numFmtId="2" fontId="0" fillId="15" borderId="1" xfId="0" applyNumberFormat="1" applyFill="1" applyBorder="1" applyAlignment="1">
      <alignment horizontal="center" vertical="center"/>
    </xf>
    <xf numFmtId="44" fontId="0" fillId="0" borderId="0" xfId="0" applyNumberFormat="1"/>
    <xf numFmtId="44" fontId="2" fillId="15" borderId="57" xfId="0" applyNumberFormat="1" applyFont="1" applyFill="1" applyBorder="1"/>
    <xf numFmtId="0" fontId="2" fillId="0" borderId="0" xfId="0" applyFont="1"/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13" fillId="5" borderId="1" xfId="0" applyNumberFormat="1" applyFont="1" applyFill="1" applyBorder="1" applyAlignment="1" applyProtection="1">
      <alignment horizontal="left" vertical="center" wrapText="1"/>
    </xf>
    <xf numFmtId="0" fontId="13" fillId="11" borderId="1" xfId="0" applyNumberFormat="1" applyFont="1" applyFill="1" applyBorder="1" applyAlignment="1" applyProtection="1">
      <alignment horizontal="left" vertical="center" wrapText="1"/>
    </xf>
    <xf numFmtId="0" fontId="13" fillId="14" borderId="1" xfId="0" applyNumberFormat="1" applyFont="1" applyFill="1" applyBorder="1" applyAlignment="1" applyProtection="1">
      <alignment horizontal="left" vertical="center" wrapText="1"/>
    </xf>
    <xf numFmtId="0" fontId="20" fillId="1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4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9" applyFont="1" applyAlignment="1">
      <alignment horizontal="center" vertical="center"/>
    </xf>
  </cellXfs>
  <cellStyles count="10">
    <cellStyle name="20% - Ênfase1" xfId="3" builtinId="30"/>
    <cellStyle name="Moeda" xfId="2" builtinId="4"/>
    <cellStyle name="Normal" xfId="0" builtinId="0"/>
    <cellStyle name="Normal 2" xfId="7" xr:uid="{00000000-0005-0000-0000-000003000000}"/>
    <cellStyle name="Normal 3" xfId="5" xr:uid="{00000000-0005-0000-0000-000004000000}"/>
    <cellStyle name="Normal 4" xfId="8" xr:uid="{00000000-0005-0000-0000-000005000000}"/>
    <cellStyle name="Porcentagem" xfId="9" builtinId="5"/>
    <cellStyle name="Separador de milhares 2 2 2" xfId="6" xr:uid="{00000000-0005-0000-0000-000006000000}"/>
    <cellStyle name="Vírgula" xfId="1" builtinId="3"/>
    <cellStyle name="Vírgula 6" xfId="4" xr:uid="{00000000-0005-0000-0000-000008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196458</xdr:colOff>
      <xdr:row>0</xdr:row>
      <xdr:rowOff>107324</xdr:rowOff>
    </xdr:from>
    <xdr:to>
      <xdr:col>2</xdr:col>
      <xdr:colOff>1905000</xdr:colOff>
      <xdr:row>2</xdr:row>
      <xdr:rowOff>314588</xdr:rowOff>
    </xdr:to>
    <xdr:pic>
      <xdr:nvPicPr>
        <xdr:cNvPr id="2" name="Imagem 68">
          <a:extLst>
            <a:ext uri="{FF2B5EF4-FFF2-40B4-BE49-F238E27FC236}">
              <a16:creationId xmlns:a16="http://schemas.microsoft.com/office/drawing/2014/main" id="{63119EE7-0F4A-45E0-B537-48E9C57D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983" y="107324"/>
          <a:ext cx="1708542" cy="75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98</xdr:row>
      <xdr:rowOff>122463</xdr:rowOff>
    </xdr:from>
    <xdr:to>
      <xdr:col>3</xdr:col>
      <xdr:colOff>9511392</xdr:colOff>
      <xdr:row>98</xdr:row>
      <xdr:rowOff>1973036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30" t="53578" r="24588" b="21121"/>
        <a:stretch/>
      </xdr:blipFill>
      <xdr:spPr>
        <a:xfrm>
          <a:off x="5456464" y="68702463"/>
          <a:ext cx="9130392" cy="1850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21</xdr:col>
          <xdr:colOff>276225</xdr:colOff>
          <xdr:row>46</xdr:row>
          <xdr:rowOff>104775</xdr:rowOff>
        </xdr:to>
        <xdr:pic>
          <xdr:nvPicPr>
            <xdr:cNvPr id="2" name="Imagem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MEMORIA MURO'!$A$1:$F$36" spid="_x0000_s719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315200" y="1524000"/>
              <a:ext cx="5762625" cy="73437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</xdr:rowOff>
    </xdr:from>
    <xdr:to>
      <xdr:col>32</xdr:col>
      <xdr:colOff>539750</xdr:colOff>
      <xdr:row>61</xdr:row>
      <xdr:rowOff>31751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0" y="15875"/>
          <a:ext cx="19843750" cy="11636376"/>
        </a:xfrm>
        <a:prstGeom prst="rect">
          <a:avLst/>
        </a:prstGeom>
      </xdr:spPr>
    </xdr:pic>
    <xdr:clientData/>
  </xdr:twoCellAnchor>
  <xdr:oneCellAnchor>
    <xdr:from>
      <xdr:col>16</xdr:col>
      <xdr:colOff>444500</xdr:colOff>
      <xdr:row>59</xdr:row>
      <xdr:rowOff>95250</xdr:rowOff>
    </xdr:from>
    <xdr:ext cx="2524125" cy="405432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096500" y="11334750"/>
          <a:ext cx="25241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NORTE</a:t>
          </a:r>
          <a:endParaRPr lang="pt-BR" sz="2000" b="1"/>
        </a:p>
      </xdr:txBody>
    </xdr:sp>
    <xdr:clientData/>
  </xdr:oneCellAnchor>
  <xdr:oneCellAnchor>
    <xdr:from>
      <xdr:col>15</xdr:col>
      <xdr:colOff>581025</xdr:colOff>
      <xdr:row>0</xdr:row>
      <xdr:rowOff>104775</xdr:rowOff>
    </xdr:from>
    <xdr:ext cx="2524125" cy="40543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629775" y="104775"/>
          <a:ext cx="25241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SUL</a:t>
          </a:r>
        </a:p>
      </xdr:txBody>
    </xdr:sp>
    <xdr:clientData/>
  </xdr:oneCellAnchor>
  <xdr:oneCellAnchor>
    <xdr:from>
      <xdr:col>26</xdr:col>
      <xdr:colOff>240309</xdr:colOff>
      <xdr:row>2</xdr:row>
      <xdr:rowOff>162915</xdr:rowOff>
    </xdr:from>
    <xdr:ext cx="394689" cy="48059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 rot="5400000">
          <a:off x="13719174" y="2749550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O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800" b="1" baseline="0"/>
            <a:t>T</a:t>
          </a:r>
        </a:p>
        <a:p>
          <a:r>
            <a:rPr lang="pt-BR" sz="1800" b="1" baseline="0"/>
            <a:t>E</a:t>
          </a:r>
        </a:p>
      </xdr:txBody>
    </xdr:sp>
    <xdr:clientData/>
  </xdr:oneCellAnchor>
  <xdr:oneCellAnchor>
    <xdr:from>
      <xdr:col>28</xdr:col>
      <xdr:colOff>381000</xdr:colOff>
      <xdr:row>8</xdr:row>
      <xdr:rowOff>174625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7272000" y="169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32</xdr:col>
      <xdr:colOff>91086</xdr:colOff>
      <xdr:row>28</xdr:row>
      <xdr:rowOff>188316</xdr:rowOff>
    </xdr:from>
    <xdr:ext cx="394689" cy="48059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 rot="5400000">
          <a:off x="17189451" y="7727951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O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800" b="1" baseline="0"/>
            <a:t>T</a:t>
          </a:r>
        </a:p>
        <a:p>
          <a:r>
            <a:rPr lang="pt-BR" sz="1800" b="1" baseline="0"/>
            <a:t>E</a:t>
          </a:r>
        </a:p>
      </xdr:txBody>
    </xdr:sp>
    <xdr:clientData/>
  </xdr:oneCellAnchor>
  <xdr:oneCellAnchor>
    <xdr:from>
      <xdr:col>3</xdr:col>
      <xdr:colOff>21236</xdr:colOff>
      <xdr:row>28</xdr:row>
      <xdr:rowOff>54967</xdr:rowOff>
    </xdr:from>
    <xdr:ext cx="394689" cy="48059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 rot="5400000">
          <a:off x="-374649" y="7594602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L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600" b="1" baseline="0"/>
            <a:t>T</a:t>
          </a:r>
        </a:p>
        <a:p>
          <a:r>
            <a:rPr lang="pt-BR" sz="1600" b="1" baseline="0"/>
            <a:t>E</a:t>
          </a:r>
          <a:endParaRPr lang="pt-BR" sz="1800" b="1" baseline="0"/>
        </a:p>
      </xdr:txBody>
    </xdr:sp>
    <xdr:clientData/>
  </xdr:oneCellAnchor>
  <xdr:oneCellAnchor>
    <xdr:from>
      <xdr:col>6</xdr:col>
      <xdr:colOff>157761</xdr:colOff>
      <xdr:row>2</xdr:row>
      <xdr:rowOff>175619</xdr:rowOff>
    </xdr:from>
    <xdr:ext cx="394689" cy="48059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 rot="5400000">
          <a:off x="1571626" y="2762254"/>
          <a:ext cx="4805960" cy="394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t">
          <a:noAutofit/>
        </a:bodyPr>
        <a:lstStyle/>
        <a:p>
          <a:r>
            <a:rPr lang="pt-BR" sz="1600" b="1"/>
            <a:t>P</a:t>
          </a:r>
        </a:p>
        <a:p>
          <a:r>
            <a:rPr lang="pt-BR" sz="1600" b="1"/>
            <a:t>L</a:t>
          </a:r>
        </a:p>
        <a:p>
          <a:r>
            <a:rPr lang="pt-BR" sz="1600" b="1"/>
            <a:t>A</a:t>
          </a:r>
        </a:p>
        <a:p>
          <a:r>
            <a:rPr lang="pt-BR" sz="1600" b="1"/>
            <a:t>T</a:t>
          </a:r>
        </a:p>
        <a:p>
          <a:r>
            <a:rPr lang="pt-BR" sz="1600" b="1"/>
            <a:t>I</a:t>
          </a:r>
        </a:p>
        <a:p>
          <a:r>
            <a:rPr lang="pt-BR" sz="1600" b="1"/>
            <a:t>B</a:t>
          </a:r>
        </a:p>
        <a:p>
          <a:r>
            <a:rPr lang="pt-BR" sz="1600" b="1"/>
            <a:t>A</a:t>
          </a:r>
        </a:p>
        <a:p>
          <a:r>
            <a:rPr lang="pt-BR" sz="1600" b="1"/>
            <a:t>N</a:t>
          </a:r>
        </a:p>
        <a:p>
          <a:r>
            <a:rPr lang="pt-BR" sz="1600" b="1"/>
            <a:t>D</a:t>
          </a:r>
        </a:p>
        <a:p>
          <a:r>
            <a:rPr lang="pt-BR" sz="1600" b="1"/>
            <a:t>A</a:t>
          </a:r>
          <a:r>
            <a:rPr lang="pt-BR" sz="1600" b="1" baseline="0"/>
            <a:t> </a:t>
          </a:r>
        </a:p>
        <a:p>
          <a:endParaRPr lang="pt-BR" sz="1600" b="1" baseline="0"/>
        </a:p>
        <a:p>
          <a:r>
            <a:rPr lang="pt-BR" sz="1600" b="1" baseline="0"/>
            <a:t>L</a:t>
          </a:r>
        </a:p>
        <a:p>
          <a:r>
            <a:rPr lang="pt-BR" sz="1600" b="1" baseline="0"/>
            <a:t>E</a:t>
          </a:r>
        </a:p>
        <a:p>
          <a:r>
            <a:rPr lang="pt-BR" sz="1600" b="1" baseline="0"/>
            <a:t>S</a:t>
          </a:r>
        </a:p>
        <a:p>
          <a:r>
            <a:rPr lang="pt-BR" sz="1600" b="1" baseline="0"/>
            <a:t>T</a:t>
          </a:r>
        </a:p>
        <a:p>
          <a:r>
            <a:rPr lang="pt-BR" sz="1600" b="1" baseline="0"/>
            <a:t>E</a:t>
          </a:r>
          <a:endParaRPr lang="pt-BR" sz="1800" b="1" baseline="0"/>
        </a:p>
      </xdr:txBody>
    </xdr:sp>
    <xdr:clientData/>
  </xdr:oneCellAnchor>
  <xdr:oneCellAnchor>
    <xdr:from>
      <xdr:col>11</xdr:col>
      <xdr:colOff>527050</xdr:colOff>
      <xdr:row>21</xdr:row>
      <xdr:rowOff>177800</xdr:rowOff>
    </xdr:from>
    <xdr:ext cx="3140075" cy="405432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7162800" y="4178300"/>
          <a:ext cx="314007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000" b="1"/>
            <a:t>PLATIBANDA</a:t>
          </a:r>
          <a:r>
            <a:rPr lang="pt-BR" sz="2000" b="1" baseline="0"/>
            <a:t> INTERNA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ales\Documents\Pessoal\HAYA%20CONSTRU&#199;&#213;ES\ESCOLA%20ANGELIM\BOLETIM%20DE%20MEDI&#199;&#195;O\BM%2007\BM%2007%20-%20ESCOLA%20DO%20ANGELI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LIMA/Documents/ARQUIVOS_02.10.24/PREFEITURA_FISCALIZA&#199;&#195;O_2023/FISCALIZA&#199;&#195;O_ESCOLA%20DO%20ANGELIM_01.02.23/BM-07_ESCOLA%20ANGELIN/BM%2007_ATUALIZADO%20-%20ESCOLA%20DO%20ANGELIM_rl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EQUAÇÃO"/>
      <sheetName val="MEMORIA ADITIVO"/>
      <sheetName val="RELATÓRIO FOTOGRÁFICO_EVIDÊNCIA"/>
      <sheetName val="MEMORIA DE CÁLCULO ATERRO"/>
      <sheetName val="MEMORIA ATERRO (2)"/>
      <sheetName val="MEMORIA MURO"/>
      <sheetName val="MEMORIA BM 03"/>
      <sheetName val="MEMORIA ATERRO"/>
      <sheetName val="MEMÓRIA ALVENARIA"/>
      <sheetName val="MEMÓRIA PILARES"/>
      <sheetName val="MEMÓRIA VIGAS"/>
      <sheetName val="COMPOSIÇÕES NOVAS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º aditivo de valor"/>
      <sheetName val="MEMORIA ADITIVO"/>
      <sheetName val="PLANILHA PÓS ADITIVO"/>
      <sheetName val="BM-07_RLR"/>
      <sheetName val="MEMORIA DE CALCULO_BM-07"/>
      <sheetName val="RELATÓRIO FOTOGRÁFICO_BM-07"/>
      <sheetName val="BM-06"/>
      <sheetName val="MEMORIA DE CÁLCULO ATERRO"/>
      <sheetName val="MEMORIA ATERRO (2)"/>
      <sheetName val="MEMORIA MURO"/>
      <sheetName val="MEMORIA BM 03"/>
      <sheetName val="MEMORIA ATERRO"/>
      <sheetName val="MEMÓRIA ALVENARIA"/>
      <sheetName val="MEMÓRIA PILARES"/>
      <sheetName val="MEMÓRIA VIGAS"/>
      <sheetName val="COMPOSIÇÕES NOVAS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J7" t="str">
            <v>ACUMULADO ANTERIOR</v>
          </cell>
        </row>
        <row r="9">
          <cell r="L9">
            <v>6</v>
          </cell>
        </row>
        <row r="10">
          <cell r="L10">
            <v>1</v>
          </cell>
        </row>
        <row r="11">
          <cell r="L11">
            <v>152</v>
          </cell>
        </row>
        <row r="12">
          <cell r="L12">
            <v>1</v>
          </cell>
        </row>
        <row r="15">
          <cell r="L15">
            <v>477.87</v>
          </cell>
        </row>
        <row r="16">
          <cell r="L16">
            <v>139.80000000000001</v>
          </cell>
        </row>
        <row r="17">
          <cell r="L17">
            <v>244.58</v>
          </cell>
        </row>
        <row r="20">
          <cell r="L20">
            <v>5.42</v>
          </cell>
        </row>
        <row r="21">
          <cell r="L21">
            <v>470.8</v>
          </cell>
        </row>
        <row r="22">
          <cell r="L22">
            <v>0</v>
          </cell>
        </row>
        <row r="23">
          <cell r="L23">
            <v>1986.92</v>
          </cell>
        </row>
        <row r="24">
          <cell r="L24">
            <v>0</v>
          </cell>
        </row>
        <row r="25">
          <cell r="L25">
            <v>395.47</v>
          </cell>
        </row>
        <row r="26">
          <cell r="L26">
            <v>49.87</v>
          </cell>
        </row>
        <row r="27">
          <cell r="L27">
            <v>49.87</v>
          </cell>
        </row>
        <row r="30">
          <cell r="L30">
            <v>999.78700000000003</v>
          </cell>
        </row>
        <row r="31">
          <cell r="L31">
            <v>16</v>
          </cell>
        </row>
        <row r="32">
          <cell r="L32">
            <v>167.4</v>
          </cell>
        </row>
        <row r="35">
          <cell r="L35">
            <v>668.71</v>
          </cell>
        </row>
        <row r="36">
          <cell r="L36">
            <v>8.0399999999999991</v>
          </cell>
        </row>
        <row r="37">
          <cell r="L37">
            <v>2421.11</v>
          </cell>
        </row>
        <row r="38">
          <cell r="L38">
            <v>447.35</v>
          </cell>
        </row>
        <row r="39">
          <cell r="L39">
            <v>729.34</v>
          </cell>
        </row>
        <row r="40">
          <cell r="L40">
            <v>39.65</v>
          </cell>
        </row>
        <row r="41">
          <cell r="L41">
            <v>39.65</v>
          </cell>
        </row>
        <row r="42">
          <cell r="L42">
            <v>80.819999999999993</v>
          </cell>
        </row>
        <row r="43">
          <cell r="L43">
            <v>25</v>
          </cell>
        </row>
        <row r="44">
          <cell r="L44">
            <v>77.5</v>
          </cell>
        </row>
        <row r="46">
          <cell r="L46">
            <v>375.25</v>
          </cell>
        </row>
        <row r="49">
          <cell r="L49">
            <v>876.42</v>
          </cell>
        </row>
        <row r="50">
          <cell r="L50">
            <v>12</v>
          </cell>
        </row>
        <row r="51">
          <cell r="L51">
            <v>4</v>
          </cell>
        </row>
        <row r="52">
          <cell r="L52">
            <v>98.35</v>
          </cell>
        </row>
        <row r="53">
          <cell r="L53">
            <v>876.42</v>
          </cell>
        </row>
        <row r="54">
          <cell r="L54">
            <v>0</v>
          </cell>
        </row>
        <row r="55">
          <cell r="L55">
            <v>91.65</v>
          </cell>
        </row>
        <row r="56">
          <cell r="L56">
            <v>178.09</v>
          </cell>
        </row>
        <row r="57">
          <cell r="L57">
            <v>0</v>
          </cell>
        </row>
        <row r="58">
          <cell r="L58">
            <v>24</v>
          </cell>
        </row>
        <row r="61">
          <cell r="L61">
            <v>896.49</v>
          </cell>
        </row>
        <row r="62">
          <cell r="L62">
            <v>896.49</v>
          </cell>
        </row>
        <row r="63">
          <cell r="L63">
            <v>944.79</v>
          </cell>
        </row>
        <row r="64">
          <cell r="L64">
            <v>0</v>
          </cell>
        </row>
        <row r="65">
          <cell r="L65">
            <v>0</v>
          </cell>
        </row>
        <row r="66">
          <cell r="L66">
            <v>0</v>
          </cell>
        </row>
        <row r="67">
          <cell r="L67">
            <v>0</v>
          </cell>
        </row>
        <row r="68">
          <cell r="L68">
            <v>0</v>
          </cell>
        </row>
        <row r="71">
          <cell r="L71">
            <v>2045.2139999999999</v>
          </cell>
        </row>
        <row r="72">
          <cell r="L72">
            <v>1740.134</v>
          </cell>
        </row>
        <row r="73">
          <cell r="L73">
            <v>162.423</v>
          </cell>
        </row>
        <row r="74">
          <cell r="L74">
            <v>0</v>
          </cell>
        </row>
        <row r="75">
          <cell r="L75">
            <v>0</v>
          </cell>
        </row>
        <row r="78">
          <cell r="L78">
            <v>0</v>
          </cell>
        </row>
        <row r="79">
          <cell r="L79">
            <v>0</v>
          </cell>
        </row>
        <row r="80">
          <cell r="L80">
            <v>0</v>
          </cell>
        </row>
        <row r="81">
          <cell r="L81">
            <v>0</v>
          </cell>
        </row>
        <row r="82">
          <cell r="L82">
            <v>0</v>
          </cell>
        </row>
        <row r="83">
          <cell r="L83">
            <v>0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EB3E-0D68-4ABD-B4D7-9F273D4A417E}">
  <sheetPr>
    <tabColor rgb="FF00B050"/>
  </sheetPr>
  <dimension ref="A1:V442"/>
  <sheetViews>
    <sheetView view="pageBreakPreview" topLeftCell="A262" zoomScale="60" zoomScaleNormal="64" workbookViewId="0">
      <selection activeCell="A272" sqref="A272:XFD282"/>
    </sheetView>
  </sheetViews>
  <sheetFormatPr defaultRowHeight="15" x14ac:dyDescent="0.25"/>
  <cols>
    <col min="1" max="1" width="7.42578125" style="230" customWidth="1"/>
    <col min="2" max="2" width="9.85546875" bestFit="1" customWidth="1"/>
    <col min="3" max="3" width="50.28515625" customWidth="1"/>
    <col min="4" max="4" width="9.7109375" bestFit="1" customWidth="1"/>
    <col min="5" max="5" width="5.85546875" bestFit="1" customWidth="1"/>
    <col min="6" max="6" width="15" style="358" bestFit="1" customWidth="1"/>
    <col min="7" max="7" width="14.42578125" style="358" bestFit="1" customWidth="1"/>
    <col min="8" max="8" width="19.140625" style="352" bestFit="1" customWidth="1"/>
    <col min="9" max="9" width="30.85546875" style="352" bestFit="1" customWidth="1"/>
    <col min="10" max="10" width="30.85546875" style="353" customWidth="1"/>
    <col min="11" max="11" width="29" style="354" bestFit="1" customWidth="1"/>
    <col min="12" max="12" width="25.140625" style="352" bestFit="1" customWidth="1"/>
    <col min="13" max="13" width="32.28515625" style="363" customWidth="1"/>
    <col min="14" max="14" width="30.85546875" style="356" customWidth="1"/>
    <col min="15" max="15" width="12.42578125" style="357" bestFit="1" customWidth="1"/>
    <col min="16" max="16" width="19" style="357" customWidth="1"/>
    <col min="17" max="17" width="21.28515625" style="229" customWidth="1"/>
    <col min="18" max="18" width="11.5703125" style="230" bestFit="1" customWidth="1"/>
    <col min="19" max="19" width="43.28515625" bestFit="1" customWidth="1"/>
    <col min="21" max="21" width="17.7109375" bestFit="1" customWidth="1"/>
  </cols>
  <sheetData>
    <row r="1" spans="1:22" ht="15" customHeight="1" x14ac:dyDescent="0.25">
      <c r="A1" s="224"/>
      <c r="B1" s="225"/>
      <c r="C1" s="225"/>
      <c r="D1" s="226" t="s">
        <v>834</v>
      </c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8"/>
    </row>
    <row r="2" spans="1:22" ht="27.75" customHeight="1" thickBot="1" x14ac:dyDescent="0.3">
      <c r="A2" s="167"/>
      <c r="B2" s="231"/>
      <c r="C2" s="231"/>
      <c r="D2" s="232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4"/>
    </row>
    <row r="3" spans="1:22" ht="27" customHeight="1" thickBot="1" x14ac:dyDescent="0.3">
      <c r="A3" s="167"/>
      <c r="B3" s="231"/>
      <c r="C3" s="231"/>
      <c r="D3" s="235" t="s">
        <v>613</v>
      </c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7"/>
    </row>
    <row r="4" spans="1:22" ht="16.5" customHeight="1" x14ac:dyDescent="0.25">
      <c r="A4" s="238" t="s">
        <v>835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40"/>
    </row>
    <row r="5" spans="1:22" ht="22.5" customHeight="1" thickBot="1" x14ac:dyDescent="0.3">
      <c r="A5" s="241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3"/>
      <c r="T5" s="244" t="s">
        <v>836</v>
      </c>
      <c r="U5" s="245">
        <v>1478786.25</v>
      </c>
    </row>
    <row r="6" spans="1:22" ht="18" customHeight="1" thickBot="1" x14ac:dyDescent="0.3">
      <c r="A6" s="246" t="s">
        <v>0</v>
      </c>
      <c r="B6" s="247" t="s">
        <v>1</v>
      </c>
      <c r="C6" s="248" t="s">
        <v>2</v>
      </c>
      <c r="D6" s="247" t="s">
        <v>3</v>
      </c>
      <c r="E6" s="247" t="s">
        <v>4</v>
      </c>
      <c r="F6" s="249" t="s">
        <v>837</v>
      </c>
      <c r="G6" s="250"/>
      <c r="H6" s="250"/>
      <c r="I6" s="250"/>
      <c r="J6" s="250"/>
      <c r="K6" s="250"/>
      <c r="L6" s="250"/>
      <c r="M6" s="250"/>
      <c r="N6" s="250"/>
      <c r="O6" s="250"/>
      <c r="P6" s="251"/>
      <c r="Q6" s="252" t="s">
        <v>838</v>
      </c>
      <c r="R6" s="253">
        <v>0.27350000000000002</v>
      </c>
      <c r="T6" s="244" t="s">
        <v>839</v>
      </c>
      <c r="U6" s="245">
        <v>1292562.49</v>
      </c>
      <c r="V6">
        <f>U6/U5</f>
        <v>0.8740698596568639</v>
      </c>
    </row>
    <row r="7" spans="1:22" ht="56.25" customHeight="1" thickBot="1" x14ac:dyDescent="0.3">
      <c r="A7" s="254"/>
      <c r="B7" s="255"/>
      <c r="C7" s="256"/>
      <c r="D7" s="255"/>
      <c r="E7" s="257"/>
      <c r="F7" s="258" t="s">
        <v>840</v>
      </c>
      <c r="G7" s="259" t="s">
        <v>6</v>
      </c>
      <c r="H7" s="260" t="s">
        <v>841</v>
      </c>
      <c r="I7" s="261" t="s">
        <v>842</v>
      </c>
      <c r="J7" s="262" t="str">
        <f>'[3]BM-06'!J7</f>
        <v>ACUMULADO ANTERIOR</v>
      </c>
      <c r="K7" s="263" t="s">
        <v>843</v>
      </c>
      <c r="L7" s="264" t="s">
        <v>844</v>
      </c>
      <c r="M7" s="265" t="s">
        <v>845</v>
      </c>
      <c r="N7" s="266" t="s">
        <v>846</v>
      </c>
      <c r="O7" s="267" t="s">
        <v>847</v>
      </c>
      <c r="P7" s="268" t="s">
        <v>848</v>
      </c>
      <c r="Q7" s="269" t="s">
        <v>849</v>
      </c>
      <c r="R7" s="270">
        <v>0.87</v>
      </c>
      <c r="S7" s="271"/>
    </row>
    <row r="8" spans="1:22" s="230" customFormat="1" ht="20.25" customHeight="1" x14ac:dyDescent="0.25">
      <c r="A8" s="272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4"/>
      <c r="O8" s="275"/>
      <c r="P8" s="276"/>
      <c r="Q8" s="277"/>
      <c r="R8" s="278"/>
    </row>
    <row r="9" spans="1:22" ht="20.100000000000001" customHeight="1" x14ac:dyDescent="0.25">
      <c r="A9" s="279">
        <v>1</v>
      </c>
      <c r="B9" s="280" t="s">
        <v>8</v>
      </c>
      <c r="C9" s="280"/>
      <c r="D9" s="281"/>
      <c r="E9" s="281"/>
      <c r="F9" s="281"/>
      <c r="G9" s="281"/>
      <c r="H9" s="281"/>
      <c r="I9" s="281"/>
      <c r="J9" s="281"/>
      <c r="K9" s="282"/>
      <c r="L9" s="281"/>
      <c r="M9" s="283"/>
      <c r="N9" s="283"/>
      <c r="O9" s="284"/>
      <c r="P9" s="285"/>
      <c r="Q9" s="286"/>
      <c r="R9" s="286"/>
    </row>
    <row r="10" spans="1:22" ht="26.25" customHeight="1" x14ac:dyDescent="0.25">
      <c r="A10" s="89" t="s">
        <v>9</v>
      </c>
      <c r="B10" s="287" t="s">
        <v>10</v>
      </c>
      <c r="C10" s="288" t="s">
        <v>11</v>
      </c>
      <c r="D10" s="287" t="s">
        <v>12</v>
      </c>
      <c r="E10" s="287" t="s">
        <v>13</v>
      </c>
      <c r="F10" s="289">
        <v>6</v>
      </c>
      <c r="G10" s="289">
        <f>288.89</f>
        <v>288.89</v>
      </c>
      <c r="H10" s="290">
        <f>G10*$Q$10</f>
        <v>367.90141499999999</v>
      </c>
      <c r="I10" s="291">
        <f>H10*F10</f>
        <v>2207.4084899999998</v>
      </c>
      <c r="J10" s="292">
        <f>'[3]BM-06'!L9</f>
        <v>6</v>
      </c>
      <c r="K10" s="293">
        <f>J10*H10</f>
        <v>2207.4084899999998</v>
      </c>
      <c r="L10" s="291"/>
      <c r="M10" s="293">
        <f>L10*H10</f>
        <v>0</v>
      </c>
      <c r="N10" s="293">
        <f>M10+K10</f>
        <v>2207.4084899999998</v>
      </c>
      <c r="O10" s="294">
        <f>N10/I10</f>
        <v>1</v>
      </c>
      <c r="P10" s="295"/>
      <c r="Q10" s="286">
        <v>1.2735000000000001</v>
      </c>
      <c r="R10" s="286"/>
    </row>
    <row r="11" spans="1:22" ht="28.5" customHeight="1" x14ac:dyDescent="0.25">
      <c r="A11" s="89" t="s">
        <v>14</v>
      </c>
      <c r="B11" s="287" t="s">
        <v>15</v>
      </c>
      <c r="C11" s="288" t="s">
        <v>16</v>
      </c>
      <c r="D11" s="287" t="s">
        <v>12</v>
      </c>
      <c r="E11" s="287" t="s">
        <v>17</v>
      </c>
      <c r="F11" s="289">
        <v>1</v>
      </c>
      <c r="G11" s="289">
        <f>12298.86</f>
        <v>12298.86</v>
      </c>
      <c r="H11" s="290">
        <f>G11*$Q$10</f>
        <v>15662.598210000002</v>
      </c>
      <c r="I11" s="291">
        <f>H11*F11</f>
        <v>15662.598210000002</v>
      </c>
      <c r="J11" s="292">
        <f>'[3]BM-06'!L10</f>
        <v>1</v>
      </c>
      <c r="K11" s="293">
        <f t="shared" ref="K11:K74" si="0">J11*H11</f>
        <v>15662.598210000002</v>
      </c>
      <c r="L11" s="291"/>
      <c r="M11" s="293">
        <f t="shared" ref="M11:M74" si="1">L11*H11</f>
        <v>0</v>
      </c>
      <c r="N11" s="293">
        <f t="shared" ref="N11:N74" si="2">M11+K11</f>
        <v>15662.598210000002</v>
      </c>
      <c r="O11" s="294">
        <f t="shared" ref="O11:O74" si="3">N11/I11</f>
        <v>1</v>
      </c>
      <c r="P11" s="295"/>
    </row>
    <row r="12" spans="1:22" ht="38.25" x14ac:dyDescent="0.25">
      <c r="A12" s="89" t="s">
        <v>18</v>
      </c>
      <c r="B12" s="287" t="s">
        <v>19</v>
      </c>
      <c r="C12" s="288" t="s">
        <v>20</v>
      </c>
      <c r="D12" s="287" t="s">
        <v>21</v>
      </c>
      <c r="E12" s="287" t="s">
        <v>22</v>
      </c>
      <c r="F12" s="289">
        <v>160.1</v>
      </c>
      <c r="G12" s="289">
        <f>41.08</f>
        <v>41.08</v>
      </c>
      <c r="H12" s="290">
        <f>G12*$Q$10</f>
        <v>52.315379999999998</v>
      </c>
      <c r="I12" s="291">
        <f>H12*F12</f>
        <v>8375.6923379999989</v>
      </c>
      <c r="J12" s="292">
        <f>'[3]BM-06'!L11</f>
        <v>152</v>
      </c>
      <c r="K12" s="293">
        <f t="shared" si="0"/>
        <v>7951.9377599999998</v>
      </c>
      <c r="L12" s="291"/>
      <c r="M12" s="293">
        <f t="shared" si="1"/>
        <v>0</v>
      </c>
      <c r="N12" s="293">
        <f t="shared" si="2"/>
        <v>7951.9377599999998</v>
      </c>
      <c r="O12" s="294">
        <f t="shared" si="3"/>
        <v>0.94940662086196137</v>
      </c>
      <c r="P12" s="295"/>
      <c r="Q12" s="296"/>
    </row>
    <row r="13" spans="1:22" ht="36" customHeight="1" x14ac:dyDescent="0.25">
      <c r="A13" s="89" t="s">
        <v>23</v>
      </c>
      <c r="B13" s="287" t="s">
        <v>24</v>
      </c>
      <c r="C13" s="288" t="s">
        <v>25</v>
      </c>
      <c r="D13" s="287" t="s">
        <v>12</v>
      </c>
      <c r="E13" s="287" t="s">
        <v>17</v>
      </c>
      <c r="F13" s="289">
        <v>1</v>
      </c>
      <c r="G13" s="289">
        <f>2055.31</f>
        <v>2055.31</v>
      </c>
      <c r="H13" s="290">
        <f>G13*$Q$10</f>
        <v>2617.437285</v>
      </c>
      <c r="I13" s="291">
        <f>H13*F13</f>
        <v>2617.437285</v>
      </c>
      <c r="J13" s="292">
        <f>'[3]BM-06'!L12</f>
        <v>1</v>
      </c>
      <c r="K13" s="293">
        <f t="shared" si="0"/>
        <v>2617.437285</v>
      </c>
      <c r="L13" s="291"/>
      <c r="M13" s="293">
        <f t="shared" si="1"/>
        <v>0</v>
      </c>
      <c r="N13" s="293">
        <f t="shared" si="2"/>
        <v>2617.437285</v>
      </c>
      <c r="O13" s="294">
        <f t="shared" si="3"/>
        <v>1</v>
      </c>
      <c r="P13" s="296"/>
      <c r="Q13" s="296"/>
    </row>
    <row r="14" spans="1:22" s="4" customFormat="1" x14ac:dyDescent="0.25">
      <c r="A14" s="89"/>
      <c r="B14" s="297"/>
      <c r="C14" s="298"/>
      <c r="D14" s="297"/>
      <c r="E14" s="297"/>
      <c r="F14" s="299"/>
      <c r="G14" s="299"/>
      <c r="H14" s="300"/>
      <c r="I14" s="301">
        <f>SUM(I10:I13)</f>
        <v>28863.136322999999</v>
      </c>
      <c r="J14" s="301">
        <f t="shared" ref="J14:M14" si="4">SUM(J10:J13)</f>
        <v>160</v>
      </c>
      <c r="K14" s="302">
        <f t="shared" si="4"/>
        <v>28439.381745000002</v>
      </c>
      <c r="L14" s="301">
        <f t="shared" si="4"/>
        <v>0</v>
      </c>
      <c r="M14" s="302">
        <f t="shared" si="4"/>
        <v>0</v>
      </c>
      <c r="N14" s="293">
        <f t="shared" si="2"/>
        <v>28439.381745000002</v>
      </c>
      <c r="O14" s="294">
        <f t="shared" si="3"/>
        <v>0.98531848468378946</v>
      </c>
      <c r="P14" s="296"/>
      <c r="Q14" s="296"/>
      <c r="R14" s="230"/>
    </row>
    <row r="15" spans="1:22" s="230" customFormat="1" x14ac:dyDescent="0.25">
      <c r="A15" s="89"/>
      <c r="B15" s="303"/>
      <c r="C15" s="304"/>
      <c r="D15" s="287"/>
      <c r="E15" s="287"/>
      <c r="F15" s="289"/>
      <c r="G15" s="289"/>
      <c r="H15" s="290"/>
      <c r="I15" s="305"/>
      <c r="J15" s="306"/>
      <c r="K15" s="293">
        <f t="shared" si="0"/>
        <v>0</v>
      </c>
      <c r="L15" s="305"/>
      <c r="M15" s="293"/>
      <c r="N15" s="293"/>
      <c r="O15" s="294"/>
      <c r="P15" s="296"/>
      <c r="Q15" s="296"/>
    </row>
    <row r="16" spans="1:22" ht="20.100000000000001" customHeight="1" x14ac:dyDescent="0.25">
      <c r="A16" s="307" t="s">
        <v>26</v>
      </c>
      <c r="B16" s="308" t="s">
        <v>27</v>
      </c>
      <c r="C16" s="309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96"/>
      <c r="Q16" s="296"/>
    </row>
    <row r="17" spans="1:20" ht="38.25" x14ac:dyDescent="0.25">
      <c r="A17" s="89" t="s">
        <v>28</v>
      </c>
      <c r="B17" s="287" t="s">
        <v>29</v>
      </c>
      <c r="C17" s="288" t="s">
        <v>30</v>
      </c>
      <c r="D17" s="287" t="s">
        <v>21</v>
      </c>
      <c r="E17" s="287" t="s">
        <v>31</v>
      </c>
      <c r="F17" s="289">
        <v>736.67</v>
      </c>
      <c r="G17" s="289">
        <v>30.08</v>
      </c>
      <c r="H17" s="290">
        <f>G17*$Q$10</f>
        <v>38.30688</v>
      </c>
      <c r="I17" s="291">
        <f>H17*F17</f>
        <v>28219.529289599999</v>
      </c>
      <c r="J17" s="292">
        <f>'[3]BM-06'!L15</f>
        <v>477.87</v>
      </c>
      <c r="K17" s="293">
        <f t="shared" si="0"/>
        <v>18305.708745600001</v>
      </c>
      <c r="L17" s="291">
        <v>258.8</v>
      </c>
      <c r="M17" s="293">
        <f t="shared" si="1"/>
        <v>9913.8205440000002</v>
      </c>
      <c r="N17" s="293">
        <f t="shared" si="2"/>
        <v>28219.529289600003</v>
      </c>
      <c r="O17" s="294">
        <f t="shared" si="3"/>
        <v>1.0000000000000002</v>
      </c>
      <c r="P17" s="296"/>
      <c r="Q17" s="296"/>
    </row>
    <row r="18" spans="1:20" ht="63.75" customHeight="1" x14ac:dyDescent="0.25">
      <c r="A18" s="89" t="s">
        <v>32</v>
      </c>
      <c r="B18" s="287" t="s">
        <v>33</v>
      </c>
      <c r="C18" s="288" t="s">
        <v>34</v>
      </c>
      <c r="D18" s="287" t="s">
        <v>21</v>
      </c>
      <c r="E18" s="287" t="s">
        <v>31</v>
      </c>
      <c r="F18" s="289">
        <v>405.15</v>
      </c>
      <c r="G18" s="289">
        <v>63.46</v>
      </c>
      <c r="H18" s="290">
        <f>G18*$Q$10</f>
        <v>80.816310000000001</v>
      </c>
      <c r="I18" s="291">
        <f>H18*F18</f>
        <v>32742.727996499998</v>
      </c>
      <c r="J18" s="292">
        <f>'[3]BM-06'!L16</f>
        <v>139.80000000000001</v>
      </c>
      <c r="K18" s="293">
        <f t="shared" si="0"/>
        <v>11298.120138</v>
      </c>
      <c r="L18" s="291">
        <v>265.35000000000002</v>
      </c>
      <c r="M18" s="293">
        <f t="shared" si="1"/>
        <v>21444.607858500003</v>
      </c>
      <c r="N18" s="293">
        <f t="shared" si="2"/>
        <v>32742.727996500005</v>
      </c>
      <c r="O18" s="294">
        <f t="shared" si="3"/>
        <v>1.0000000000000002</v>
      </c>
      <c r="P18" s="296"/>
      <c r="Q18" s="296"/>
    </row>
    <row r="19" spans="1:20" ht="38.25" x14ac:dyDescent="0.25">
      <c r="A19" s="89" t="s">
        <v>35</v>
      </c>
      <c r="B19" s="287" t="s">
        <v>29</v>
      </c>
      <c r="C19" s="288" t="s">
        <v>30</v>
      </c>
      <c r="D19" s="287" t="s">
        <v>21</v>
      </c>
      <c r="E19" s="287" t="s">
        <v>31</v>
      </c>
      <c r="F19" s="289">
        <v>244.58</v>
      </c>
      <c r="G19" s="289">
        <v>30.08</v>
      </c>
      <c r="H19" s="290">
        <f>G19*$Q$10</f>
        <v>38.30688</v>
      </c>
      <c r="I19" s="291">
        <f>H19*F19</f>
        <v>9369.096710400001</v>
      </c>
      <c r="J19" s="292">
        <f>'[3]BM-06'!L17</f>
        <v>244.58</v>
      </c>
      <c r="K19" s="293">
        <f t="shared" si="0"/>
        <v>9369.096710400001</v>
      </c>
      <c r="L19" s="291"/>
      <c r="M19" s="293">
        <f t="shared" si="1"/>
        <v>0</v>
      </c>
      <c r="N19" s="293">
        <f t="shared" si="2"/>
        <v>9369.096710400001</v>
      </c>
      <c r="O19" s="294">
        <f t="shared" si="3"/>
        <v>1</v>
      </c>
      <c r="P19" s="296"/>
      <c r="Q19" s="296"/>
    </row>
    <row r="20" spans="1:20" s="314" customFormat="1" ht="120.75" customHeight="1" x14ac:dyDescent="0.25">
      <c r="A20" s="89" t="s">
        <v>789</v>
      </c>
      <c r="B20" s="310">
        <v>102326</v>
      </c>
      <c r="C20" s="311" t="s">
        <v>792</v>
      </c>
      <c r="D20" s="310" t="s">
        <v>21</v>
      </c>
      <c r="E20" s="310" t="s">
        <v>31</v>
      </c>
      <c r="F20" s="312">
        <v>57.32</v>
      </c>
      <c r="G20" s="312">
        <v>6.3197429999999999</v>
      </c>
      <c r="H20" s="313">
        <f>G20*$Q$10*$R$7</f>
        <v>7.0019276581350001</v>
      </c>
      <c r="I20" s="291">
        <f>H20*F20</f>
        <v>401.35049336429819</v>
      </c>
      <c r="J20" s="292"/>
      <c r="K20" s="293">
        <f t="shared" si="0"/>
        <v>0</v>
      </c>
      <c r="L20" s="291">
        <v>57.32</v>
      </c>
      <c r="M20" s="293">
        <f t="shared" si="1"/>
        <v>401.35049336429819</v>
      </c>
      <c r="N20" s="293">
        <f t="shared" si="2"/>
        <v>401.35049336429819</v>
      </c>
      <c r="O20" s="294">
        <f t="shared" si="3"/>
        <v>1</v>
      </c>
      <c r="P20" s="296"/>
      <c r="Q20" s="296"/>
      <c r="R20" s="230"/>
      <c r="T20" s="314">
        <f>8.05*0.87</f>
        <v>7.0035000000000007</v>
      </c>
    </row>
    <row r="21" spans="1:20" s="314" customFormat="1" x14ac:dyDescent="0.25">
      <c r="A21" s="89" t="s">
        <v>790</v>
      </c>
      <c r="B21" s="310">
        <v>9898</v>
      </c>
      <c r="C21" s="315" t="s">
        <v>793</v>
      </c>
      <c r="D21" s="310" t="s">
        <v>12</v>
      </c>
      <c r="E21" s="310" t="s">
        <v>31</v>
      </c>
      <c r="F21" s="312">
        <v>531.84</v>
      </c>
      <c r="G21" s="312">
        <v>7.8406770000000003</v>
      </c>
      <c r="H21" s="313">
        <f>G21*$Q$10*$R$7</f>
        <v>8.6870388787649997</v>
      </c>
      <c r="I21" s="291">
        <f t="shared" ref="I21:I22" si="5">H21*F21</f>
        <v>4620.1147572823775</v>
      </c>
      <c r="J21" s="292"/>
      <c r="K21" s="293">
        <f t="shared" si="0"/>
        <v>0</v>
      </c>
      <c r="L21" s="316">
        <v>531.84</v>
      </c>
      <c r="M21" s="293">
        <f t="shared" si="1"/>
        <v>4620.1147572823775</v>
      </c>
      <c r="N21" s="293">
        <f t="shared" si="2"/>
        <v>4620.1147572823775</v>
      </c>
      <c r="O21" s="294">
        <f t="shared" si="3"/>
        <v>1</v>
      </c>
      <c r="P21" s="296"/>
      <c r="Q21" s="296"/>
      <c r="R21" s="230"/>
    </row>
    <row r="22" spans="1:20" s="314" customFormat="1" ht="30" x14ac:dyDescent="0.25">
      <c r="A22" s="89" t="s">
        <v>791</v>
      </c>
      <c r="B22" s="310" t="s">
        <v>795</v>
      </c>
      <c r="C22" s="315" t="s">
        <v>794</v>
      </c>
      <c r="D22" s="310" t="s">
        <v>261</v>
      </c>
      <c r="E22" s="310" t="s">
        <v>22</v>
      </c>
      <c r="F22" s="312">
        <v>30.23</v>
      </c>
      <c r="G22" s="312">
        <v>47.655932</v>
      </c>
      <c r="H22" s="313">
        <f>G22*$Q$10*$R$7</f>
        <v>52.800151579740003</v>
      </c>
      <c r="I22" s="291">
        <f t="shared" si="5"/>
        <v>1596.1485822555403</v>
      </c>
      <c r="J22" s="292"/>
      <c r="K22" s="293">
        <f t="shared" si="0"/>
        <v>0</v>
      </c>
      <c r="L22" s="291">
        <v>30.23</v>
      </c>
      <c r="M22" s="293">
        <f t="shared" si="1"/>
        <v>1596.1485822555403</v>
      </c>
      <c r="N22" s="293">
        <f t="shared" si="2"/>
        <v>1596.1485822555403</v>
      </c>
      <c r="O22" s="294">
        <f t="shared" si="3"/>
        <v>1</v>
      </c>
      <c r="P22" s="296"/>
      <c r="Q22" s="296"/>
      <c r="R22" s="230"/>
    </row>
    <row r="23" spans="1:20" s="314" customFormat="1" x14ac:dyDescent="0.25">
      <c r="A23" s="89"/>
      <c r="B23" s="287"/>
      <c r="C23" s="317"/>
      <c r="D23" s="287"/>
      <c r="E23" s="287"/>
      <c r="F23" s="289"/>
      <c r="G23" s="289"/>
      <c r="H23" s="290"/>
      <c r="I23" s="291"/>
      <c r="J23" s="292"/>
      <c r="K23" s="293"/>
      <c r="L23" s="291"/>
      <c r="M23" s="293"/>
      <c r="N23" s="293"/>
      <c r="O23" s="294"/>
      <c r="P23" s="296"/>
      <c r="Q23" s="296"/>
      <c r="R23" s="230"/>
    </row>
    <row r="24" spans="1:20" x14ac:dyDescent="0.25">
      <c r="A24" s="89"/>
      <c r="B24" s="297"/>
      <c r="C24" s="298"/>
      <c r="D24" s="297"/>
      <c r="E24" s="297"/>
      <c r="F24" s="299"/>
      <c r="G24" s="299"/>
      <c r="H24" s="300"/>
      <c r="I24" s="301">
        <f>SUM(I17:I23)</f>
        <v>76948.967829402216</v>
      </c>
      <c r="J24" s="301">
        <f t="shared" ref="J24:K24" si="6">SUM(J17:J23)</f>
        <v>862.25000000000011</v>
      </c>
      <c r="K24" s="302">
        <f t="shared" si="6"/>
        <v>38972.925594</v>
      </c>
      <c r="L24" s="301"/>
      <c r="M24" s="301">
        <f t="shared" ref="M24:N24" si="7">SUM(M17:M23)</f>
        <v>37976.042235402216</v>
      </c>
      <c r="N24" s="301">
        <f t="shared" si="7"/>
        <v>76948.967829402231</v>
      </c>
      <c r="O24" s="294">
        <f t="shared" si="3"/>
        <v>1.0000000000000002</v>
      </c>
      <c r="P24" s="296"/>
      <c r="Q24" s="296"/>
    </row>
    <row r="25" spans="1:20" s="230" customFormat="1" x14ac:dyDescent="0.25">
      <c r="A25" s="89"/>
      <c r="B25" s="303"/>
      <c r="C25" s="304"/>
      <c r="D25" s="287"/>
      <c r="E25" s="287"/>
      <c r="F25" s="289"/>
      <c r="G25" s="289"/>
      <c r="H25" s="290"/>
      <c r="I25" s="305"/>
      <c r="J25" s="306"/>
      <c r="K25" s="306"/>
      <c r="L25" s="306"/>
      <c r="M25" s="306"/>
      <c r="N25" s="306"/>
      <c r="O25" s="294"/>
      <c r="P25" s="296"/>
      <c r="Q25" s="296"/>
    </row>
    <row r="26" spans="1:20" ht="20.100000000000001" customHeight="1" x14ac:dyDescent="0.25">
      <c r="A26" s="307" t="s">
        <v>36</v>
      </c>
      <c r="B26" s="308" t="s">
        <v>37</v>
      </c>
      <c r="C26" s="309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94"/>
      <c r="P26" s="296"/>
      <c r="Q26" s="296"/>
    </row>
    <row r="27" spans="1:20" ht="61.5" customHeight="1" x14ac:dyDescent="0.25">
      <c r="A27" s="89" t="s">
        <v>38</v>
      </c>
      <c r="B27" s="287" t="s">
        <v>39</v>
      </c>
      <c r="C27" s="288" t="s">
        <v>40</v>
      </c>
      <c r="D27" s="287" t="s">
        <v>21</v>
      </c>
      <c r="E27" s="287" t="s">
        <v>31</v>
      </c>
      <c r="F27" s="289">
        <v>30.78</v>
      </c>
      <c r="G27" s="289">
        <v>242.41</v>
      </c>
      <c r="H27" s="290">
        <f t="shared" ref="H27:H34" si="8">G27*$Q$10</f>
        <v>308.709135</v>
      </c>
      <c r="I27" s="291">
        <f t="shared" ref="I27:I35" si="9">H27*F27</f>
        <v>9502.0671753000006</v>
      </c>
      <c r="J27" s="292">
        <f>'[3]BM-06'!L20</f>
        <v>5.42</v>
      </c>
      <c r="K27" s="293">
        <f t="shared" si="0"/>
        <v>1673.2035117</v>
      </c>
      <c r="L27" s="291">
        <v>25.36</v>
      </c>
      <c r="M27" s="293">
        <f t="shared" si="1"/>
        <v>7828.8636636000001</v>
      </c>
      <c r="N27" s="293">
        <f t="shared" si="2"/>
        <v>9502.0671753000006</v>
      </c>
      <c r="O27" s="294">
        <f t="shared" si="3"/>
        <v>1</v>
      </c>
      <c r="P27" s="296"/>
      <c r="Q27" s="296"/>
    </row>
    <row r="28" spans="1:20" ht="39" customHeight="1" x14ac:dyDescent="0.25">
      <c r="A28" s="89" t="s">
        <v>41</v>
      </c>
      <c r="B28" s="287" t="s">
        <v>42</v>
      </c>
      <c r="C28" s="288" t="s">
        <v>43</v>
      </c>
      <c r="D28" s="287" t="s">
        <v>12</v>
      </c>
      <c r="E28" s="287" t="s">
        <v>44</v>
      </c>
      <c r="F28" s="289">
        <v>514.13</v>
      </c>
      <c r="G28" s="289">
        <v>58.96</v>
      </c>
      <c r="H28" s="290">
        <f t="shared" si="8"/>
        <v>75.085560000000001</v>
      </c>
      <c r="I28" s="291">
        <f t="shared" si="9"/>
        <v>38603.738962800002</v>
      </c>
      <c r="J28" s="292">
        <f>'[3]BM-06'!L21</f>
        <v>470.8</v>
      </c>
      <c r="K28" s="293">
        <f t="shared" si="0"/>
        <v>35350.281648000004</v>
      </c>
      <c r="L28" s="291">
        <v>43.33</v>
      </c>
      <c r="M28" s="293">
        <f t="shared" si="1"/>
        <v>3253.4573147999999</v>
      </c>
      <c r="N28" s="293">
        <f t="shared" si="2"/>
        <v>38603.738962800002</v>
      </c>
      <c r="O28" s="294">
        <f t="shared" si="3"/>
        <v>1</v>
      </c>
      <c r="P28" s="296"/>
      <c r="Q28" s="296"/>
    </row>
    <row r="29" spans="1:20" ht="38.25" x14ac:dyDescent="0.25">
      <c r="A29" s="89" t="s">
        <v>45</v>
      </c>
      <c r="B29" s="287" t="s">
        <v>46</v>
      </c>
      <c r="C29" s="288" t="s">
        <v>47</v>
      </c>
      <c r="D29" s="287" t="s">
        <v>21</v>
      </c>
      <c r="E29" s="287" t="s">
        <v>48</v>
      </c>
      <c r="F29" s="289">
        <v>11.12</v>
      </c>
      <c r="G29" s="289">
        <v>15.84</v>
      </c>
      <c r="H29" s="290">
        <f t="shared" si="8"/>
        <v>20.172240000000002</v>
      </c>
      <c r="I29" s="291">
        <f t="shared" si="9"/>
        <v>224.3153088</v>
      </c>
      <c r="J29" s="292">
        <f>'[3]BM-06'!L22</f>
        <v>0</v>
      </c>
      <c r="K29" s="293">
        <f t="shared" si="0"/>
        <v>0</v>
      </c>
      <c r="L29" s="291"/>
      <c r="M29" s="293">
        <f t="shared" si="1"/>
        <v>0</v>
      </c>
      <c r="N29" s="293">
        <f t="shared" si="2"/>
        <v>0</v>
      </c>
      <c r="O29" s="294">
        <f t="shared" si="3"/>
        <v>0</v>
      </c>
      <c r="P29" s="296"/>
      <c r="Q29" s="296"/>
    </row>
    <row r="30" spans="1:20" ht="62.25" customHeight="1" x14ac:dyDescent="0.25">
      <c r="A30" s="89" t="s">
        <v>49</v>
      </c>
      <c r="B30" s="287" t="s">
        <v>50</v>
      </c>
      <c r="C30" s="288" t="s">
        <v>51</v>
      </c>
      <c r="D30" s="287" t="s">
        <v>21</v>
      </c>
      <c r="E30" s="287" t="s">
        <v>48</v>
      </c>
      <c r="F30" s="289">
        <v>2881.03</v>
      </c>
      <c r="G30" s="289">
        <v>13.6</v>
      </c>
      <c r="H30" s="290">
        <f t="shared" si="8"/>
        <v>17.319600000000001</v>
      </c>
      <c r="I30" s="291">
        <f t="shared" si="9"/>
        <v>49898.287188000009</v>
      </c>
      <c r="J30" s="292">
        <f>'[3]BM-06'!L23</f>
        <v>1986.92</v>
      </c>
      <c r="K30" s="293">
        <f t="shared" si="0"/>
        <v>34412.659632000003</v>
      </c>
      <c r="L30" s="291">
        <v>894.11</v>
      </c>
      <c r="M30" s="293">
        <f t="shared" si="1"/>
        <v>15485.627556000001</v>
      </c>
      <c r="N30" s="293">
        <f t="shared" si="2"/>
        <v>49898.287188000002</v>
      </c>
      <c r="O30" s="294">
        <f t="shared" si="3"/>
        <v>0.99999999999999989</v>
      </c>
      <c r="P30" s="296"/>
      <c r="Q30" s="296"/>
    </row>
    <row r="31" spans="1:20" ht="52.5" customHeight="1" x14ac:dyDescent="0.25">
      <c r="A31" s="89" t="s">
        <v>52</v>
      </c>
      <c r="B31" s="287" t="s">
        <v>53</v>
      </c>
      <c r="C31" s="288" t="s">
        <v>54</v>
      </c>
      <c r="D31" s="287" t="s">
        <v>21</v>
      </c>
      <c r="E31" s="287" t="s">
        <v>48</v>
      </c>
      <c r="F31" s="289">
        <v>397.04</v>
      </c>
      <c r="G31" s="289">
        <v>11.57</v>
      </c>
      <c r="H31" s="290">
        <f t="shared" si="8"/>
        <v>14.734395000000001</v>
      </c>
      <c r="I31" s="291">
        <f t="shared" si="9"/>
        <v>5850.1441908000006</v>
      </c>
      <c r="J31" s="292">
        <f>'[3]BM-06'!L24</f>
        <v>0</v>
      </c>
      <c r="K31" s="293">
        <f t="shared" si="0"/>
        <v>0</v>
      </c>
      <c r="L31" s="291"/>
      <c r="M31" s="293">
        <f t="shared" si="1"/>
        <v>0</v>
      </c>
      <c r="N31" s="293">
        <f t="shared" si="2"/>
        <v>0</v>
      </c>
      <c r="O31" s="294">
        <f t="shared" si="3"/>
        <v>0</v>
      </c>
      <c r="P31" s="296"/>
      <c r="Q31" s="296"/>
    </row>
    <row r="32" spans="1:20" ht="38.25" x14ac:dyDescent="0.25">
      <c r="A32" s="89" t="s">
        <v>55</v>
      </c>
      <c r="B32" s="287" t="s">
        <v>56</v>
      </c>
      <c r="C32" s="288" t="s">
        <v>57</v>
      </c>
      <c r="D32" s="287" t="s">
        <v>21</v>
      </c>
      <c r="E32" s="287" t="s">
        <v>48</v>
      </c>
      <c r="F32" s="289">
        <v>484.54</v>
      </c>
      <c r="G32" s="289">
        <v>16.47</v>
      </c>
      <c r="H32" s="290">
        <f t="shared" si="8"/>
        <v>20.974544999999999</v>
      </c>
      <c r="I32" s="291">
        <f t="shared" si="9"/>
        <v>10163.0060343</v>
      </c>
      <c r="J32" s="292">
        <f>'[3]BM-06'!L25</f>
        <v>395.47</v>
      </c>
      <c r="K32" s="293">
        <f t="shared" si="0"/>
        <v>8294.8033111500008</v>
      </c>
      <c r="L32" s="291">
        <v>89.07</v>
      </c>
      <c r="M32" s="293">
        <f t="shared" si="1"/>
        <v>1868.2027231499999</v>
      </c>
      <c r="N32" s="293">
        <f t="shared" si="2"/>
        <v>10163.0060343</v>
      </c>
      <c r="O32" s="294">
        <f t="shared" si="3"/>
        <v>1</v>
      </c>
      <c r="P32" s="296"/>
      <c r="Q32" s="296"/>
    </row>
    <row r="33" spans="1:18" ht="51" x14ac:dyDescent="0.25">
      <c r="A33" s="89" t="s">
        <v>58</v>
      </c>
      <c r="B33" s="287" t="s">
        <v>59</v>
      </c>
      <c r="C33" s="288" t="s">
        <v>60</v>
      </c>
      <c r="D33" s="287" t="s">
        <v>21</v>
      </c>
      <c r="E33" s="287" t="s">
        <v>31</v>
      </c>
      <c r="F33" s="289">
        <v>67.8</v>
      </c>
      <c r="G33" s="289">
        <v>301.79000000000002</v>
      </c>
      <c r="H33" s="290">
        <f t="shared" si="8"/>
        <v>384.32956500000006</v>
      </c>
      <c r="I33" s="291">
        <f t="shared" si="9"/>
        <v>26057.544507000002</v>
      </c>
      <c r="J33" s="292">
        <f>'[3]BM-06'!L26</f>
        <v>49.87</v>
      </c>
      <c r="K33" s="293">
        <f t="shared" si="0"/>
        <v>19166.515406550003</v>
      </c>
      <c r="L33" s="291">
        <v>17.93</v>
      </c>
      <c r="M33" s="293">
        <f t="shared" si="1"/>
        <v>6891.0291004500014</v>
      </c>
      <c r="N33" s="293">
        <f t="shared" si="2"/>
        <v>26057.544507000006</v>
      </c>
      <c r="O33" s="294">
        <f t="shared" si="3"/>
        <v>1.0000000000000002</v>
      </c>
      <c r="P33" s="296"/>
      <c r="Q33" s="296"/>
    </row>
    <row r="34" spans="1:18" ht="38.25" x14ac:dyDescent="0.25">
      <c r="A34" s="89" t="s">
        <v>61</v>
      </c>
      <c r="B34" s="287" t="s">
        <v>62</v>
      </c>
      <c r="C34" s="288" t="s">
        <v>63</v>
      </c>
      <c r="D34" s="287" t="s">
        <v>21</v>
      </c>
      <c r="E34" s="287" t="s">
        <v>31</v>
      </c>
      <c r="F34" s="289">
        <v>67.8</v>
      </c>
      <c r="G34" s="289">
        <v>23.69</v>
      </c>
      <c r="H34" s="290">
        <f t="shared" si="8"/>
        <v>30.169215000000005</v>
      </c>
      <c r="I34" s="291">
        <f t="shared" si="9"/>
        <v>2045.4727770000002</v>
      </c>
      <c r="J34" s="292">
        <f>'[3]BM-06'!L27</f>
        <v>49.87</v>
      </c>
      <c r="K34" s="293">
        <f t="shared" si="0"/>
        <v>1504.5387520500001</v>
      </c>
      <c r="L34" s="291">
        <v>17.93</v>
      </c>
      <c r="M34" s="293">
        <f t="shared" si="1"/>
        <v>540.93402495000009</v>
      </c>
      <c r="N34" s="293">
        <f t="shared" si="2"/>
        <v>2045.4727770000002</v>
      </c>
      <c r="O34" s="294">
        <f t="shared" si="3"/>
        <v>1</v>
      </c>
      <c r="P34" s="296"/>
      <c r="Q34" s="296"/>
    </row>
    <row r="35" spans="1:18" s="314" customFormat="1" ht="55.5" customHeight="1" x14ac:dyDescent="0.25">
      <c r="A35" s="89" t="s">
        <v>797</v>
      </c>
      <c r="B35" s="310">
        <v>4953</v>
      </c>
      <c r="C35" s="315" t="s">
        <v>798</v>
      </c>
      <c r="D35" s="310" t="s">
        <v>12</v>
      </c>
      <c r="E35" s="310" t="s">
        <v>69</v>
      </c>
      <c r="F35" s="312">
        <v>289.06</v>
      </c>
      <c r="G35" s="312">
        <v>23.653146</v>
      </c>
      <c r="H35" s="313">
        <f>G35*$Q$10*$R$7</f>
        <v>26.20638484497</v>
      </c>
      <c r="I35" s="291">
        <f t="shared" si="9"/>
        <v>7575.2176032870284</v>
      </c>
      <c r="J35" s="292"/>
      <c r="K35" s="293">
        <f t="shared" si="0"/>
        <v>0</v>
      </c>
      <c r="L35" s="291">
        <v>289.06</v>
      </c>
      <c r="M35" s="293">
        <f t="shared" si="1"/>
        <v>7575.2176032870284</v>
      </c>
      <c r="N35" s="293">
        <f t="shared" si="2"/>
        <v>7575.2176032870284</v>
      </c>
      <c r="O35" s="294">
        <f t="shared" si="3"/>
        <v>1</v>
      </c>
      <c r="P35" s="296"/>
      <c r="Q35" s="296"/>
      <c r="R35" s="230"/>
    </row>
    <row r="36" spans="1:18" x14ac:dyDescent="0.25">
      <c r="A36" s="89"/>
      <c r="B36" s="297"/>
      <c r="C36" s="298"/>
      <c r="D36" s="297"/>
      <c r="E36" s="297"/>
      <c r="F36" s="299"/>
      <c r="G36" s="299"/>
      <c r="H36" s="300"/>
      <c r="I36" s="301">
        <f>SUM(I27:I35)</f>
        <v>149919.79374728704</v>
      </c>
      <c r="J36" s="301">
        <f t="shared" ref="J36:K36" si="10">SUM(J27:J35)</f>
        <v>2958.3500000000004</v>
      </c>
      <c r="K36" s="302">
        <f t="shared" si="10"/>
        <v>100402.00226144999</v>
      </c>
      <c r="L36" s="301"/>
      <c r="M36" s="302">
        <f t="shared" ref="M36" si="11">SUM(M27:M35)</f>
        <v>43443.331986237026</v>
      </c>
      <c r="N36" s="293">
        <f t="shared" si="2"/>
        <v>143845.33424768702</v>
      </c>
      <c r="O36" s="294">
        <f t="shared" si="3"/>
        <v>0.9594819379898597</v>
      </c>
      <c r="P36" s="296"/>
      <c r="Q36" s="296"/>
    </row>
    <row r="37" spans="1:18" s="230" customFormat="1" x14ac:dyDescent="0.25">
      <c r="A37" s="89"/>
      <c r="B37" s="303"/>
      <c r="C37" s="304"/>
      <c r="D37" s="287"/>
      <c r="E37" s="287"/>
      <c r="F37" s="289"/>
      <c r="G37" s="289"/>
      <c r="H37" s="290"/>
      <c r="I37" s="305"/>
      <c r="J37" s="306"/>
      <c r="K37" s="306"/>
      <c r="L37" s="306"/>
      <c r="M37" s="306"/>
      <c r="N37" s="306"/>
      <c r="O37" s="306"/>
      <c r="P37" s="296"/>
      <c r="Q37" s="296"/>
    </row>
    <row r="38" spans="1:18" ht="20.100000000000001" customHeight="1" x14ac:dyDescent="0.25">
      <c r="A38" s="307" t="s">
        <v>64</v>
      </c>
      <c r="B38" s="308" t="s">
        <v>65</v>
      </c>
      <c r="C38" s="309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96"/>
      <c r="Q38" s="296"/>
    </row>
    <row r="39" spans="1:18" ht="76.5" x14ac:dyDescent="0.25">
      <c r="A39" s="89" t="s">
        <v>66</v>
      </c>
      <c r="B39" s="287" t="s">
        <v>67</v>
      </c>
      <c r="C39" s="288" t="s">
        <v>68</v>
      </c>
      <c r="D39" s="287" t="s">
        <v>21</v>
      </c>
      <c r="E39" s="287" t="s">
        <v>69</v>
      </c>
      <c r="F39" s="289">
        <v>1094.53</v>
      </c>
      <c r="G39" s="289">
        <v>52.58</v>
      </c>
      <c r="H39" s="290">
        <f>G39*$Q$10</f>
        <v>66.960629999999995</v>
      </c>
      <c r="I39" s="291">
        <f>H39*F39</f>
        <v>73290.418353899993</v>
      </c>
      <c r="J39" s="292">
        <f>'[3]BM-06'!L30</f>
        <v>999.78700000000003</v>
      </c>
      <c r="K39" s="293">
        <f t="shared" si="0"/>
        <v>66946.367385809994</v>
      </c>
      <c r="L39" s="291"/>
      <c r="M39" s="293">
        <f t="shared" si="1"/>
        <v>0</v>
      </c>
      <c r="N39" s="293">
        <f t="shared" si="2"/>
        <v>66946.367385809994</v>
      </c>
      <c r="O39" s="294">
        <f t="shared" si="3"/>
        <v>0.91343955853197267</v>
      </c>
      <c r="P39" s="296"/>
      <c r="Q39" s="296"/>
    </row>
    <row r="40" spans="1:18" ht="51" x14ac:dyDescent="0.25">
      <c r="A40" s="89" t="s">
        <v>70</v>
      </c>
      <c r="B40" s="287" t="s">
        <v>71</v>
      </c>
      <c r="C40" s="288" t="s">
        <v>72</v>
      </c>
      <c r="D40" s="287" t="s">
        <v>21</v>
      </c>
      <c r="E40" s="287" t="s">
        <v>69</v>
      </c>
      <c r="F40" s="289">
        <v>16</v>
      </c>
      <c r="G40" s="289">
        <v>133.55000000000001</v>
      </c>
      <c r="H40" s="290">
        <f>G40*$Q$10</f>
        <v>170.07592500000001</v>
      </c>
      <c r="I40" s="291">
        <f>H40*F40</f>
        <v>2721.2148000000002</v>
      </c>
      <c r="J40" s="292">
        <f>'[3]BM-06'!L31</f>
        <v>16</v>
      </c>
      <c r="K40" s="293">
        <f t="shared" si="0"/>
        <v>2721.2148000000002</v>
      </c>
      <c r="L40" s="291"/>
      <c r="M40" s="293">
        <f t="shared" si="1"/>
        <v>0</v>
      </c>
      <c r="N40" s="293">
        <f t="shared" si="2"/>
        <v>2721.2148000000002</v>
      </c>
      <c r="O40" s="294">
        <f t="shared" si="3"/>
        <v>1</v>
      </c>
      <c r="P40" s="296"/>
      <c r="Q40" s="296"/>
    </row>
    <row r="41" spans="1:18" ht="88.5" customHeight="1" x14ac:dyDescent="0.25">
      <c r="A41" s="89" t="s">
        <v>73</v>
      </c>
      <c r="B41" s="287" t="s">
        <v>67</v>
      </c>
      <c r="C41" s="288" t="s">
        <v>68</v>
      </c>
      <c r="D41" s="287" t="s">
        <v>21</v>
      </c>
      <c r="E41" s="287" t="s">
        <v>69</v>
      </c>
      <c r="F41" s="289">
        <v>183</v>
      </c>
      <c r="G41" s="289">
        <v>52.58</v>
      </c>
      <c r="H41" s="290">
        <f>G41*$Q$10</f>
        <v>66.960629999999995</v>
      </c>
      <c r="I41" s="291">
        <f>H41*F41</f>
        <v>12253.795289999998</v>
      </c>
      <c r="J41" s="292">
        <f>'[3]BM-06'!L32</f>
        <v>167.4</v>
      </c>
      <c r="K41" s="293">
        <f t="shared" si="0"/>
        <v>11209.209461999999</v>
      </c>
      <c r="L41" s="291"/>
      <c r="M41" s="293">
        <f t="shared" si="1"/>
        <v>0</v>
      </c>
      <c r="N41" s="293">
        <f t="shared" si="2"/>
        <v>11209.209461999999</v>
      </c>
      <c r="O41" s="294">
        <f t="shared" si="3"/>
        <v>0.9147540983606558</v>
      </c>
      <c r="P41" s="296"/>
      <c r="Q41" s="296"/>
    </row>
    <row r="42" spans="1:18" s="314" customFormat="1" ht="123" customHeight="1" x14ac:dyDescent="0.25">
      <c r="A42" s="89" t="s">
        <v>799</v>
      </c>
      <c r="B42" s="310">
        <v>89977</v>
      </c>
      <c r="C42" s="318" t="s">
        <v>800</v>
      </c>
      <c r="D42" s="310" t="s">
        <v>21</v>
      </c>
      <c r="E42" s="310" t="s">
        <v>69</v>
      </c>
      <c r="F42" s="312">
        <v>166.07</v>
      </c>
      <c r="G42" s="312">
        <v>101.50923299999999</v>
      </c>
      <c r="H42" s="313">
        <f>G42*$Q$10*$R$7</f>
        <v>112.466647156185</v>
      </c>
      <c r="I42" s="291">
        <f>H42*F42</f>
        <v>18677.336093227645</v>
      </c>
      <c r="J42" s="292"/>
      <c r="K42" s="293">
        <f t="shared" si="0"/>
        <v>0</v>
      </c>
      <c r="L42" s="291"/>
      <c r="M42" s="293">
        <f t="shared" si="1"/>
        <v>0</v>
      </c>
      <c r="N42" s="293">
        <f t="shared" si="2"/>
        <v>0</v>
      </c>
      <c r="O42" s="294">
        <f t="shared" si="3"/>
        <v>0</v>
      </c>
      <c r="P42" s="296" t="s">
        <v>850</v>
      </c>
      <c r="Q42" s="296" t="s">
        <v>850</v>
      </c>
      <c r="R42" s="230"/>
    </row>
    <row r="43" spans="1:18" x14ac:dyDescent="0.25">
      <c r="A43" s="89"/>
      <c r="B43" s="297"/>
      <c r="C43" s="298"/>
      <c r="D43" s="297"/>
      <c r="E43" s="297"/>
      <c r="F43" s="299"/>
      <c r="G43" s="299"/>
      <c r="H43" s="300"/>
      <c r="I43" s="301">
        <f>SUM(I39:I42)</f>
        <v>106942.76453712763</v>
      </c>
      <c r="J43" s="301">
        <f t="shared" ref="J43:K43" si="12">SUM(J39:J42)</f>
        <v>1183.1870000000001</v>
      </c>
      <c r="K43" s="302">
        <f t="shared" si="12"/>
        <v>80876.791647809994</v>
      </c>
      <c r="L43" s="301"/>
      <c r="M43" s="302">
        <f t="shared" ref="M43" si="13">SUM(M39:M42)</f>
        <v>0</v>
      </c>
      <c r="N43" s="293">
        <f t="shared" si="2"/>
        <v>80876.791647809994</v>
      </c>
      <c r="O43" s="294">
        <f t="shared" si="3"/>
        <v>0.75626239884355861</v>
      </c>
      <c r="P43" s="296"/>
      <c r="Q43" s="296"/>
    </row>
    <row r="44" spans="1:18" s="230" customFormat="1" x14ac:dyDescent="0.25">
      <c r="A44" s="89"/>
      <c r="B44" s="303"/>
      <c r="C44" s="304"/>
      <c r="D44" s="287"/>
      <c r="E44" s="287"/>
      <c r="F44" s="289"/>
      <c r="G44" s="289"/>
      <c r="H44" s="290"/>
      <c r="I44" s="305"/>
      <c r="J44" s="306"/>
      <c r="K44" s="306"/>
      <c r="L44" s="306"/>
      <c r="M44" s="306"/>
      <c r="N44" s="306"/>
      <c r="O44" s="294"/>
      <c r="P44" s="296"/>
      <c r="Q44" s="296"/>
    </row>
    <row r="45" spans="1:18" ht="20.100000000000001" customHeight="1" x14ac:dyDescent="0.25">
      <c r="A45" s="307" t="s">
        <v>74</v>
      </c>
      <c r="B45" s="308" t="s">
        <v>75</v>
      </c>
      <c r="C45" s="309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94"/>
      <c r="P45" s="296"/>
      <c r="Q45" s="296"/>
    </row>
    <row r="46" spans="1:18" ht="38.25" x14ac:dyDescent="0.25">
      <c r="A46" s="89" t="s">
        <v>76</v>
      </c>
      <c r="B46" s="287" t="s">
        <v>77</v>
      </c>
      <c r="C46" s="288" t="s">
        <v>78</v>
      </c>
      <c r="D46" s="287" t="s">
        <v>12</v>
      </c>
      <c r="E46" s="287" t="s">
        <v>13</v>
      </c>
      <c r="F46" s="289">
        <v>1045.71</v>
      </c>
      <c r="G46" s="289">
        <v>49.07</v>
      </c>
      <c r="H46" s="290">
        <f t="shared" ref="H46:H55" si="14">G46*$Q$10</f>
        <v>62.490645000000001</v>
      </c>
      <c r="I46" s="291">
        <f t="shared" ref="I46:I56" si="15">H46*F46</f>
        <v>65347.092382950003</v>
      </c>
      <c r="J46" s="292">
        <f>'[3]BM-06'!L35</f>
        <v>668.71</v>
      </c>
      <c r="K46" s="293">
        <f t="shared" si="0"/>
        <v>41788.119217949999</v>
      </c>
      <c r="L46" s="291">
        <v>377</v>
      </c>
      <c r="M46" s="293">
        <f t="shared" si="1"/>
        <v>23558.973164999999</v>
      </c>
      <c r="N46" s="293">
        <f t="shared" si="2"/>
        <v>65347.092382949995</v>
      </c>
      <c r="O46" s="294">
        <f t="shared" si="3"/>
        <v>0.99999999999999989</v>
      </c>
      <c r="P46" s="296"/>
      <c r="Q46" s="296"/>
    </row>
    <row r="47" spans="1:18" ht="82.5" customHeight="1" x14ac:dyDescent="0.25">
      <c r="A47" s="89" t="s">
        <v>79</v>
      </c>
      <c r="B47" s="287" t="s">
        <v>80</v>
      </c>
      <c r="C47" s="288" t="s">
        <v>81</v>
      </c>
      <c r="D47" s="287" t="s">
        <v>21</v>
      </c>
      <c r="E47" s="287" t="s">
        <v>48</v>
      </c>
      <c r="F47" s="289">
        <v>13.48</v>
      </c>
      <c r="G47" s="289">
        <v>15.87</v>
      </c>
      <c r="H47" s="290">
        <f t="shared" si="14"/>
        <v>20.210445</v>
      </c>
      <c r="I47" s="291">
        <f t="shared" si="15"/>
        <v>272.43679860000003</v>
      </c>
      <c r="J47" s="292">
        <f>'[3]BM-06'!L36</f>
        <v>8.0399999999999991</v>
      </c>
      <c r="K47" s="293">
        <f t="shared" si="0"/>
        <v>162.49197779999997</v>
      </c>
      <c r="L47" s="291"/>
      <c r="M47" s="293">
        <f t="shared" si="1"/>
        <v>0</v>
      </c>
      <c r="N47" s="293">
        <f t="shared" si="2"/>
        <v>162.49197779999997</v>
      </c>
      <c r="O47" s="294">
        <f t="shared" si="3"/>
        <v>0.59643916913946571</v>
      </c>
      <c r="P47" s="296"/>
      <c r="Q47" s="296"/>
    </row>
    <row r="48" spans="1:18" ht="64.5" customHeight="1" x14ac:dyDescent="0.25">
      <c r="A48" s="89" t="s">
        <v>82</v>
      </c>
      <c r="B48" s="287" t="s">
        <v>83</v>
      </c>
      <c r="C48" s="288" t="s">
        <v>84</v>
      </c>
      <c r="D48" s="287" t="s">
        <v>21</v>
      </c>
      <c r="E48" s="287" t="s">
        <v>48</v>
      </c>
      <c r="F48" s="289">
        <v>3191.13</v>
      </c>
      <c r="G48" s="289">
        <v>13.56</v>
      </c>
      <c r="H48" s="290">
        <f t="shared" si="14"/>
        <v>17.268660000000001</v>
      </c>
      <c r="I48" s="291">
        <f t="shared" si="15"/>
        <v>55106.538985800005</v>
      </c>
      <c r="J48" s="292">
        <f>'[3]BM-06'!L37</f>
        <v>2421.11</v>
      </c>
      <c r="K48" s="293">
        <f t="shared" si="0"/>
        <v>41809.325412600003</v>
      </c>
      <c r="L48" s="291">
        <v>770.02</v>
      </c>
      <c r="M48" s="293">
        <f t="shared" si="1"/>
        <v>13297.213573200001</v>
      </c>
      <c r="N48" s="293">
        <f t="shared" si="2"/>
        <v>55106.538985800005</v>
      </c>
      <c r="O48" s="294">
        <f t="shared" si="3"/>
        <v>1</v>
      </c>
      <c r="P48" s="296"/>
      <c r="Q48" s="296"/>
    </row>
    <row r="49" spans="1:18" ht="73.5" customHeight="1" x14ac:dyDescent="0.25">
      <c r="A49" s="89" t="s">
        <v>85</v>
      </c>
      <c r="B49" s="287" t="s">
        <v>86</v>
      </c>
      <c r="C49" s="288" t="s">
        <v>87</v>
      </c>
      <c r="D49" s="287" t="s">
        <v>21</v>
      </c>
      <c r="E49" s="287" t="s">
        <v>48</v>
      </c>
      <c r="F49" s="289">
        <v>725.14</v>
      </c>
      <c r="G49" s="289">
        <v>11.47</v>
      </c>
      <c r="H49" s="290">
        <f t="shared" si="14"/>
        <v>14.607045000000001</v>
      </c>
      <c r="I49" s="291">
        <f t="shared" si="15"/>
        <v>10592.1526113</v>
      </c>
      <c r="J49" s="292">
        <f>'[3]BM-06'!L38</f>
        <v>447.35</v>
      </c>
      <c r="K49" s="293">
        <f t="shared" si="0"/>
        <v>6534.4615807500013</v>
      </c>
      <c r="L49" s="291">
        <v>277.02</v>
      </c>
      <c r="M49" s="293">
        <f t="shared" si="1"/>
        <v>4046.4436059</v>
      </c>
      <c r="N49" s="293">
        <f t="shared" si="2"/>
        <v>10580.905186650001</v>
      </c>
      <c r="O49" s="294">
        <f t="shared" si="3"/>
        <v>0.99893813608406667</v>
      </c>
      <c r="P49" s="296"/>
      <c r="Q49" s="296"/>
    </row>
    <row r="50" spans="1:18" ht="70.5" customHeight="1" x14ac:dyDescent="0.25">
      <c r="A50" s="89" t="s">
        <v>88</v>
      </c>
      <c r="B50" s="287" t="s">
        <v>89</v>
      </c>
      <c r="C50" s="288" t="s">
        <v>90</v>
      </c>
      <c r="D50" s="287" t="s">
        <v>21</v>
      </c>
      <c r="E50" s="287" t="s">
        <v>48</v>
      </c>
      <c r="F50" s="289">
        <v>1020.19</v>
      </c>
      <c r="G50" s="289">
        <v>16.5</v>
      </c>
      <c r="H50" s="290">
        <f t="shared" si="14"/>
        <v>21.01275</v>
      </c>
      <c r="I50" s="291">
        <f t="shared" si="15"/>
        <v>21436.997422500001</v>
      </c>
      <c r="J50" s="292">
        <f>'[3]BM-06'!L39</f>
        <v>729.34</v>
      </c>
      <c r="K50" s="293">
        <f t="shared" si="0"/>
        <v>15325.439085000002</v>
      </c>
      <c r="L50" s="291">
        <v>290.85000000000002</v>
      </c>
      <c r="M50" s="293">
        <f t="shared" si="1"/>
        <v>6111.5583375000006</v>
      </c>
      <c r="N50" s="293">
        <f t="shared" si="2"/>
        <v>21436.997422500004</v>
      </c>
      <c r="O50" s="294">
        <f t="shared" si="3"/>
        <v>1.0000000000000002</v>
      </c>
      <c r="P50" s="296"/>
      <c r="Q50" s="296"/>
    </row>
    <row r="51" spans="1:18" ht="51" x14ac:dyDescent="0.25">
      <c r="A51" s="89" t="s">
        <v>91</v>
      </c>
      <c r="B51" s="287" t="s">
        <v>92</v>
      </c>
      <c r="C51" s="288" t="s">
        <v>93</v>
      </c>
      <c r="D51" s="287" t="s">
        <v>21</v>
      </c>
      <c r="E51" s="287" t="s">
        <v>31</v>
      </c>
      <c r="F51" s="289">
        <v>52.9</v>
      </c>
      <c r="G51" s="289">
        <v>298.27999999999997</v>
      </c>
      <c r="H51" s="290">
        <f t="shared" si="14"/>
        <v>379.85957999999999</v>
      </c>
      <c r="I51" s="291">
        <f t="shared" si="15"/>
        <v>20094.571781999999</v>
      </c>
      <c r="J51" s="292">
        <f>'[3]BM-06'!L40</f>
        <v>39.65</v>
      </c>
      <c r="K51" s="293">
        <f t="shared" si="0"/>
        <v>15061.432347</v>
      </c>
      <c r="L51" s="291">
        <v>13.25</v>
      </c>
      <c r="M51" s="293">
        <f t="shared" si="1"/>
        <v>5033.139435</v>
      </c>
      <c r="N51" s="293">
        <f t="shared" si="2"/>
        <v>20094.571781999999</v>
      </c>
      <c r="O51" s="294">
        <f t="shared" si="3"/>
        <v>1</v>
      </c>
      <c r="P51" s="296"/>
      <c r="Q51" s="296"/>
    </row>
    <row r="52" spans="1:18" ht="38.25" x14ac:dyDescent="0.25">
      <c r="A52" s="89" t="s">
        <v>94</v>
      </c>
      <c r="B52" s="287" t="s">
        <v>62</v>
      </c>
      <c r="C52" s="288" t="s">
        <v>63</v>
      </c>
      <c r="D52" s="287" t="s">
        <v>21</v>
      </c>
      <c r="E52" s="287" t="s">
        <v>31</v>
      </c>
      <c r="F52" s="289">
        <v>52.9</v>
      </c>
      <c r="G52" s="289">
        <v>23.69</v>
      </c>
      <c r="H52" s="290">
        <f t="shared" si="14"/>
        <v>30.169215000000005</v>
      </c>
      <c r="I52" s="291">
        <f t="shared" si="15"/>
        <v>1595.9514735000002</v>
      </c>
      <c r="J52" s="292">
        <f>'[3]BM-06'!L41</f>
        <v>39.65</v>
      </c>
      <c r="K52" s="293">
        <f t="shared" si="0"/>
        <v>1196.2093747500001</v>
      </c>
      <c r="L52" s="291">
        <v>13.25</v>
      </c>
      <c r="M52" s="293">
        <f t="shared" si="1"/>
        <v>399.74209875000008</v>
      </c>
      <c r="N52" s="293">
        <f t="shared" si="2"/>
        <v>1595.9514735000002</v>
      </c>
      <c r="O52" s="294">
        <f t="shared" si="3"/>
        <v>1</v>
      </c>
      <c r="P52" s="296"/>
      <c r="Q52" s="296"/>
    </row>
    <row r="53" spans="1:18" ht="68.25" customHeight="1" x14ac:dyDescent="0.25">
      <c r="A53" s="89" t="s">
        <v>95</v>
      </c>
      <c r="B53" s="287" t="s">
        <v>96</v>
      </c>
      <c r="C53" s="319" t="s">
        <v>97</v>
      </c>
      <c r="D53" s="287" t="s">
        <v>21</v>
      </c>
      <c r="E53" s="287" t="s">
        <v>69</v>
      </c>
      <c r="F53" s="289">
        <v>111.31</v>
      </c>
      <c r="G53" s="289">
        <v>129.72</v>
      </c>
      <c r="H53" s="290">
        <f t="shared" si="14"/>
        <v>165.19842</v>
      </c>
      <c r="I53" s="291">
        <f t="shared" si="15"/>
        <v>18388.236130199999</v>
      </c>
      <c r="J53" s="292">
        <f>'[3]BM-06'!L42</f>
        <v>80.819999999999993</v>
      </c>
      <c r="K53" s="293">
        <f t="shared" si="0"/>
        <v>13351.336304399998</v>
      </c>
      <c r="L53" s="291"/>
      <c r="M53" s="293">
        <f t="shared" si="1"/>
        <v>0</v>
      </c>
      <c r="N53" s="293">
        <f t="shared" si="2"/>
        <v>13351.336304399998</v>
      </c>
      <c r="O53" s="294">
        <f t="shared" si="3"/>
        <v>0.7260803162339412</v>
      </c>
      <c r="P53" s="296"/>
      <c r="Q53" s="296"/>
    </row>
    <row r="54" spans="1:18" ht="25.5" x14ac:dyDescent="0.25">
      <c r="A54" s="89" t="s">
        <v>98</v>
      </c>
      <c r="B54" s="287" t="s">
        <v>99</v>
      </c>
      <c r="C54" s="288" t="s">
        <v>100</v>
      </c>
      <c r="D54" s="287" t="s">
        <v>21</v>
      </c>
      <c r="E54" s="287" t="s">
        <v>22</v>
      </c>
      <c r="F54" s="289">
        <v>25</v>
      </c>
      <c r="G54" s="289">
        <v>25.84</v>
      </c>
      <c r="H54" s="290">
        <f t="shared" si="14"/>
        <v>32.907240000000002</v>
      </c>
      <c r="I54" s="291">
        <f t="shared" si="15"/>
        <v>822.68100000000004</v>
      </c>
      <c r="J54" s="292">
        <f>'[3]BM-06'!L43</f>
        <v>25</v>
      </c>
      <c r="K54" s="293">
        <f t="shared" si="0"/>
        <v>822.68100000000004</v>
      </c>
      <c r="L54" s="291"/>
      <c r="M54" s="293">
        <f t="shared" si="1"/>
        <v>0</v>
      </c>
      <c r="N54" s="293">
        <f t="shared" si="2"/>
        <v>822.68100000000004</v>
      </c>
      <c r="O54" s="294">
        <f t="shared" si="3"/>
        <v>1</v>
      </c>
      <c r="P54" s="296"/>
      <c r="Q54" s="296"/>
    </row>
    <row r="55" spans="1:18" ht="25.5" x14ac:dyDescent="0.25">
      <c r="A55" s="89" t="s">
        <v>101</v>
      </c>
      <c r="B55" s="287" t="s">
        <v>102</v>
      </c>
      <c r="C55" s="288" t="s">
        <v>103</v>
      </c>
      <c r="D55" s="287" t="s">
        <v>21</v>
      </c>
      <c r="E55" s="287" t="s">
        <v>22</v>
      </c>
      <c r="F55" s="289">
        <v>101.6</v>
      </c>
      <c r="G55" s="289">
        <v>35.19</v>
      </c>
      <c r="H55" s="290">
        <f t="shared" si="14"/>
        <v>44.814464999999998</v>
      </c>
      <c r="I55" s="291">
        <f t="shared" si="15"/>
        <v>4553.1496439999992</v>
      </c>
      <c r="J55" s="292">
        <f>'[3]BM-06'!L44</f>
        <v>77.5</v>
      </c>
      <c r="K55" s="293">
        <f t="shared" si="0"/>
        <v>3473.1210375000001</v>
      </c>
      <c r="L55" s="291"/>
      <c r="M55" s="293">
        <f t="shared" si="1"/>
        <v>0</v>
      </c>
      <c r="N55" s="293">
        <f t="shared" si="2"/>
        <v>3473.1210375000001</v>
      </c>
      <c r="O55" s="294">
        <f t="shared" si="3"/>
        <v>0.76279527559055138</v>
      </c>
      <c r="P55" s="296"/>
      <c r="Q55" s="296"/>
    </row>
    <row r="56" spans="1:18" s="314" customFormat="1" ht="85.5" customHeight="1" x14ac:dyDescent="0.25">
      <c r="A56" s="89" t="s">
        <v>801</v>
      </c>
      <c r="B56" s="310">
        <v>92777</v>
      </c>
      <c r="C56" s="315" t="s">
        <v>802</v>
      </c>
      <c r="D56" s="310" t="s">
        <v>21</v>
      </c>
      <c r="E56" s="310" t="s">
        <v>69</v>
      </c>
      <c r="F56" s="312">
        <v>12.39</v>
      </c>
      <c r="G56" s="312">
        <v>15.550238999999999</v>
      </c>
      <c r="H56" s="313">
        <f>G56*$Q$10*$R$7</f>
        <v>17.228809548855001</v>
      </c>
      <c r="I56" s="291">
        <f t="shared" si="15"/>
        <v>213.46495031031347</v>
      </c>
      <c r="J56" s="292"/>
      <c r="K56" s="293">
        <f t="shared" si="0"/>
        <v>0</v>
      </c>
      <c r="L56" s="291">
        <v>12.39</v>
      </c>
      <c r="M56" s="293">
        <f t="shared" si="1"/>
        <v>213.46495031031347</v>
      </c>
      <c r="N56" s="293">
        <f t="shared" si="2"/>
        <v>213.46495031031347</v>
      </c>
      <c r="O56" s="294">
        <f t="shared" si="3"/>
        <v>1</v>
      </c>
      <c r="P56" s="296"/>
      <c r="Q56" s="296"/>
      <c r="R56" s="230"/>
    </row>
    <row r="57" spans="1:18" ht="20.100000000000001" customHeight="1" x14ac:dyDescent="0.25">
      <c r="A57" s="307" t="s">
        <v>104</v>
      </c>
      <c r="B57" s="308" t="s">
        <v>105</v>
      </c>
      <c r="C57" s="309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94"/>
      <c r="P57" s="296"/>
      <c r="Q57" s="296"/>
    </row>
    <row r="58" spans="1:18" ht="51" x14ac:dyDescent="0.25">
      <c r="A58" s="89" t="s">
        <v>106</v>
      </c>
      <c r="B58" s="287" t="s">
        <v>107</v>
      </c>
      <c r="C58" s="288" t="s">
        <v>108</v>
      </c>
      <c r="D58" s="287" t="s">
        <v>12</v>
      </c>
      <c r="E58" s="287" t="s">
        <v>13</v>
      </c>
      <c r="F58" s="289">
        <v>382.72</v>
      </c>
      <c r="G58" s="289">
        <v>159.99</v>
      </c>
      <c r="H58" s="290">
        <f>G58*$Q$10</f>
        <v>203.74726500000003</v>
      </c>
      <c r="I58" s="291">
        <f t="shared" ref="I58:I63" si="16">H58*F58</f>
        <v>77978.153260800013</v>
      </c>
      <c r="J58" s="292">
        <f>'[3]BM-06'!L46</f>
        <v>375.25</v>
      </c>
      <c r="K58" s="293">
        <f t="shared" si="0"/>
        <v>76456.161191250008</v>
      </c>
      <c r="L58" s="291"/>
      <c r="M58" s="293">
        <f t="shared" si="1"/>
        <v>0</v>
      </c>
      <c r="N58" s="293">
        <f t="shared" si="2"/>
        <v>76456.161191250008</v>
      </c>
      <c r="O58" s="294">
        <f t="shared" si="3"/>
        <v>0.9804818143812708</v>
      </c>
      <c r="P58" s="296"/>
      <c r="Q58" s="296"/>
    </row>
    <row r="59" spans="1:18" s="314" customFormat="1" ht="62.25" customHeight="1" x14ac:dyDescent="0.25">
      <c r="A59" s="89" t="s">
        <v>803</v>
      </c>
      <c r="B59" s="310">
        <v>96523</v>
      </c>
      <c r="C59" s="318" t="str">
        <f>C18</f>
        <v>ESCAVAÇÃO MANUAL PARA BLOCO DE COROAMENTO OU SAPATA (INCLUINDO ESCAVAÇÃO PARA COLOCAÇÃO DE FÔRMAS). AF_06/2017</v>
      </c>
      <c r="D59" s="310" t="str">
        <f>D18</f>
        <v>SINAPI</v>
      </c>
      <c r="E59" s="310" t="str">
        <f>E18</f>
        <v>M3</v>
      </c>
      <c r="F59" s="312">
        <v>32.130000000000003</v>
      </c>
      <c r="G59" s="312">
        <f>G18</f>
        <v>63.46</v>
      </c>
      <c r="H59" s="313">
        <f>G59*$Q$10*$R$7</f>
        <v>70.310189699999995</v>
      </c>
      <c r="I59" s="291">
        <f t="shared" si="16"/>
        <v>2259.0663950610001</v>
      </c>
      <c r="J59" s="292"/>
      <c r="K59" s="293">
        <f t="shared" si="0"/>
        <v>0</v>
      </c>
      <c r="L59" s="291">
        <v>32.130000000000003</v>
      </c>
      <c r="M59" s="293">
        <f t="shared" si="1"/>
        <v>2259.0663950610001</v>
      </c>
      <c r="N59" s="293">
        <f t="shared" si="2"/>
        <v>2259.0663950610001</v>
      </c>
      <c r="O59" s="294">
        <f t="shared" si="3"/>
        <v>1</v>
      </c>
      <c r="P59" s="296"/>
      <c r="Q59" s="296"/>
      <c r="R59" s="230"/>
    </row>
    <row r="60" spans="1:18" s="314" customFormat="1" ht="76.5" x14ac:dyDescent="0.25">
      <c r="A60" s="89" t="s">
        <v>804</v>
      </c>
      <c r="B60" s="310">
        <v>87503</v>
      </c>
      <c r="C60" s="318" t="str">
        <f>C39</f>
        <v>ALVENARIA DE VEDAÇÃO DE BLOCOS CERÂMICOS FURADOS NA HORIZONTAL DE 9X19X19CM (ESPESSURA 9CM) DE PAREDES COM ÁREA LÍQUIDA MAIOR OU IGUAL A 6M² SEM VÃOS E ARGAMASSA DE ASSENTAMENTO COM PREPARO EM BETONEIRA. AF_06/2014</v>
      </c>
      <c r="D60" s="310" t="str">
        <f>D39</f>
        <v>SINAPI</v>
      </c>
      <c r="E60" s="310" t="str">
        <f>E39</f>
        <v>M2</v>
      </c>
      <c r="F60" s="312">
        <v>60</v>
      </c>
      <c r="G60" s="312">
        <f>G39</f>
        <v>52.58</v>
      </c>
      <c r="H60" s="313">
        <f>G60*$Q$10*$R$7</f>
        <v>58.255748099999998</v>
      </c>
      <c r="I60" s="291">
        <f t="shared" si="16"/>
        <v>3495.3448859999999</v>
      </c>
      <c r="J60" s="292"/>
      <c r="K60" s="293">
        <f t="shared" si="0"/>
        <v>0</v>
      </c>
      <c r="L60" s="291">
        <v>60</v>
      </c>
      <c r="M60" s="293">
        <f t="shared" si="1"/>
        <v>3495.3448859999999</v>
      </c>
      <c r="N60" s="293">
        <f t="shared" si="2"/>
        <v>3495.3448859999999</v>
      </c>
      <c r="O60" s="294">
        <f t="shared" si="3"/>
        <v>1</v>
      </c>
      <c r="P60" s="296"/>
      <c r="Q60" s="296"/>
      <c r="R60" s="230"/>
    </row>
    <row r="61" spans="1:18" s="314" customFormat="1" ht="51" x14ac:dyDescent="0.25">
      <c r="A61" s="89" t="s">
        <v>805</v>
      </c>
      <c r="B61" s="310">
        <v>94965</v>
      </c>
      <c r="C61" s="318" t="s">
        <v>60</v>
      </c>
      <c r="D61" s="310" t="s">
        <v>21</v>
      </c>
      <c r="E61" s="310" t="s">
        <v>31</v>
      </c>
      <c r="F61" s="312">
        <v>0.99</v>
      </c>
      <c r="G61" s="312">
        <v>301.79000000000002</v>
      </c>
      <c r="H61" s="313">
        <f>G61*$Q$10*$R$7</f>
        <v>334.36672155000002</v>
      </c>
      <c r="I61" s="291">
        <f t="shared" si="16"/>
        <v>331.02305433450005</v>
      </c>
      <c r="J61" s="292"/>
      <c r="K61" s="293">
        <f t="shared" si="0"/>
        <v>0</v>
      </c>
      <c r="L61" s="291">
        <v>0.99</v>
      </c>
      <c r="M61" s="293">
        <f t="shared" si="1"/>
        <v>331.02305433450005</v>
      </c>
      <c r="N61" s="293">
        <f t="shared" si="2"/>
        <v>331.02305433450005</v>
      </c>
      <c r="O61" s="294">
        <f t="shared" si="3"/>
        <v>1</v>
      </c>
      <c r="P61" s="296"/>
      <c r="Q61" s="296"/>
      <c r="R61" s="230"/>
    </row>
    <row r="62" spans="1:18" s="314" customFormat="1" ht="51" x14ac:dyDescent="0.25">
      <c r="A62" s="89" t="s">
        <v>806</v>
      </c>
      <c r="B62" s="310">
        <v>87879</v>
      </c>
      <c r="C62" s="318" t="s">
        <v>173</v>
      </c>
      <c r="D62" s="310" t="s">
        <v>21</v>
      </c>
      <c r="E62" s="310" t="s">
        <v>69</v>
      </c>
      <c r="F62" s="312">
        <v>120</v>
      </c>
      <c r="G62" s="312">
        <v>2.64</v>
      </c>
      <c r="H62" s="313">
        <f>G62*$Q$10*$R$7</f>
        <v>2.9249748000000002</v>
      </c>
      <c r="I62" s="291">
        <f t="shared" si="16"/>
        <v>350.99697600000002</v>
      </c>
      <c r="J62" s="292"/>
      <c r="K62" s="293">
        <f t="shared" si="0"/>
        <v>0</v>
      </c>
      <c r="L62" s="291"/>
      <c r="M62" s="293">
        <f t="shared" si="1"/>
        <v>0</v>
      </c>
      <c r="N62" s="293">
        <f t="shared" si="2"/>
        <v>0</v>
      </c>
      <c r="O62" s="294">
        <f t="shared" si="3"/>
        <v>0</v>
      </c>
      <c r="P62" s="296"/>
      <c r="Q62" s="296"/>
      <c r="R62" s="230"/>
    </row>
    <row r="63" spans="1:18" s="314" customFormat="1" ht="84" customHeight="1" x14ac:dyDescent="0.25">
      <c r="A63" s="89" t="s">
        <v>807</v>
      </c>
      <c r="B63" s="310">
        <v>87547</v>
      </c>
      <c r="C63" s="318" t="s">
        <v>176</v>
      </c>
      <c r="D63" s="310" t="s">
        <v>21</v>
      </c>
      <c r="E63" s="310" t="s">
        <v>69</v>
      </c>
      <c r="F63" s="312">
        <v>120</v>
      </c>
      <c r="G63" s="312">
        <v>14.42</v>
      </c>
      <c r="H63" s="313">
        <f>G63*$Q$10*$R$7</f>
        <v>15.976566900000002</v>
      </c>
      <c r="I63" s="291">
        <f t="shared" si="16"/>
        <v>1917.1880280000003</v>
      </c>
      <c r="J63" s="292"/>
      <c r="K63" s="293">
        <f t="shared" si="0"/>
        <v>0</v>
      </c>
      <c r="L63" s="291"/>
      <c r="M63" s="293">
        <f t="shared" si="1"/>
        <v>0</v>
      </c>
      <c r="N63" s="293">
        <f t="shared" si="2"/>
        <v>0</v>
      </c>
      <c r="O63" s="294">
        <f t="shared" si="3"/>
        <v>0</v>
      </c>
      <c r="P63" s="296"/>
      <c r="Q63" s="296"/>
      <c r="R63" s="230"/>
    </row>
    <row r="64" spans="1:18" x14ac:dyDescent="0.25">
      <c r="A64" s="89"/>
      <c r="B64" s="297"/>
      <c r="C64" s="298"/>
      <c r="D64" s="297"/>
      <c r="E64" s="297"/>
      <c r="F64" s="299"/>
      <c r="G64" s="299"/>
      <c r="H64" s="300"/>
      <c r="I64" s="301">
        <f>SUM(I46:I63)</f>
        <v>284755.04578135582</v>
      </c>
      <c r="J64" s="301">
        <f t="shared" ref="J64:K64" si="17">SUM(J46:J63)</f>
        <v>4912.4199999999992</v>
      </c>
      <c r="K64" s="302">
        <f t="shared" si="17"/>
        <v>215980.778529</v>
      </c>
      <c r="L64" s="301"/>
      <c r="M64" s="302">
        <f t="shared" ref="M64" si="18">SUM(M46:M63)</f>
        <v>58745.969501055813</v>
      </c>
      <c r="N64" s="293">
        <f t="shared" si="2"/>
        <v>274726.74803005584</v>
      </c>
      <c r="O64" s="294">
        <f t="shared" si="3"/>
        <v>0.96478272150092104</v>
      </c>
      <c r="P64" s="296"/>
      <c r="Q64" s="296"/>
    </row>
    <row r="65" spans="1:17" s="230" customFormat="1" x14ac:dyDescent="0.25">
      <c r="A65" s="89"/>
      <c r="B65" s="303"/>
      <c r="C65" s="304"/>
      <c r="D65" s="287"/>
      <c r="E65" s="287"/>
      <c r="F65" s="289"/>
      <c r="G65" s="289"/>
      <c r="H65" s="290"/>
      <c r="I65" s="305"/>
      <c r="J65" s="306"/>
      <c r="K65" s="306"/>
      <c r="L65" s="306"/>
      <c r="M65" s="306"/>
      <c r="N65" s="306"/>
      <c r="O65" s="294"/>
      <c r="P65" s="296"/>
      <c r="Q65" s="296"/>
    </row>
    <row r="66" spans="1:17" ht="20.100000000000001" customHeight="1" x14ac:dyDescent="0.25">
      <c r="A66" s="307" t="s">
        <v>109</v>
      </c>
      <c r="B66" s="308" t="s">
        <v>110</v>
      </c>
      <c r="C66" s="309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94"/>
      <c r="P66" s="296"/>
      <c r="Q66" s="296"/>
    </row>
    <row r="67" spans="1:17" ht="38.25" x14ac:dyDescent="0.25">
      <c r="A67" s="89" t="s">
        <v>111</v>
      </c>
      <c r="B67" s="287" t="s">
        <v>112</v>
      </c>
      <c r="C67" s="288" t="s">
        <v>113</v>
      </c>
      <c r="D67" s="287" t="s">
        <v>21</v>
      </c>
      <c r="E67" s="287" t="s">
        <v>69</v>
      </c>
      <c r="F67" s="289">
        <v>876.48</v>
      </c>
      <c r="G67" s="289">
        <v>25.58</v>
      </c>
      <c r="H67" s="290">
        <f t="shared" ref="H67:H76" si="19">G67*$Q$10</f>
        <v>32.576129999999999</v>
      </c>
      <c r="I67" s="291">
        <f t="shared" ref="I67:I76" si="20">H67*F67</f>
        <v>28552.326422400001</v>
      </c>
      <c r="J67" s="292">
        <f>'[3]BM-06'!L49</f>
        <v>876.42</v>
      </c>
      <c r="K67" s="293">
        <f t="shared" si="0"/>
        <v>28550.371854599998</v>
      </c>
      <c r="L67" s="291"/>
      <c r="M67" s="293">
        <f t="shared" si="1"/>
        <v>0</v>
      </c>
      <c r="N67" s="293">
        <f t="shared" si="2"/>
        <v>28550.371854599998</v>
      </c>
      <c r="O67" s="294">
        <f t="shared" si="3"/>
        <v>0.99993154435925513</v>
      </c>
      <c r="P67" s="296"/>
      <c r="Q67" s="296"/>
    </row>
    <row r="68" spans="1:17" ht="51" x14ac:dyDescent="0.25">
      <c r="A68" s="89" t="s">
        <v>114</v>
      </c>
      <c r="B68" s="287" t="s">
        <v>115</v>
      </c>
      <c r="C68" s="288" t="s">
        <v>116</v>
      </c>
      <c r="D68" s="287" t="s">
        <v>21</v>
      </c>
      <c r="E68" s="287" t="s">
        <v>117</v>
      </c>
      <c r="F68" s="289">
        <v>18</v>
      </c>
      <c r="G68" s="289">
        <v>1497.33</v>
      </c>
      <c r="H68" s="290">
        <f t="shared" si="19"/>
        <v>1906.849755</v>
      </c>
      <c r="I68" s="291">
        <f t="shared" si="20"/>
        <v>34323.295590000002</v>
      </c>
      <c r="J68" s="292">
        <f>'[3]BM-06'!L50</f>
        <v>12</v>
      </c>
      <c r="K68" s="293">
        <f t="shared" si="0"/>
        <v>22882.197059999999</v>
      </c>
      <c r="L68" s="291"/>
      <c r="M68" s="293">
        <f t="shared" si="1"/>
        <v>0</v>
      </c>
      <c r="N68" s="293">
        <f t="shared" si="2"/>
        <v>22882.197059999999</v>
      </c>
      <c r="O68" s="294">
        <f t="shared" si="3"/>
        <v>0.66666666666666663</v>
      </c>
      <c r="P68" s="296"/>
      <c r="Q68" s="296"/>
    </row>
    <row r="69" spans="1:17" ht="51" x14ac:dyDescent="0.25">
      <c r="A69" s="89" t="s">
        <v>118</v>
      </c>
      <c r="B69" s="287" t="s">
        <v>119</v>
      </c>
      <c r="C69" s="288" t="s">
        <v>120</v>
      </c>
      <c r="D69" s="287" t="s">
        <v>21</v>
      </c>
      <c r="E69" s="287" t="s">
        <v>117</v>
      </c>
      <c r="F69" s="289">
        <v>4</v>
      </c>
      <c r="G69" s="289">
        <v>1692.77</v>
      </c>
      <c r="H69" s="290">
        <f t="shared" si="19"/>
        <v>2155.7425950000002</v>
      </c>
      <c r="I69" s="291">
        <f t="shared" si="20"/>
        <v>8622.9703800000007</v>
      </c>
      <c r="J69" s="292">
        <f>'[3]BM-06'!L51</f>
        <v>4</v>
      </c>
      <c r="K69" s="293">
        <f t="shared" si="0"/>
        <v>8622.9703800000007</v>
      </c>
      <c r="L69" s="291"/>
      <c r="M69" s="293">
        <f t="shared" si="1"/>
        <v>0</v>
      </c>
      <c r="N69" s="293">
        <f t="shared" si="2"/>
        <v>8622.9703800000007</v>
      </c>
      <c r="O69" s="294">
        <f t="shared" si="3"/>
        <v>1</v>
      </c>
      <c r="P69" s="296"/>
      <c r="Q69" s="296"/>
    </row>
    <row r="70" spans="1:17" ht="51" x14ac:dyDescent="0.25">
      <c r="A70" s="89" t="s">
        <v>121</v>
      </c>
      <c r="B70" s="287" t="s">
        <v>122</v>
      </c>
      <c r="C70" s="288" t="s">
        <v>123</v>
      </c>
      <c r="D70" s="287" t="s">
        <v>21</v>
      </c>
      <c r="E70" s="287" t="s">
        <v>22</v>
      </c>
      <c r="F70" s="289">
        <v>98.35</v>
      </c>
      <c r="G70" s="289">
        <v>14.4</v>
      </c>
      <c r="H70" s="290">
        <f t="shared" si="19"/>
        <v>18.3384</v>
      </c>
      <c r="I70" s="291">
        <f t="shared" si="20"/>
        <v>1803.5816399999999</v>
      </c>
      <c r="J70" s="292">
        <f>'[3]BM-06'!L52</f>
        <v>98.35</v>
      </c>
      <c r="K70" s="293"/>
      <c r="L70" s="291"/>
      <c r="M70" s="293">
        <f t="shared" si="1"/>
        <v>0</v>
      </c>
      <c r="N70" s="293">
        <f t="shared" si="2"/>
        <v>0</v>
      </c>
      <c r="O70" s="294">
        <f>N70/I70</f>
        <v>0</v>
      </c>
      <c r="P70" s="296" t="s">
        <v>851</v>
      </c>
      <c r="Q70" s="296" t="s">
        <v>851</v>
      </c>
    </row>
    <row r="71" spans="1:17" ht="63.75" x14ac:dyDescent="0.25">
      <c r="A71" s="89" t="s">
        <v>124</v>
      </c>
      <c r="B71" s="287" t="s">
        <v>125</v>
      </c>
      <c r="C71" s="288" t="s">
        <v>126</v>
      </c>
      <c r="D71" s="287" t="s">
        <v>21</v>
      </c>
      <c r="E71" s="287" t="s">
        <v>69</v>
      </c>
      <c r="F71" s="289">
        <v>876.48</v>
      </c>
      <c r="G71" s="289">
        <v>50.08</v>
      </c>
      <c r="H71" s="290">
        <f t="shared" si="19"/>
        <v>63.776879999999998</v>
      </c>
      <c r="I71" s="291">
        <f t="shared" si="20"/>
        <v>55899.159782399998</v>
      </c>
      <c r="J71" s="292">
        <f>'[3]BM-06'!L53</f>
        <v>876.42</v>
      </c>
      <c r="K71" s="293">
        <f t="shared" si="0"/>
        <v>55895.333169599995</v>
      </c>
      <c r="L71" s="291"/>
      <c r="M71" s="293">
        <f t="shared" si="1"/>
        <v>0</v>
      </c>
      <c r="N71" s="293">
        <f t="shared" si="2"/>
        <v>55895.333169599995</v>
      </c>
      <c r="O71" s="294">
        <f t="shared" si="3"/>
        <v>0.99993154435925513</v>
      </c>
      <c r="P71" s="296"/>
      <c r="Q71" s="296"/>
    </row>
    <row r="72" spans="1:17" ht="25.5" x14ac:dyDescent="0.25">
      <c r="A72" s="89" t="s">
        <v>127</v>
      </c>
      <c r="B72" s="287" t="s">
        <v>128</v>
      </c>
      <c r="C72" s="288" t="s">
        <v>129</v>
      </c>
      <c r="D72" s="287" t="s">
        <v>21</v>
      </c>
      <c r="E72" s="287" t="s">
        <v>69</v>
      </c>
      <c r="F72" s="289">
        <v>653.14</v>
      </c>
      <c r="G72" s="289">
        <v>27.72</v>
      </c>
      <c r="H72" s="290">
        <f t="shared" si="19"/>
        <v>35.30142</v>
      </c>
      <c r="I72" s="291">
        <f t="shared" si="20"/>
        <v>23056.769458800001</v>
      </c>
      <c r="J72" s="292">
        <f>'[3]BM-06'!L54</f>
        <v>0</v>
      </c>
      <c r="K72" s="293">
        <f t="shared" si="0"/>
        <v>0</v>
      </c>
      <c r="L72" s="291"/>
      <c r="M72" s="293">
        <f t="shared" si="1"/>
        <v>0</v>
      </c>
      <c r="N72" s="293">
        <f t="shared" si="2"/>
        <v>0</v>
      </c>
      <c r="O72" s="294">
        <f t="shared" si="3"/>
        <v>0</v>
      </c>
      <c r="P72" s="296"/>
      <c r="Q72" s="296"/>
    </row>
    <row r="73" spans="1:17" ht="25.5" x14ac:dyDescent="0.25">
      <c r="A73" s="89" t="s">
        <v>130</v>
      </c>
      <c r="B73" s="287" t="s">
        <v>131</v>
      </c>
      <c r="C73" s="319" t="s">
        <v>132</v>
      </c>
      <c r="D73" s="287" t="s">
        <v>12</v>
      </c>
      <c r="E73" s="287" t="s">
        <v>133</v>
      </c>
      <c r="F73" s="289">
        <v>91.65</v>
      </c>
      <c r="G73" s="289">
        <v>54.54</v>
      </c>
      <c r="H73" s="290">
        <f t="shared" si="19"/>
        <v>69.456690000000009</v>
      </c>
      <c r="I73" s="291">
        <f t="shared" si="20"/>
        <v>6365.7056385000014</v>
      </c>
      <c r="J73" s="292">
        <f>'[3]BM-06'!L55</f>
        <v>91.65</v>
      </c>
      <c r="K73" s="293">
        <f t="shared" si="0"/>
        <v>6365.7056385000014</v>
      </c>
      <c r="L73" s="291"/>
      <c r="M73" s="293">
        <f t="shared" si="1"/>
        <v>0</v>
      </c>
      <c r="N73" s="293">
        <f t="shared" si="2"/>
        <v>6365.7056385000014</v>
      </c>
      <c r="O73" s="294">
        <f t="shared" si="3"/>
        <v>1</v>
      </c>
      <c r="P73" s="296"/>
      <c r="Q73" s="296"/>
    </row>
    <row r="74" spans="1:17" ht="38.25" x14ac:dyDescent="0.25">
      <c r="A74" s="89" t="s">
        <v>134</v>
      </c>
      <c r="B74" s="287" t="s">
        <v>135</v>
      </c>
      <c r="C74" s="288" t="s">
        <v>136</v>
      </c>
      <c r="D74" s="287" t="s">
        <v>21</v>
      </c>
      <c r="E74" s="287" t="s">
        <v>22</v>
      </c>
      <c r="F74" s="289">
        <v>178.01</v>
      </c>
      <c r="G74" s="289">
        <v>70.53</v>
      </c>
      <c r="H74" s="290">
        <f t="shared" si="19"/>
        <v>89.819955000000007</v>
      </c>
      <c r="I74" s="291">
        <f t="shared" si="20"/>
        <v>15988.850189550001</v>
      </c>
      <c r="J74" s="292">
        <f>'[3]BM-06'!L56</f>
        <v>178.09</v>
      </c>
      <c r="K74" s="293">
        <f t="shared" si="0"/>
        <v>15996.035785950002</v>
      </c>
      <c r="L74" s="291">
        <v>-0.08</v>
      </c>
      <c r="M74" s="293">
        <f t="shared" si="1"/>
        <v>-7.1855964000000005</v>
      </c>
      <c r="N74" s="293">
        <f t="shared" si="2"/>
        <v>15988.850189550001</v>
      </c>
      <c r="O74" s="294">
        <f t="shared" si="3"/>
        <v>1</v>
      </c>
      <c r="P74" s="296" t="s">
        <v>852</v>
      </c>
      <c r="Q74" s="296" t="s">
        <v>852</v>
      </c>
    </row>
    <row r="75" spans="1:17" ht="38.25" x14ac:dyDescent="0.25">
      <c r="A75" s="89" t="s">
        <v>137</v>
      </c>
      <c r="B75" s="287" t="s">
        <v>138</v>
      </c>
      <c r="C75" s="288" t="s">
        <v>139</v>
      </c>
      <c r="D75" s="287" t="s">
        <v>21</v>
      </c>
      <c r="E75" s="287" t="s">
        <v>22</v>
      </c>
      <c r="F75" s="289">
        <v>72</v>
      </c>
      <c r="G75" s="289">
        <v>22.25</v>
      </c>
      <c r="H75" s="290">
        <f t="shared" si="19"/>
        <v>28.335375000000003</v>
      </c>
      <c r="I75" s="291">
        <f t="shared" si="20"/>
        <v>2040.1470000000002</v>
      </c>
      <c r="J75" s="292">
        <f>'[3]BM-06'!L57</f>
        <v>0</v>
      </c>
      <c r="K75" s="293">
        <f t="shared" ref="K75:K138" si="21">J75*H75</f>
        <v>0</v>
      </c>
      <c r="L75" s="291"/>
      <c r="M75" s="293">
        <f t="shared" ref="M75:M138" si="22">L75*H75</f>
        <v>0</v>
      </c>
      <c r="N75" s="293">
        <f t="shared" ref="N75:N138" si="23">M75+K75</f>
        <v>0</v>
      </c>
      <c r="O75" s="294">
        <f t="shared" ref="O75:O138" si="24">N75/I75</f>
        <v>0</v>
      </c>
      <c r="P75" s="296" t="s">
        <v>851</v>
      </c>
      <c r="Q75" s="296" t="s">
        <v>851</v>
      </c>
    </row>
    <row r="76" spans="1:17" ht="38.25" x14ac:dyDescent="0.25">
      <c r="A76" s="89" t="s">
        <v>140</v>
      </c>
      <c r="B76" s="287" t="s">
        <v>141</v>
      </c>
      <c r="C76" s="288" t="s">
        <v>142</v>
      </c>
      <c r="D76" s="287" t="s">
        <v>21</v>
      </c>
      <c r="E76" s="287" t="s">
        <v>22</v>
      </c>
      <c r="F76" s="289">
        <v>24</v>
      </c>
      <c r="G76" s="289">
        <v>52.83</v>
      </c>
      <c r="H76" s="290">
        <f t="shared" si="19"/>
        <v>67.279004999999998</v>
      </c>
      <c r="I76" s="291">
        <f t="shared" si="20"/>
        <v>1614.6961200000001</v>
      </c>
      <c r="J76" s="292">
        <f>'[3]BM-06'!L58</f>
        <v>24</v>
      </c>
      <c r="K76" s="293">
        <f t="shared" si="21"/>
        <v>1614.6961200000001</v>
      </c>
      <c r="L76" s="291"/>
      <c r="M76" s="293">
        <f t="shared" si="22"/>
        <v>0</v>
      </c>
      <c r="N76" s="293">
        <f t="shared" si="23"/>
        <v>1614.6961200000001</v>
      </c>
      <c r="O76" s="294">
        <f t="shared" si="24"/>
        <v>1</v>
      </c>
      <c r="P76" s="296" t="s">
        <v>852</v>
      </c>
      <c r="Q76" s="296" t="s">
        <v>852</v>
      </c>
    </row>
    <row r="77" spans="1:17" x14ac:dyDescent="0.25">
      <c r="A77" s="89"/>
      <c r="B77" s="297"/>
      <c r="C77" s="298"/>
      <c r="D77" s="297"/>
      <c r="E77" s="297"/>
      <c r="F77" s="299"/>
      <c r="G77" s="299"/>
      <c r="H77" s="300"/>
      <c r="I77" s="301">
        <f>SUM(I67:I76)</f>
        <v>178267.50222165001</v>
      </c>
      <c r="J77" s="301">
        <f t="shared" ref="J77:K77" si="25">SUM(J67:J76)</f>
        <v>2160.9300000000003</v>
      </c>
      <c r="K77" s="302">
        <f t="shared" si="25"/>
        <v>139927.31000865001</v>
      </c>
      <c r="L77" s="301"/>
      <c r="M77" s="302">
        <f t="shared" ref="M77" si="26">SUM(M67:M76)</f>
        <v>-7.1855964000000005</v>
      </c>
      <c r="N77" s="293">
        <f t="shared" si="23"/>
        <v>139920.12441225001</v>
      </c>
      <c r="O77" s="294">
        <f t="shared" si="24"/>
        <v>0.78488856728513223</v>
      </c>
      <c r="P77" s="296"/>
      <c r="Q77" s="296"/>
    </row>
    <row r="78" spans="1:17" s="230" customFormat="1" x14ac:dyDescent="0.25">
      <c r="A78" s="89"/>
      <c r="B78" s="303"/>
      <c r="C78" s="304"/>
      <c r="D78" s="287"/>
      <c r="E78" s="287"/>
      <c r="F78" s="289"/>
      <c r="G78" s="289"/>
      <c r="H78" s="290"/>
      <c r="I78" s="305"/>
      <c r="J78" s="306"/>
      <c r="K78" s="306"/>
      <c r="L78" s="306"/>
      <c r="M78" s="306"/>
      <c r="N78" s="306"/>
      <c r="O78" s="294"/>
      <c r="P78" s="296"/>
      <c r="Q78" s="296"/>
    </row>
    <row r="79" spans="1:17" ht="20.100000000000001" customHeight="1" x14ac:dyDescent="0.25">
      <c r="A79" s="307" t="s">
        <v>143</v>
      </c>
      <c r="B79" s="308" t="s">
        <v>144</v>
      </c>
      <c r="C79" s="309"/>
      <c r="D79" s="281"/>
      <c r="E79" s="281"/>
      <c r="F79" s="281"/>
      <c r="G79" s="281"/>
      <c r="H79" s="281"/>
      <c r="I79" s="281"/>
      <c r="J79" s="281"/>
      <c r="K79" s="281"/>
      <c r="L79" s="281"/>
      <c r="M79" s="281"/>
      <c r="N79" s="281"/>
      <c r="O79" s="294"/>
      <c r="P79" s="296"/>
      <c r="Q79" s="296"/>
    </row>
    <row r="80" spans="1:17" ht="38.25" x14ac:dyDescent="0.25">
      <c r="A80" s="89" t="s">
        <v>145</v>
      </c>
      <c r="B80" s="287" t="s">
        <v>146</v>
      </c>
      <c r="C80" s="288" t="s">
        <v>147</v>
      </c>
      <c r="D80" s="287" t="s">
        <v>21</v>
      </c>
      <c r="E80" s="287" t="s">
        <v>69</v>
      </c>
      <c r="F80" s="289">
        <v>944.79</v>
      </c>
      <c r="G80" s="289">
        <v>19.420000000000002</v>
      </c>
      <c r="H80" s="290">
        <f t="shared" ref="H80:H87" si="27">G80*$Q$10</f>
        <v>24.731370000000005</v>
      </c>
      <c r="I80" s="291">
        <f t="shared" ref="I80:I88" si="28">H80*F80</f>
        <v>23365.951062300006</v>
      </c>
      <c r="J80" s="292">
        <f>'[3]BM-06'!L61</f>
        <v>896.49</v>
      </c>
      <c r="K80" s="293">
        <f t="shared" si="21"/>
        <v>22171.425891300005</v>
      </c>
      <c r="L80" s="291"/>
      <c r="M80" s="293">
        <f t="shared" si="22"/>
        <v>0</v>
      </c>
      <c r="N80" s="293">
        <f t="shared" si="23"/>
        <v>22171.425891300005</v>
      </c>
      <c r="O80" s="294">
        <f t="shared" si="24"/>
        <v>0.94887752833963102</v>
      </c>
      <c r="P80" s="296" t="s">
        <v>853</v>
      </c>
      <c r="Q80" s="296" t="s">
        <v>853</v>
      </c>
    </row>
    <row r="81" spans="1:17" ht="51" customHeight="1" x14ac:dyDescent="0.25">
      <c r="A81" s="89" t="s">
        <v>148</v>
      </c>
      <c r="B81" s="287" t="s">
        <v>149</v>
      </c>
      <c r="C81" s="288" t="s">
        <v>150</v>
      </c>
      <c r="D81" s="287" t="s">
        <v>12</v>
      </c>
      <c r="E81" s="287" t="s">
        <v>13</v>
      </c>
      <c r="F81" s="289">
        <v>944.79</v>
      </c>
      <c r="G81" s="289">
        <v>29.29</v>
      </c>
      <c r="H81" s="290">
        <f t="shared" si="27"/>
        <v>37.300815</v>
      </c>
      <c r="I81" s="291">
        <f t="shared" si="28"/>
        <v>35241.437003849998</v>
      </c>
      <c r="J81" s="292">
        <f>'[3]BM-06'!L62</f>
        <v>896.49</v>
      </c>
      <c r="K81" s="293">
        <f t="shared" si="21"/>
        <v>33439.807639350001</v>
      </c>
      <c r="L81" s="291"/>
      <c r="M81" s="293">
        <f t="shared" si="22"/>
        <v>0</v>
      </c>
      <c r="N81" s="293">
        <f t="shared" si="23"/>
        <v>33439.807639350001</v>
      </c>
      <c r="O81" s="294">
        <f t="shared" si="24"/>
        <v>0.94887752833963113</v>
      </c>
      <c r="P81" s="296" t="s">
        <v>853</v>
      </c>
      <c r="Q81" s="296" t="s">
        <v>853</v>
      </c>
    </row>
    <row r="82" spans="1:17" ht="63.75" x14ac:dyDescent="0.25">
      <c r="A82" s="89" t="s">
        <v>151</v>
      </c>
      <c r="B82" s="287" t="s">
        <v>152</v>
      </c>
      <c r="C82" s="288" t="s">
        <v>153</v>
      </c>
      <c r="D82" s="287" t="s">
        <v>21</v>
      </c>
      <c r="E82" s="287" t="s">
        <v>69</v>
      </c>
      <c r="F82" s="289">
        <v>944.79</v>
      </c>
      <c r="G82" s="289">
        <v>27.26</v>
      </c>
      <c r="H82" s="290">
        <f t="shared" si="27"/>
        <v>34.715610000000005</v>
      </c>
      <c r="I82" s="291">
        <f t="shared" si="28"/>
        <v>32798.961171900002</v>
      </c>
      <c r="J82" s="292">
        <f>'[3]BM-06'!L63</f>
        <v>944.79</v>
      </c>
      <c r="K82" s="293">
        <f t="shared" si="21"/>
        <v>32798.961171900002</v>
      </c>
      <c r="L82" s="291">
        <f t="shared" ref="L82" si="29">F82-J82</f>
        <v>0</v>
      </c>
      <c r="M82" s="293">
        <f t="shared" si="22"/>
        <v>0</v>
      </c>
      <c r="N82" s="293">
        <f t="shared" si="23"/>
        <v>32798.961171900002</v>
      </c>
      <c r="O82" s="294">
        <f t="shared" si="24"/>
        <v>1</v>
      </c>
      <c r="P82" s="296" t="s">
        <v>852</v>
      </c>
      <c r="Q82" s="296" t="s">
        <v>852</v>
      </c>
    </row>
    <row r="83" spans="1:17" ht="38.25" x14ac:dyDescent="0.25">
      <c r="A83" s="89" t="s">
        <v>154</v>
      </c>
      <c r="B83" s="287" t="s">
        <v>155</v>
      </c>
      <c r="C83" s="288" t="s">
        <v>156</v>
      </c>
      <c r="D83" s="287" t="s">
        <v>21</v>
      </c>
      <c r="E83" s="287" t="s">
        <v>31</v>
      </c>
      <c r="F83" s="289">
        <v>72.84</v>
      </c>
      <c r="G83" s="289">
        <v>101.84</v>
      </c>
      <c r="H83" s="290">
        <f t="shared" si="27"/>
        <v>129.69324</v>
      </c>
      <c r="I83" s="291">
        <f t="shared" si="28"/>
        <v>9446.8556016000002</v>
      </c>
      <c r="J83" s="292">
        <f>'[3]BM-06'!L64</f>
        <v>0</v>
      </c>
      <c r="K83" s="293">
        <f t="shared" si="21"/>
        <v>0</v>
      </c>
      <c r="L83" s="291"/>
      <c r="M83" s="293">
        <f t="shared" si="22"/>
        <v>0</v>
      </c>
      <c r="N83" s="293">
        <f t="shared" si="23"/>
        <v>0</v>
      </c>
      <c r="O83" s="294">
        <f t="shared" si="24"/>
        <v>0</v>
      </c>
      <c r="P83" s="296"/>
      <c r="Q83" s="296"/>
    </row>
    <row r="84" spans="1:17" ht="76.5" x14ac:dyDescent="0.25">
      <c r="A84" s="89" t="s">
        <v>157</v>
      </c>
      <c r="B84" s="287" t="s">
        <v>158</v>
      </c>
      <c r="C84" s="288" t="s">
        <v>159</v>
      </c>
      <c r="D84" s="287" t="s">
        <v>21</v>
      </c>
      <c r="E84" s="287" t="s">
        <v>22</v>
      </c>
      <c r="F84" s="289">
        <v>46.2</v>
      </c>
      <c r="G84" s="289">
        <v>40.869999999999997</v>
      </c>
      <c r="H84" s="290">
        <f t="shared" si="27"/>
        <v>52.047944999999999</v>
      </c>
      <c r="I84" s="291">
        <f t="shared" si="28"/>
        <v>2404.6150590000002</v>
      </c>
      <c r="J84" s="292">
        <f>'[3]BM-06'!L65</f>
        <v>0</v>
      </c>
      <c r="K84" s="293">
        <f t="shared" si="21"/>
        <v>0</v>
      </c>
      <c r="L84" s="291"/>
      <c r="M84" s="293">
        <f t="shared" si="22"/>
        <v>0</v>
      </c>
      <c r="N84" s="293">
        <f t="shared" si="23"/>
        <v>0</v>
      </c>
      <c r="O84" s="294">
        <f t="shared" si="24"/>
        <v>0</v>
      </c>
      <c r="P84" s="296"/>
      <c r="Q84" s="296"/>
    </row>
    <row r="85" spans="1:17" ht="25.5" x14ac:dyDescent="0.25">
      <c r="A85" s="89" t="s">
        <v>160</v>
      </c>
      <c r="B85" s="287" t="s">
        <v>161</v>
      </c>
      <c r="C85" s="288" t="s">
        <v>162</v>
      </c>
      <c r="D85" s="287" t="s">
        <v>21</v>
      </c>
      <c r="E85" s="287" t="s">
        <v>22</v>
      </c>
      <c r="F85" s="289">
        <v>436.36</v>
      </c>
      <c r="G85" s="289">
        <v>15.03</v>
      </c>
      <c r="H85" s="290">
        <f t="shared" si="27"/>
        <v>19.140705000000001</v>
      </c>
      <c r="I85" s="291">
        <f t="shared" si="28"/>
        <v>8352.2380338000003</v>
      </c>
      <c r="J85" s="292">
        <f>'[3]BM-06'!L66</f>
        <v>0</v>
      </c>
      <c r="K85" s="293">
        <f t="shared" si="21"/>
        <v>0</v>
      </c>
      <c r="L85" s="291"/>
      <c r="M85" s="293">
        <f t="shared" si="22"/>
        <v>0</v>
      </c>
      <c r="N85" s="293">
        <f t="shared" si="23"/>
        <v>0</v>
      </c>
      <c r="O85" s="294">
        <f t="shared" si="24"/>
        <v>0</v>
      </c>
      <c r="P85" s="296"/>
      <c r="Q85" s="296"/>
    </row>
    <row r="86" spans="1:17" ht="51" x14ac:dyDescent="0.25">
      <c r="A86" s="89" t="s">
        <v>163</v>
      </c>
      <c r="B86" s="287" t="s">
        <v>164</v>
      </c>
      <c r="C86" s="288" t="s">
        <v>165</v>
      </c>
      <c r="D86" s="287" t="s">
        <v>21</v>
      </c>
      <c r="E86" s="287" t="s">
        <v>69</v>
      </c>
      <c r="F86" s="289">
        <v>393.34</v>
      </c>
      <c r="G86" s="289">
        <v>34.270000000000003</v>
      </c>
      <c r="H86" s="290">
        <f t="shared" si="27"/>
        <v>43.642845000000008</v>
      </c>
      <c r="I86" s="291">
        <f t="shared" si="28"/>
        <v>17166.476652300003</v>
      </c>
      <c r="J86" s="292">
        <f>'[3]BM-06'!L67</f>
        <v>0</v>
      </c>
      <c r="K86" s="293">
        <f t="shared" si="21"/>
        <v>0</v>
      </c>
      <c r="L86" s="291"/>
      <c r="M86" s="293">
        <f t="shared" si="22"/>
        <v>0</v>
      </c>
      <c r="N86" s="293">
        <f t="shared" si="23"/>
        <v>0</v>
      </c>
      <c r="O86" s="294">
        <f t="shared" si="24"/>
        <v>0</v>
      </c>
      <c r="P86" s="296"/>
      <c r="Q86" s="296"/>
    </row>
    <row r="87" spans="1:17" ht="38.25" x14ac:dyDescent="0.25">
      <c r="A87" s="89" t="s">
        <v>166</v>
      </c>
      <c r="B87" s="287" t="s">
        <v>167</v>
      </c>
      <c r="C87" s="288" t="s">
        <v>168</v>
      </c>
      <c r="D87" s="287" t="s">
        <v>21</v>
      </c>
      <c r="E87" s="287" t="s">
        <v>69</v>
      </c>
      <c r="F87" s="289">
        <v>944.79</v>
      </c>
      <c r="G87" s="289">
        <v>72.11</v>
      </c>
      <c r="H87" s="290">
        <f t="shared" si="27"/>
        <v>91.832085000000006</v>
      </c>
      <c r="I87" s="291">
        <f t="shared" si="28"/>
        <v>86762.035587150007</v>
      </c>
      <c r="J87" s="292">
        <f>'[3]BM-06'!L68</f>
        <v>0</v>
      </c>
      <c r="K87" s="293">
        <f t="shared" si="21"/>
        <v>0</v>
      </c>
      <c r="L87" s="291"/>
      <c r="M87" s="293">
        <f t="shared" si="22"/>
        <v>0</v>
      </c>
      <c r="N87" s="293">
        <f t="shared" si="23"/>
        <v>0</v>
      </c>
      <c r="O87" s="294">
        <f t="shared" si="24"/>
        <v>0</v>
      </c>
      <c r="P87" s="296"/>
      <c r="Q87" s="296"/>
    </row>
    <row r="88" spans="1:17" s="230" customFormat="1" ht="47.25" customHeight="1" x14ac:dyDescent="0.25">
      <c r="A88" s="89" t="s">
        <v>854</v>
      </c>
      <c r="B88" s="287">
        <v>88489</v>
      </c>
      <c r="C88" s="288" t="s">
        <v>582</v>
      </c>
      <c r="D88" s="287" t="s">
        <v>21</v>
      </c>
      <c r="E88" s="287" t="s">
        <v>69</v>
      </c>
      <c r="F88" s="289">
        <v>0</v>
      </c>
      <c r="G88" s="289">
        <v>9.89</v>
      </c>
      <c r="H88" s="290">
        <f>G88*$Q$10*$R$7</f>
        <v>10.957576050000002</v>
      </c>
      <c r="I88" s="291">
        <f t="shared" si="28"/>
        <v>0</v>
      </c>
      <c r="J88" s="292">
        <f>'[3]BM-06'!L69</f>
        <v>0</v>
      </c>
      <c r="K88" s="293">
        <f t="shared" si="21"/>
        <v>0</v>
      </c>
      <c r="L88" s="291"/>
      <c r="M88" s="293">
        <f t="shared" si="22"/>
        <v>0</v>
      </c>
      <c r="N88" s="293">
        <f t="shared" si="23"/>
        <v>0</v>
      </c>
      <c r="O88" s="294"/>
      <c r="P88" s="296"/>
      <c r="Q88" s="296"/>
    </row>
    <row r="89" spans="1:17" x14ac:dyDescent="0.25">
      <c r="A89" s="89"/>
      <c r="B89" s="297"/>
      <c r="C89" s="298"/>
      <c r="D89" s="297"/>
      <c r="E89" s="297"/>
      <c r="F89" s="299"/>
      <c r="G89" s="299"/>
      <c r="H89" s="300"/>
      <c r="I89" s="301">
        <f>SUM(I80:I88)</f>
        <v>215538.57017190001</v>
      </c>
      <c r="J89" s="301">
        <f t="shared" ref="J89:K89" si="30">SUM(J80:J88)</f>
        <v>2737.77</v>
      </c>
      <c r="K89" s="302">
        <f t="shared" si="30"/>
        <v>88410.194702550012</v>
      </c>
      <c r="L89" s="301"/>
      <c r="M89" s="302">
        <f t="shared" ref="M89" si="31">SUM(M80:M88)</f>
        <v>0</v>
      </c>
      <c r="N89" s="293">
        <f t="shared" si="23"/>
        <v>88410.194702550012</v>
      </c>
      <c r="O89" s="294">
        <f t="shared" si="24"/>
        <v>0.41018270944286028</v>
      </c>
      <c r="P89" s="296"/>
      <c r="Q89" s="296"/>
    </row>
    <row r="90" spans="1:17" s="230" customFormat="1" x14ac:dyDescent="0.25">
      <c r="A90" s="89"/>
      <c r="B90" s="303"/>
      <c r="C90" s="304"/>
      <c r="D90" s="287"/>
      <c r="E90" s="287"/>
      <c r="F90" s="289"/>
      <c r="G90" s="289"/>
      <c r="H90" s="290"/>
      <c r="I90" s="305"/>
      <c r="J90" s="306"/>
      <c r="K90" s="306"/>
      <c r="L90" s="306"/>
      <c r="M90" s="306"/>
      <c r="N90" s="306"/>
      <c r="O90" s="294"/>
      <c r="P90" s="296"/>
      <c r="Q90" s="296"/>
    </row>
    <row r="91" spans="1:17" ht="20.100000000000001" customHeight="1" x14ac:dyDescent="0.25">
      <c r="A91" s="307" t="s">
        <v>169</v>
      </c>
      <c r="B91" s="308" t="s">
        <v>170</v>
      </c>
      <c r="C91" s="309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94"/>
      <c r="P91" s="296"/>
      <c r="Q91" s="296"/>
    </row>
    <row r="92" spans="1:17" ht="51" x14ac:dyDescent="0.25">
      <c r="A92" s="89" t="s">
        <v>171</v>
      </c>
      <c r="B92" s="287" t="s">
        <v>172</v>
      </c>
      <c r="C92" s="288" t="s">
        <v>173</v>
      </c>
      <c r="D92" s="287" t="s">
        <v>21</v>
      </c>
      <c r="E92" s="287" t="s">
        <v>69</v>
      </c>
      <c r="F92" s="289">
        <v>2367.2199999999998</v>
      </c>
      <c r="G92" s="289">
        <v>2.64</v>
      </c>
      <c r="H92" s="290">
        <f>G92*$Q$10</f>
        <v>3.3620400000000004</v>
      </c>
      <c r="I92" s="291">
        <f>H92*F92</f>
        <v>7958.6883287999999</v>
      </c>
      <c r="J92" s="292">
        <f>'[3]BM-06'!L71</f>
        <v>2045.2139999999999</v>
      </c>
      <c r="K92" s="293">
        <f t="shared" si="21"/>
        <v>6876.0912765600006</v>
      </c>
      <c r="L92" s="291">
        <f t="shared" ref="L92:L94" si="32">F92-J92</f>
        <v>322.00599999999986</v>
      </c>
      <c r="M92" s="293">
        <f t="shared" si="22"/>
        <v>1082.5970522399996</v>
      </c>
      <c r="N92" s="293">
        <f t="shared" si="23"/>
        <v>7958.6883287999999</v>
      </c>
      <c r="O92" s="294">
        <f t="shared" si="24"/>
        <v>1</v>
      </c>
      <c r="P92" s="296"/>
      <c r="Q92" s="296"/>
    </row>
    <row r="93" spans="1:17" ht="92.25" customHeight="1" x14ac:dyDescent="0.25">
      <c r="A93" s="89" t="s">
        <v>174</v>
      </c>
      <c r="B93" s="287" t="s">
        <v>175</v>
      </c>
      <c r="C93" s="288" t="s">
        <v>176</v>
      </c>
      <c r="D93" s="287" t="s">
        <v>21</v>
      </c>
      <c r="E93" s="287" t="s">
        <v>69</v>
      </c>
      <c r="F93" s="289">
        <v>2197.91</v>
      </c>
      <c r="G93" s="289">
        <v>14.42</v>
      </c>
      <c r="H93" s="290">
        <f>G93*$Q$10</f>
        <v>18.363870000000002</v>
      </c>
      <c r="I93" s="291">
        <f>H93*F93</f>
        <v>40362.133511700005</v>
      </c>
      <c r="J93" s="292">
        <f>'[3]BM-06'!L72</f>
        <v>1740.134</v>
      </c>
      <c r="K93" s="293">
        <f t="shared" si="21"/>
        <v>31955.594558580004</v>
      </c>
      <c r="L93" s="291"/>
      <c r="M93" s="293">
        <f t="shared" si="22"/>
        <v>0</v>
      </c>
      <c r="N93" s="293">
        <f t="shared" si="23"/>
        <v>31955.594558580004</v>
      </c>
      <c r="O93" s="294">
        <f t="shared" si="24"/>
        <v>0.79172213602922781</v>
      </c>
      <c r="P93" s="296" t="s">
        <v>855</v>
      </c>
      <c r="Q93" s="296" t="s">
        <v>855</v>
      </c>
    </row>
    <row r="94" spans="1:17" ht="89.25" x14ac:dyDescent="0.25">
      <c r="A94" s="89" t="s">
        <v>177</v>
      </c>
      <c r="B94" s="287" t="s">
        <v>178</v>
      </c>
      <c r="C94" s="288" t="s">
        <v>179</v>
      </c>
      <c r="D94" s="287" t="s">
        <v>21</v>
      </c>
      <c r="E94" s="287" t="s">
        <v>69</v>
      </c>
      <c r="F94" s="289">
        <v>180.48</v>
      </c>
      <c r="G94" s="289">
        <v>11.03</v>
      </c>
      <c r="H94" s="290">
        <f>G94*$Q$10</f>
        <v>14.046704999999999</v>
      </c>
      <c r="I94" s="291">
        <f>H94*F94</f>
        <v>2535.1493183999996</v>
      </c>
      <c r="J94" s="292">
        <f>'[3]BM-06'!L73</f>
        <v>162.423</v>
      </c>
      <c r="K94" s="293">
        <f t="shared" si="21"/>
        <v>2281.5079662150001</v>
      </c>
      <c r="L94" s="291">
        <f t="shared" si="32"/>
        <v>18.056999999999988</v>
      </c>
      <c r="M94" s="293">
        <f t="shared" si="22"/>
        <v>253.64135218499982</v>
      </c>
      <c r="N94" s="293">
        <f t="shared" si="23"/>
        <v>2535.1493184000001</v>
      </c>
      <c r="O94" s="294">
        <f t="shared" si="24"/>
        <v>1.0000000000000002</v>
      </c>
      <c r="P94" s="296"/>
      <c r="Q94" s="296"/>
    </row>
    <row r="95" spans="1:17" ht="51" x14ac:dyDescent="0.25">
      <c r="A95" s="89" t="s">
        <v>180</v>
      </c>
      <c r="B95" s="287" t="s">
        <v>181</v>
      </c>
      <c r="C95" s="288" t="s">
        <v>182</v>
      </c>
      <c r="D95" s="287" t="s">
        <v>21</v>
      </c>
      <c r="E95" s="287" t="s">
        <v>69</v>
      </c>
      <c r="F95" s="289">
        <v>180.48</v>
      </c>
      <c r="G95" s="289">
        <v>41.91</v>
      </c>
      <c r="H95" s="290">
        <f>G95*$Q$10</f>
        <v>53.372385000000001</v>
      </c>
      <c r="I95" s="291">
        <f>H95*F95</f>
        <v>9632.6480448000002</v>
      </c>
      <c r="J95" s="292">
        <f>'[3]BM-06'!L74</f>
        <v>0</v>
      </c>
      <c r="K95" s="293">
        <f t="shared" si="21"/>
        <v>0</v>
      </c>
      <c r="L95" s="291"/>
      <c r="M95" s="293">
        <f t="shared" si="22"/>
        <v>0</v>
      </c>
      <c r="N95" s="293">
        <f t="shared" si="23"/>
        <v>0</v>
      </c>
      <c r="O95" s="294">
        <f t="shared" si="24"/>
        <v>0</v>
      </c>
      <c r="P95" s="296"/>
      <c r="Q95" s="296"/>
    </row>
    <row r="96" spans="1:17" ht="76.5" x14ac:dyDescent="0.25">
      <c r="A96" s="89" t="s">
        <v>183</v>
      </c>
      <c r="B96" s="287" t="s">
        <v>184</v>
      </c>
      <c r="C96" s="288" t="s">
        <v>185</v>
      </c>
      <c r="D96" s="287" t="s">
        <v>21</v>
      </c>
      <c r="E96" s="287" t="s">
        <v>31</v>
      </c>
      <c r="F96" s="289">
        <v>0.42</v>
      </c>
      <c r="G96" s="289">
        <v>263.22000000000003</v>
      </c>
      <c r="H96" s="290">
        <f>G96*$Q$10</f>
        <v>335.21067000000005</v>
      </c>
      <c r="I96" s="291">
        <f>H96*F96</f>
        <v>140.78848140000002</v>
      </c>
      <c r="J96" s="292">
        <f>'[3]BM-06'!L75</f>
        <v>0</v>
      </c>
      <c r="K96" s="293">
        <f t="shared" si="21"/>
        <v>0</v>
      </c>
      <c r="L96" s="291"/>
      <c r="M96" s="293">
        <f t="shared" si="22"/>
        <v>0</v>
      </c>
      <c r="N96" s="293">
        <f t="shared" si="23"/>
        <v>0</v>
      </c>
      <c r="O96" s="294">
        <f t="shared" si="24"/>
        <v>0</v>
      </c>
      <c r="P96" s="296"/>
      <c r="Q96" s="296"/>
    </row>
    <row r="97" spans="1:17" x14ac:dyDescent="0.25">
      <c r="A97" s="89"/>
      <c r="B97" s="297"/>
      <c r="C97" s="298"/>
      <c r="D97" s="297"/>
      <c r="E97" s="297"/>
      <c r="F97" s="299"/>
      <c r="G97" s="299"/>
      <c r="H97" s="300"/>
      <c r="I97" s="301">
        <f>SUM(I92:I96)</f>
        <v>60629.407685100006</v>
      </c>
      <c r="J97" s="301">
        <f t="shared" ref="J97:K97" si="33">SUM(J92:J96)</f>
        <v>3947.7709999999997</v>
      </c>
      <c r="K97" s="302">
        <f t="shared" si="33"/>
        <v>41113.193801355003</v>
      </c>
      <c r="L97" s="301"/>
      <c r="M97" s="302">
        <f t="shared" ref="M97" si="34">SUM(M92:M96)</f>
        <v>1336.2384044249993</v>
      </c>
      <c r="N97" s="293">
        <f t="shared" si="23"/>
        <v>42449.432205780002</v>
      </c>
      <c r="O97" s="294">
        <f t="shared" si="24"/>
        <v>0.70014591642154822</v>
      </c>
      <c r="P97" s="296"/>
      <c r="Q97" s="296"/>
    </row>
    <row r="98" spans="1:17" s="230" customFormat="1" x14ac:dyDescent="0.25">
      <c r="A98" s="89"/>
      <c r="B98" s="303"/>
      <c r="C98" s="304"/>
      <c r="D98" s="287"/>
      <c r="E98" s="287"/>
      <c r="F98" s="289"/>
      <c r="G98" s="289"/>
      <c r="H98" s="290"/>
      <c r="I98" s="305"/>
      <c r="J98" s="306"/>
      <c r="K98" s="306"/>
      <c r="L98" s="306"/>
      <c r="M98" s="306"/>
      <c r="N98" s="306"/>
      <c r="O98" s="306"/>
      <c r="P98" s="296"/>
      <c r="Q98" s="296"/>
    </row>
    <row r="99" spans="1:17" ht="30" customHeight="1" x14ac:dyDescent="0.25">
      <c r="A99" s="307" t="s">
        <v>186</v>
      </c>
      <c r="B99" s="320" t="s">
        <v>187</v>
      </c>
      <c r="C99" s="32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96"/>
      <c r="Q99" s="296"/>
    </row>
    <row r="100" spans="1:17" ht="89.25" x14ac:dyDescent="0.25">
      <c r="A100" s="89" t="s">
        <v>188</v>
      </c>
      <c r="B100" s="287" t="s">
        <v>189</v>
      </c>
      <c r="C100" s="288" t="s">
        <v>190</v>
      </c>
      <c r="D100" s="287" t="s">
        <v>21</v>
      </c>
      <c r="E100" s="287" t="s">
        <v>117</v>
      </c>
      <c r="F100" s="289">
        <v>2</v>
      </c>
      <c r="G100" s="289">
        <v>531.51</v>
      </c>
      <c r="H100" s="290">
        <f t="shared" ref="H100:H113" si="35">G100*$Q$10</f>
        <v>676.87798500000008</v>
      </c>
      <c r="I100" s="291">
        <f t="shared" ref="I100:I113" si="36">H100*F100</f>
        <v>1353.7559700000002</v>
      </c>
      <c r="J100" s="292">
        <f>'[3]BM-06'!L78</f>
        <v>0</v>
      </c>
      <c r="K100" s="293">
        <f t="shared" si="21"/>
        <v>0</v>
      </c>
      <c r="L100" s="291"/>
      <c r="M100" s="293">
        <f t="shared" si="22"/>
        <v>0</v>
      </c>
      <c r="N100" s="293">
        <f t="shared" si="23"/>
        <v>0</v>
      </c>
      <c r="O100" s="294">
        <f t="shared" si="24"/>
        <v>0</v>
      </c>
      <c r="P100" s="296"/>
      <c r="Q100" s="296"/>
    </row>
    <row r="101" spans="1:17" ht="89.25" x14ac:dyDescent="0.25">
      <c r="A101" s="89" t="s">
        <v>191</v>
      </c>
      <c r="B101" s="287" t="s">
        <v>192</v>
      </c>
      <c r="C101" s="288" t="s">
        <v>193</v>
      </c>
      <c r="D101" s="287" t="s">
        <v>21</v>
      </c>
      <c r="E101" s="287" t="s">
        <v>117</v>
      </c>
      <c r="F101" s="289">
        <v>4</v>
      </c>
      <c r="G101" s="289">
        <v>527.07000000000005</v>
      </c>
      <c r="H101" s="290">
        <f t="shared" si="35"/>
        <v>671.22364500000015</v>
      </c>
      <c r="I101" s="291">
        <f t="shared" si="36"/>
        <v>2684.8945800000006</v>
      </c>
      <c r="J101" s="292">
        <f>'[3]BM-06'!L79</f>
        <v>0</v>
      </c>
      <c r="K101" s="293">
        <f t="shared" si="21"/>
        <v>0</v>
      </c>
      <c r="L101" s="291"/>
      <c r="M101" s="293">
        <f t="shared" si="22"/>
        <v>0</v>
      </c>
      <c r="N101" s="293">
        <f t="shared" si="23"/>
        <v>0</v>
      </c>
      <c r="O101" s="294">
        <f t="shared" si="24"/>
        <v>0</v>
      </c>
      <c r="P101" s="296"/>
      <c r="Q101" s="296"/>
    </row>
    <row r="102" spans="1:17" ht="89.25" x14ac:dyDescent="0.25">
      <c r="A102" s="89" t="s">
        <v>194</v>
      </c>
      <c r="B102" s="287" t="s">
        <v>195</v>
      </c>
      <c r="C102" s="288" t="s">
        <v>196</v>
      </c>
      <c r="D102" s="287" t="s">
        <v>21</v>
      </c>
      <c r="E102" s="287" t="s">
        <v>117</v>
      </c>
      <c r="F102" s="289">
        <v>10</v>
      </c>
      <c r="G102" s="289">
        <v>552.88</v>
      </c>
      <c r="H102" s="290">
        <f t="shared" si="35"/>
        <v>704.09268000000009</v>
      </c>
      <c r="I102" s="291">
        <f t="shared" si="36"/>
        <v>7040.9268000000011</v>
      </c>
      <c r="J102" s="292">
        <f>'[3]BM-06'!L80</f>
        <v>0</v>
      </c>
      <c r="K102" s="293">
        <f t="shared" si="21"/>
        <v>0</v>
      </c>
      <c r="L102" s="291"/>
      <c r="M102" s="293">
        <f t="shared" si="22"/>
        <v>0</v>
      </c>
      <c r="N102" s="293">
        <f t="shared" si="23"/>
        <v>0</v>
      </c>
      <c r="O102" s="294">
        <f t="shared" si="24"/>
        <v>0</v>
      </c>
      <c r="P102" s="296"/>
      <c r="Q102" s="296"/>
    </row>
    <row r="103" spans="1:17" ht="89.25" x14ac:dyDescent="0.25">
      <c r="A103" s="89" t="s">
        <v>197</v>
      </c>
      <c r="B103" s="287" t="s">
        <v>198</v>
      </c>
      <c r="C103" s="288" t="s">
        <v>199</v>
      </c>
      <c r="D103" s="287" t="s">
        <v>21</v>
      </c>
      <c r="E103" s="287" t="s">
        <v>117</v>
      </c>
      <c r="F103" s="289">
        <v>6</v>
      </c>
      <c r="G103" s="289">
        <v>603</v>
      </c>
      <c r="H103" s="290">
        <f t="shared" si="35"/>
        <v>767.92050000000006</v>
      </c>
      <c r="I103" s="291">
        <f t="shared" si="36"/>
        <v>4607.5230000000001</v>
      </c>
      <c r="J103" s="292">
        <f>'[3]BM-06'!L81</f>
        <v>0</v>
      </c>
      <c r="K103" s="293">
        <f t="shared" si="21"/>
        <v>0</v>
      </c>
      <c r="L103" s="291"/>
      <c r="M103" s="293">
        <f t="shared" si="22"/>
        <v>0</v>
      </c>
      <c r="N103" s="293">
        <f t="shared" si="23"/>
        <v>0</v>
      </c>
      <c r="O103" s="294">
        <f t="shared" si="24"/>
        <v>0</v>
      </c>
      <c r="P103" s="296"/>
      <c r="Q103" s="296"/>
    </row>
    <row r="104" spans="1:17" ht="38.25" x14ac:dyDescent="0.25">
      <c r="A104" s="89" t="s">
        <v>200</v>
      </c>
      <c r="B104" s="287" t="s">
        <v>201</v>
      </c>
      <c r="C104" s="288" t="s">
        <v>202</v>
      </c>
      <c r="D104" s="287" t="s">
        <v>21</v>
      </c>
      <c r="E104" s="287" t="s">
        <v>69</v>
      </c>
      <c r="F104" s="289">
        <v>8.82</v>
      </c>
      <c r="G104" s="289">
        <v>433.8</v>
      </c>
      <c r="H104" s="290">
        <f t="shared" si="35"/>
        <v>552.4443</v>
      </c>
      <c r="I104" s="291">
        <f t="shared" si="36"/>
        <v>4872.5587260000002</v>
      </c>
      <c r="J104" s="292">
        <f>'[3]BM-06'!L82</f>
        <v>0</v>
      </c>
      <c r="K104" s="293">
        <f t="shared" si="21"/>
        <v>0</v>
      </c>
      <c r="L104" s="291"/>
      <c r="M104" s="293">
        <f t="shared" si="22"/>
        <v>0</v>
      </c>
      <c r="N104" s="293">
        <f t="shared" si="23"/>
        <v>0</v>
      </c>
      <c r="O104" s="294">
        <f t="shared" si="24"/>
        <v>0</v>
      </c>
      <c r="P104" s="296"/>
      <c r="Q104" s="296"/>
    </row>
    <row r="105" spans="1:17" ht="25.5" x14ac:dyDescent="0.25">
      <c r="A105" s="89" t="s">
        <v>203</v>
      </c>
      <c r="B105" s="287" t="s">
        <v>204</v>
      </c>
      <c r="C105" s="288" t="s">
        <v>205</v>
      </c>
      <c r="D105" s="287" t="s">
        <v>12</v>
      </c>
      <c r="E105" s="287" t="s">
        <v>13</v>
      </c>
      <c r="F105" s="289">
        <v>33</v>
      </c>
      <c r="G105" s="289">
        <v>445.08</v>
      </c>
      <c r="H105" s="290">
        <f t="shared" si="35"/>
        <v>566.80938000000003</v>
      </c>
      <c r="I105" s="291">
        <f t="shared" si="36"/>
        <v>18704.70954</v>
      </c>
      <c r="J105" s="292">
        <f>'[3]BM-06'!L83</f>
        <v>0</v>
      </c>
      <c r="K105" s="293">
        <f t="shared" si="21"/>
        <v>0</v>
      </c>
      <c r="L105" s="291"/>
      <c r="M105" s="293">
        <f t="shared" si="22"/>
        <v>0</v>
      </c>
      <c r="N105" s="293">
        <f t="shared" si="23"/>
        <v>0</v>
      </c>
      <c r="O105" s="294">
        <f t="shared" si="24"/>
        <v>0</v>
      </c>
      <c r="P105" s="296"/>
      <c r="Q105" s="296"/>
    </row>
    <row r="106" spans="1:17" x14ac:dyDescent="0.25">
      <c r="A106" s="89" t="s">
        <v>206</v>
      </c>
      <c r="B106" s="287" t="s">
        <v>207</v>
      </c>
      <c r="C106" s="288" t="s">
        <v>208</v>
      </c>
      <c r="D106" s="287" t="s">
        <v>12</v>
      </c>
      <c r="E106" s="287" t="s">
        <v>13</v>
      </c>
      <c r="F106" s="289">
        <v>33</v>
      </c>
      <c r="G106" s="289">
        <v>122.9</v>
      </c>
      <c r="H106" s="290">
        <f t="shared" si="35"/>
        <v>156.51315000000002</v>
      </c>
      <c r="I106" s="291">
        <f t="shared" si="36"/>
        <v>5164.9339500000006</v>
      </c>
      <c r="J106" s="292">
        <f>'[3]BM-06'!L84</f>
        <v>0</v>
      </c>
      <c r="K106" s="293">
        <f t="shared" si="21"/>
        <v>0</v>
      </c>
      <c r="L106" s="291"/>
      <c r="M106" s="293">
        <f t="shared" si="22"/>
        <v>0</v>
      </c>
      <c r="N106" s="293">
        <f t="shared" si="23"/>
        <v>0</v>
      </c>
      <c r="O106" s="294">
        <f t="shared" si="24"/>
        <v>0</v>
      </c>
      <c r="P106" s="296"/>
      <c r="Q106" s="296"/>
    </row>
    <row r="107" spans="1:17" ht="63.75" x14ac:dyDescent="0.25">
      <c r="A107" s="89" t="s">
        <v>209</v>
      </c>
      <c r="B107" s="287" t="s">
        <v>210</v>
      </c>
      <c r="C107" s="288" t="s">
        <v>211</v>
      </c>
      <c r="D107" s="287" t="s">
        <v>21</v>
      </c>
      <c r="E107" s="287" t="s">
        <v>69</v>
      </c>
      <c r="F107" s="289">
        <v>2.25</v>
      </c>
      <c r="G107" s="289">
        <v>434.36</v>
      </c>
      <c r="H107" s="290">
        <f t="shared" si="35"/>
        <v>553.15746000000001</v>
      </c>
      <c r="I107" s="291">
        <f t="shared" si="36"/>
        <v>1244.6042850000001</v>
      </c>
      <c r="J107" s="292">
        <f>'[3]BM-06'!L85</f>
        <v>0</v>
      </c>
      <c r="K107" s="293">
        <f t="shared" si="21"/>
        <v>0</v>
      </c>
      <c r="L107" s="291"/>
      <c r="M107" s="293">
        <f t="shared" si="22"/>
        <v>0</v>
      </c>
      <c r="N107" s="293">
        <f t="shared" si="23"/>
        <v>0</v>
      </c>
      <c r="O107" s="294">
        <f t="shared" si="24"/>
        <v>0</v>
      </c>
      <c r="P107" s="296"/>
      <c r="Q107" s="296"/>
    </row>
    <row r="108" spans="1:17" ht="51" x14ac:dyDescent="0.25">
      <c r="A108" s="89" t="s">
        <v>212</v>
      </c>
      <c r="B108" s="287" t="s">
        <v>213</v>
      </c>
      <c r="C108" s="288" t="s">
        <v>214</v>
      </c>
      <c r="D108" s="287" t="s">
        <v>21</v>
      </c>
      <c r="E108" s="287" t="s">
        <v>69</v>
      </c>
      <c r="F108" s="289">
        <v>3.2</v>
      </c>
      <c r="G108" s="289">
        <v>666.48</v>
      </c>
      <c r="H108" s="290">
        <f t="shared" si="35"/>
        <v>848.76228000000003</v>
      </c>
      <c r="I108" s="291">
        <f t="shared" si="36"/>
        <v>2716.0392960000004</v>
      </c>
      <c r="J108" s="292">
        <f>'[3]BM-06'!L86</f>
        <v>0</v>
      </c>
      <c r="K108" s="293">
        <f t="shared" si="21"/>
        <v>0</v>
      </c>
      <c r="L108" s="291"/>
      <c r="M108" s="293">
        <f t="shared" si="22"/>
        <v>0</v>
      </c>
      <c r="N108" s="293">
        <f t="shared" si="23"/>
        <v>0</v>
      </c>
      <c r="O108" s="294">
        <f t="shared" si="24"/>
        <v>0</v>
      </c>
      <c r="P108" s="296"/>
      <c r="Q108" s="296"/>
    </row>
    <row r="109" spans="1:17" ht="38.25" x14ac:dyDescent="0.25">
      <c r="A109" s="89" t="s">
        <v>215</v>
      </c>
      <c r="B109" s="287" t="s">
        <v>216</v>
      </c>
      <c r="C109" s="288" t="s">
        <v>217</v>
      </c>
      <c r="D109" s="287" t="s">
        <v>12</v>
      </c>
      <c r="E109" s="287" t="s">
        <v>13</v>
      </c>
      <c r="F109" s="289">
        <v>50.71</v>
      </c>
      <c r="G109" s="289">
        <v>282.06</v>
      </c>
      <c r="H109" s="290">
        <f t="shared" si="35"/>
        <v>359.20341000000002</v>
      </c>
      <c r="I109" s="291">
        <f t="shared" si="36"/>
        <v>18215.204921100001</v>
      </c>
      <c r="J109" s="292">
        <f>'[3]BM-06'!L87</f>
        <v>0</v>
      </c>
      <c r="K109" s="293">
        <f t="shared" si="21"/>
        <v>0</v>
      </c>
      <c r="L109" s="291"/>
      <c r="M109" s="293">
        <f t="shared" si="22"/>
        <v>0</v>
      </c>
      <c r="N109" s="293">
        <f t="shared" si="23"/>
        <v>0</v>
      </c>
      <c r="O109" s="294">
        <f t="shared" si="24"/>
        <v>0</v>
      </c>
      <c r="P109" s="296"/>
      <c r="Q109" s="296"/>
    </row>
    <row r="110" spans="1:17" x14ac:dyDescent="0.25">
      <c r="A110" s="89" t="s">
        <v>218</v>
      </c>
      <c r="B110" s="287" t="s">
        <v>219</v>
      </c>
      <c r="C110" s="288" t="s">
        <v>220</v>
      </c>
      <c r="D110" s="287" t="s">
        <v>12</v>
      </c>
      <c r="E110" s="287" t="s">
        <v>13</v>
      </c>
      <c r="F110" s="289">
        <v>16.350000000000001</v>
      </c>
      <c r="G110" s="289">
        <v>174.8</v>
      </c>
      <c r="H110" s="290">
        <f t="shared" si="35"/>
        <v>222.60780000000003</v>
      </c>
      <c r="I110" s="291">
        <f t="shared" si="36"/>
        <v>3639.6375300000009</v>
      </c>
      <c r="J110" s="292">
        <f>'[3]BM-06'!L88</f>
        <v>0</v>
      </c>
      <c r="K110" s="293">
        <f t="shared" si="21"/>
        <v>0</v>
      </c>
      <c r="L110" s="291"/>
      <c r="M110" s="293">
        <f t="shared" si="22"/>
        <v>0</v>
      </c>
      <c r="N110" s="293">
        <f t="shared" si="23"/>
        <v>0</v>
      </c>
      <c r="O110" s="294">
        <f t="shared" si="24"/>
        <v>0</v>
      </c>
      <c r="P110" s="296"/>
      <c r="Q110" s="296"/>
    </row>
    <row r="111" spans="1:17" ht="25.5" x14ac:dyDescent="0.25">
      <c r="A111" s="89" t="s">
        <v>221</v>
      </c>
      <c r="B111" s="287" t="s">
        <v>222</v>
      </c>
      <c r="C111" s="288" t="s">
        <v>223</v>
      </c>
      <c r="D111" s="287" t="s">
        <v>12</v>
      </c>
      <c r="E111" s="287" t="s">
        <v>13</v>
      </c>
      <c r="F111" s="289">
        <v>14.35</v>
      </c>
      <c r="G111" s="289">
        <v>430.88</v>
      </c>
      <c r="H111" s="290">
        <f t="shared" si="35"/>
        <v>548.72568000000001</v>
      </c>
      <c r="I111" s="291">
        <f t="shared" si="36"/>
        <v>7874.2135079999998</v>
      </c>
      <c r="J111" s="292">
        <f>'[3]BM-06'!L89</f>
        <v>0</v>
      </c>
      <c r="K111" s="293">
        <f t="shared" si="21"/>
        <v>0</v>
      </c>
      <c r="L111" s="291"/>
      <c r="M111" s="293">
        <f t="shared" si="22"/>
        <v>0</v>
      </c>
      <c r="N111" s="293">
        <f t="shared" si="23"/>
        <v>0</v>
      </c>
      <c r="O111" s="294">
        <f t="shared" si="24"/>
        <v>0</v>
      </c>
      <c r="P111" s="296"/>
      <c r="Q111" s="296"/>
    </row>
    <row r="112" spans="1:17" x14ac:dyDescent="0.25">
      <c r="A112" s="89" t="s">
        <v>224</v>
      </c>
      <c r="B112" s="287" t="s">
        <v>225</v>
      </c>
      <c r="C112" s="288" t="s">
        <v>226</v>
      </c>
      <c r="D112" s="287" t="s">
        <v>12</v>
      </c>
      <c r="E112" s="287" t="s">
        <v>13</v>
      </c>
      <c r="F112" s="289">
        <v>35.159999999999997</v>
      </c>
      <c r="G112" s="289">
        <v>285.70999999999998</v>
      </c>
      <c r="H112" s="290">
        <f t="shared" si="35"/>
        <v>363.85168499999997</v>
      </c>
      <c r="I112" s="291">
        <f t="shared" si="36"/>
        <v>12793.025244599998</v>
      </c>
      <c r="J112" s="292">
        <f>'[3]BM-06'!L90</f>
        <v>0</v>
      </c>
      <c r="K112" s="293">
        <f t="shared" si="21"/>
        <v>0</v>
      </c>
      <c r="L112" s="291"/>
      <c r="M112" s="293">
        <f t="shared" si="22"/>
        <v>0</v>
      </c>
      <c r="N112" s="293">
        <f t="shared" si="23"/>
        <v>0</v>
      </c>
      <c r="O112" s="294">
        <f t="shared" si="24"/>
        <v>0</v>
      </c>
      <c r="P112" s="296"/>
      <c r="Q112" s="296"/>
    </row>
    <row r="113" spans="1:17" x14ac:dyDescent="0.25">
      <c r="A113" s="89" t="s">
        <v>227</v>
      </c>
      <c r="B113" s="287" t="s">
        <v>228</v>
      </c>
      <c r="C113" s="288" t="s">
        <v>229</v>
      </c>
      <c r="D113" s="287" t="s">
        <v>12</v>
      </c>
      <c r="E113" s="287" t="s">
        <v>13</v>
      </c>
      <c r="F113" s="289">
        <v>0.36</v>
      </c>
      <c r="G113" s="289">
        <v>389.08</v>
      </c>
      <c r="H113" s="290">
        <f t="shared" si="35"/>
        <v>495.49338</v>
      </c>
      <c r="I113" s="291">
        <f t="shared" si="36"/>
        <v>178.3776168</v>
      </c>
      <c r="J113" s="292">
        <f>'[3]BM-06'!L91</f>
        <v>0</v>
      </c>
      <c r="K113" s="293">
        <f t="shared" si="21"/>
        <v>0</v>
      </c>
      <c r="L113" s="291"/>
      <c r="M113" s="293">
        <f t="shared" si="22"/>
        <v>0</v>
      </c>
      <c r="N113" s="293">
        <f t="shared" si="23"/>
        <v>0</v>
      </c>
      <c r="O113" s="294">
        <f t="shared" si="24"/>
        <v>0</v>
      </c>
      <c r="P113" s="296"/>
      <c r="Q113" s="296"/>
    </row>
    <row r="114" spans="1:17" x14ac:dyDescent="0.25">
      <c r="A114" s="89"/>
      <c r="B114" s="297"/>
      <c r="C114" s="298"/>
      <c r="D114" s="297"/>
      <c r="E114" s="297"/>
      <c r="F114" s="299"/>
      <c r="G114" s="299"/>
      <c r="H114" s="300"/>
      <c r="I114" s="301">
        <f>SUM(I100:I113)</f>
        <v>91090.404967500013</v>
      </c>
      <c r="J114" s="301">
        <f t="shared" ref="J114:K114" si="37">SUM(J100:J113)</f>
        <v>0</v>
      </c>
      <c r="K114" s="302">
        <f t="shared" si="37"/>
        <v>0</v>
      </c>
      <c r="L114" s="301"/>
      <c r="M114" s="293">
        <f t="shared" si="22"/>
        <v>0</v>
      </c>
      <c r="N114" s="293">
        <f t="shared" si="23"/>
        <v>0</v>
      </c>
      <c r="O114" s="294">
        <f t="shared" si="24"/>
        <v>0</v>
      </c>
      <c r="P114" s="296"/>
      <c r="Q114" s="296"/>
    </row>
    <row r="115" spans="1:17" s="230" customFormat="1" x14ac:dyDescent="0.25">
      <c r="A115" s="89"/>
      <c r="B115" s="303"/>
      <c r="C115" s="304"/>
      <c r="D115" s="287"/>
      <c r="E115" s="287"/>
      <c r="F115" s="289"/>
      <c r="G115" s="289"/>
      <c r="H115" s="290"/>
      <c r="I115" s="305"/>
      <c r="J115" s="306"/>
      <c r="K115" s="293">
        <f t="shared" si="21"/>
        <v>0</v>
      </c>
      <c r="L115" s="305"/>
      <c r="M115" s="293">
        <f t="shared" si="22"/>
        <v>0</v>
      </c>
      <c r="N115" s="293">
        <f t="shared" si="23"/>
        <v>0</v>
      </c>
      <c r="O115" s="294"/>
      <c r="P115" s="296"/>
      <c r="Q115" s="296"/>
    </row>
    <row r="116" spans="1:17" ht="20.100000000000001" customHeight="1" x14ac:dyDescent="0.25">
      <c r="A116" s="307" t="s">
        <v>230</v>
      </c>
      <c r="B116" s="308" t="s">
        <v>231</v>
      </c>
      <c r="C116" s="309"/>
      <c r="D116" s="281"/>
      <c r="E116" s="281"/>
      <c r="F116" s="281"/>
      <c r="G116" s="281"/>
      <c r="H116" s="281"/>
      <c r="I116" s="281"/>
      <c r="J116" s="281"/>
      <c r="K116" s="293">
        <f t="shared" si="21"/>
        <v>0</v>
      </c>
      <c r="L116" s="281"/>
      <c r="M116" s="293">
        <f t="shared" si="22"/>
        <v>0</v>
      </c>
      <c r="N116" s="293">
        <f t="shared" si="23"/>
        <v>0</v>
      </c>
      <c r="O116" s="294"/>
      <c r="P116" s="296"/>
      <c r="Q116" s="296"/>
    </row>
    <row r="117" spans="1:17" ht="60.75" customHeight="1" x14ac:dyDescent="0.25">
      <c r="A117" s="89" t="s">
        <v>235</v>
      </c>
      <c r="B117" s="287" t="s">
        <v>236</v>
      </c>
      <c r="C117" s="288" t="s">
        <v>237</v>
      </c>
      <c r="D117" s="287" t="s">
        <v>21</v>
      </c>
      <c r="E117" s="287" t="s">
        <v>69</v>
      </c>
      <c r="F117" s="289">
        <v>183.4</v>
      </c>
      <c r="G117" s="289">
        <v>64.89</v>
      </c>
      <c r="H117" s="290">
        <f>G117*$Q$10</f>
        <v>82.637415000000004</v>
      </c>
      <c r="I117" s="291">
        <f>H117*F117</f>
        <v>15155.701911000002</v>
      </c>
      <c r="J117" s="292"/>
      <c r="K117" s="293">
        <f t="shared" si="21"/>
        <v>0</v>
      </c>
      <c r="L117" s="291"/>
      <c r="M117" s="293">
        <f t="shared" si="22"/>
        <v>0</v>
      </c>
      <c r="N117" s="293">
        <f t="shared" si="23"/>
        <v>0</v>
      </c>
      <c r="O117" s="294">
        <f t="shared" si="24"/>
        <v>0</v>
      </c>
      <c r="P117" s="296"/>
      <c r="Q117" s="296"/>
    </row>
    <row r="118" spans="1:17" x14ac:dyDescent="0.25">
      <c r="A118" s="89"/>
      <c r="B118" s="297"/>
      <c r="C118" s="298"/>
      <c r="D118" s="297"/>
      <c r="E118" s="297"/>
      <c r="F118" s="299"/>
      <c r="G118" s="299"/>
      <c r="H118" s="300"/>
      <c r="I118" s="301">
        <f>SUM(I117:I117)</f>
        <v>15155.701911000002</v>
      </c>
      <c r="J118" s="301">
        <f t="shared" ref="J118:K118" si="38">SUM(J117:J117)</f>
        <v>0</v>
      </c>
      <c r="K118" s="302">
        <f t="shared" si="38"/>
        <v>0</v>
      </c>
      <c r="L118" s="301"/>
      <c r="M118" s="293">
        <f t="shared" si="22"/>
        <v>0</v>
      </c>
      <c r="N118" s="293">
        <f t="shared" si="23"/>
        <v>0</v>
      </c>
      <c r="O118" s="294">
        <f t="shared" si="24"/>
        <v>0</v>
      </c>
      <c r="P118" s="296"/>
      <c r="Q118" s="296"/>
    </row>
    <row r="119" spans="1:17" s="230" customFormat="1" x14ac:dyDescent="0.25">
      <c r="A119" s="89"/>
      <c r="B119" s="303"/>
      <c r="C119" s="304"/>
      <c r="D119" s="287"/>
      <c r="E119" s="287"/>
      <c r="F119" s="289"/>
      <c r="G119" s="289"/>
      <c r="H119" s="290"/>
      <c r="I119" s="305"/>
      <c r="J119" s="306"/>
      <c r="K119" s="293">
        <f t="shared" si="21"/>
        <v>0</v>
      </c>
      <c r="L119" s="305"/>
      <c r="M119" s="293">
        <f t="shared" si="22"/>
        <v>0</v>
      </c>
      <c r="N119" s="293">
        <f t="shared" si="23"/>
        <v>0</v>
      </c>
      <c r="O119" s="294"/>
      <c r="P119" s="296"/>
      <c r="Q119" s="296"/>
    </row>
    <row r="120" spans="1:17" ht="20.100000000000001" customHeight="1" x14ac:dyDescent="0.25">
      <c r="A120" s="307" t="s">
        <v>238</v>
      </c>
      <c r="B120" s="308" t="s">
        <v>239</v>
      </c>
      <c r="C120" s="309"/>
      <c r="D120" s="281"/>
      <c r="E120" s="281"/>
      <c r="F120" s="281"/>
      <c r="G120" s="281"/>
      <c r="H120" s="281"/>
      <c r="I120" s="281"/>
      <c r="J120" s="281"/>
      <c r="K120" s="293">
        <f t="shared" si="21"/>
        <v>0</v>
      </c>
      <c r="L120" s="281"/>
      <c r="M120" s="293">
        <f t="shared" si="22"/>
        <v>0</v>
      </c>
      <c r="N120" s="293">
        <f t="shared" si="23"/>
        <v>0</v>
      </c>
      <c r="O120" s="294"/>
      <c r="P120" s="296"/>
      <c r="Q120" s="296"/>
    </row>
    <row r="121" spans="1:17" ht="38.25" x14ac:dyDescent="0.25">
      <c r="A121" s="89" t="s">
        <v>240</v>
      </c>
      <c r="B121" s="287" t="s">
        <v>241</v>
      </c>
      <c r="C121" s="288" t="s">
        <v>242</v>
      </c>
      <c r="D121" s="287" t="s">
        <v>21</v>
      </c>
      <c r="E121" s="287" t="s">
        <v>117</v>
      </c>
      <c r="F121" s="289">
        <v>2</v>
      </c>
      <c r="G121" s="289">
        <v>186.33</v>
      </c>
      <c r="H121" s="290">
        <f>G121*$Q$10</f>
        <v>237.29125500000004</v>
      </c>
      <c r="I121" s="291">
        <f>H121*F121</f>
        <v>474.58251000000007</v>
      </c>
      <c r="J121" s="292"/>
      <c r="K121" s="293">
        <f t="shared" si="21"/>
        <v>0</v>
      </c>
      <c r="L121" s="291"/>
      <c r="M121" s="293">
        <f t="shared" si="22"/>
        <v>0</v>
      </c>
      <c r="N121" s="293">
        <f t="shared" si="23"/>
        <v>0</v>
      </c>
      <c r="O121" s="294">
        <f t="shared" si="24"/>
        <v>0</v>
      </c>
      <c r="P121" s="296"/>
      <c r="Q121" s="296"/>
    </row>
    <row r="122" spans="1:17" ht="38.25" x14ac:dyDescent="0.25">
      <c r="A122" s="89" t="s">
        <v>243</v>
      </c>
      <c r="B122" s="287" t="s">
        <v>244</v>
      </c>
      <c r="C122" s="288" t="s">
        <v>245</v>
      </c>
      <c r="D122" s="287" t="s">
        <v>21</v>
      </c>
      <c r="E122" s="287" t="s">
        <v>117</v>
      </c>
      <c r="F122" s="289">
        <v>3</v>
      </c>
      <c r="G122" s="289">
        <v>180.65</v>
      </c>
      <c r="H122" s="290">
        <f>G122*$Q$10</f>
        <v>230.05777500000002</v>
      </c>
      <c r="I122" s="291">
        <f>H122*F122</f>
        <v>690.17332500000009</v>
      </c>
      <c r="J122" s="292"/>
      <c r="K122" s="293">
        <f t="shared" si="21"/>
        <v>0</v>
      </c>
      <c r="L122" s="291"/>
      <c r="M122" s="293">
        <f t="shared" si="22"/>
        <v>0</v>
      </c>
      <c r="N122" s="293">
        <f t="shared" si="23"/>
        <v>0</v>
      </c>
      <c r="O122" s="294">
        <f t="shared" si="24"/>
        <v>0</v>
      </c>
      <c r="P122" s="296"/>
      <c r="Q122" s="296"/>
    </row>
    <row r="123" spans="1:17" ht="38.25" x14ac:dyDescent="0.25">
      <c r="A123" s="89" t="s">
        <v>246</v>
      </c>
      <c r="B123" s="287" t="s">
        <v>247</v>
      </c>
      <c r="C123" s="288" t="s">
        <v>248</v>
      </c>
      <c r="D123" s="287" t="s">
        <v>12</v>
      </c>
      <c r="E123" s="287" t="s">
        <v>17</v>
      </c>
      <c r="F123" s="289">
        <v>4</v>
      </c>
      <c r="G123" s="289">
        <v>204.75</v>
      </c>
      <c r="H123" s="290">
        <f>G123*$Q$10</f>
        <v>260.74912499999999</v>
      </c>
      <c r="I123" s="291">
        <f>H123*F123</f>
        <v>1042.9965</v>
      </c>
      <c r="J123" s="292"/>
      <c r="K123" s="293">
        <f t="shared" si="21"/>
        <v>0</v>
      </c>
      <c r="L123" s="291"/>
      <c r="M123" s="293">
        <f t="shared" si="22"/>
        <v>0</v>
      </c>
      <c r="N123" s="293">
        <f t="shared" si="23"/>
        <v>0</v>
      </c>
      <c r="O123" s="294">
        <f t="shared" si="24"/>
        <v>0</v>
      </c>
      <c r="P123" s="296"/>
      <c r="Q123" s="296"/>
    </row>
    <row r="124" spans="1:17" ht="51" x14ac:dyDescent="0.25">
      <c r="A124" s="89" t="s">
        <v>249</v>
      </c>
      <c r="B124" s="287" t="s">
        <v>250</v>
      </c>
      <c r="C124" s="288" t="s">
        <v>251</v>
      </c>
      <c r="D124" s="287" t="s">
        <v>12</v>
      </c>
      <c r="E124" s="287" t="s">
        <v>252</v>
      </c>
      <c r="F124" s="289">
        <v>9</v>
      </c>
      <c r="G124" s="289">
        <v>26.04</v>
      </c>
      <c r="H124" s="290">
        <f>G124*$Q$10</f>
        <v>33.161940000000001</v>
      </c>
      <c r="I124" s="291">
        <f>H124*F124</f>
        <v>298.45746000000003</v>
      </c>
      <c r="J124" s="292"/>
      <c r="K124" s="293">
        <f t="shared" si="21"/>
        <v>0</v>
      </c>
      <c r="L124" s="291"/>
      <c r="M124" s="293">
        <f t="shared" si="22"/>
        <v>0</v>
      </c>
      <c r="N124" s="293">
        <f t="shared" si="23"/>
        <v>0</v>
      </c>
      <c r="O124" s="294">
        <f t="shared" si="24"/>
        <v>0</v>
      </c>
      <c r="P124" s="296"/>
      <c r="Q124" s="296"/>
    </row>
    <row r="125" spans="1:17" ht="25.5" x14ac:dyDescent="0.25">
      <c r="A125" s="89" t="s">
        <v>253</v>
      </c>
      <c r="B125" s="287" t="s">
        <v>254</v>
      </c>
      <c r="C125" s="288" t="s">
        <v>255</v>
      </c>
      <c r="D125" s="287" t="s">
        <v>12</v>
      </c>
      <c r="E125" s="287" t="s">
        <v>17</v>
      </c>
      <c r="F125" s="289">
        <v>5</v>
      </c>
      <c r="G125" s="289">
        <v>12.94</v>
      </c>
      <c r="H125" s="290">
        <f>G125*$Q$10</f>
        <v>16.479089999999999</v>
      </c>
      <c r="I125" s="291">
        <f>H125*F125</f>
        <v>82.395449999999997</v>
      </c>
      <c r="J125" s="292"/>
      <c r="K125" s="293">
        <f t="shared" si="21"/>
        <v>0</v>
      </c>
      <c r="L125" s="291"/>
      <c r="M125" s="293">
        <f t="shared" si="22"/>
        <v>0</v>
      </c>
      <c r="N125" s="293">
        <f t="shared" si="23"/>
        <v>0</v>
      </c>
      <c r="O125" s="294">
        <f t="shared" si="24"/>
        <v>0</v>
      </c>
      <c r="P125" s="296"/>
      <c r="Q125" s="296"/>
    </row>
    <row r="126" spans="1:17" x14ac:dyDescent="0.25">
      <c r="A126" s="89"/>
      <c r="B126" s="297"/>
      <c r="C126" s="298"/>
      <c r="D126" s="297"/>
      <c r="E126" s="297"/>
      <c r="F126" s="299"/>
      <c r="G126" s="299"/>
      <c r="H126" s="300"/>
      <c r="I126" s="301">
        <f>SUM(I121:I125)</f>
        <v>2588.6052450000002</v>
      </c>
      <c r="J126" s="301">
        <f t="shared" ref="J126:K126" si="39">SUM(J121:J125)</f>
        <v>0</v>
      </c>
      <c r="K126" s="302">
        <f t="shared" si="39"/>
        <v>0</v>
      </c>
      <c r="L126" s="301"/>
      <c r="M126" s="293">
        <f t="shared" si="22"/>
        <v>0</v>
      </c>
      <c r="N126" s="293">
        <f t="shared" si="23"/>
        <v>0</v>
      </c>
      <c r="O126" s="294">
        <f t="shared" si="24"/>
        <v>0</v>
      </c>
      <c r="P126" s="296"/>
      <c r="Q126" s="296"/>
    </row>
    <row r="127" spans="1:17" s="230" customFormat="1" x14ac:dyDescent="0.25">
      <c r="A127" s="89"/>
      <c r="B127" s="303"/>
      <c r="C127" s="304"/>
      <c r="D127" s="287"/>
      <c r="E127" s="287"/>
      <c r="F127" s="289"/>
      <c r="G127" s="289"/>
      <c r="H127" s="290"/>
      <c r="I127" s="305"/>
      <c r="J127" s="306"/>
      <c r="K127" s="306"/>
      <c r="L127" s="306"/>
      <c r="M127" s="306"/>
      <c r="N127" s="306"/>
      <c r="O127" s="294"/>
      <c r="P127" s="296"/>
      <c r="Q127" s="296"/>
    </row>
    <row r="128" spans="1:17" ht="20.100000000000001" customHeight="1" x14ac:dyDescent="0.25">
      <c r="A128" s="307" t="s">
        <v>256</v>
      </c>
      <c r="B128" s="308" t="s">
        <v>257</v>
      </c>
      <c r="C128" s="309"/>
      <c r="D128" s="281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94"/>
      <c r="P128" s="296"/>
      <c r="Q128" s="296"/>
    </row>
    <row r="129" spans="1:17" x14ac:dyDescent="0.25">
      <c r="A129" s="89" t="s">
        <v>258</v>
      </c>
      <c r="B129" s="287" t="s">
        <v>259</v>
      </c>
      <c r="C129" s="288" t="s">
        <v>260</v>
      </c>
      <c r="D129" s="287" t="s">
        <v>261</v>
      </c>
      <c r="E129" s="287" t="s">
        <v>117</v>
      </c>
      <c r="F129" s="289">
        <v>119</v>
      </c>
      <c r="G129" s="289">
        <v>7.07</v>
      </c>
      <c r="H129" s="290">
        <f t="shared" ref="H129:H175" si="40">G129*$Q$10</f>
        <v>9.0036450000000006</v>
      </c>
      <c r="I129" s="291">
        <f t="shared" ref="I129:I175" si="41">H129*F129</f>
        <v>1071.433755</v>
      </c>
      <c r="J129" s="292"/>
      <c r="K129" s="293">
        <f t="shared" si="21"/>
        <v>0</v>
      </c>
      <c r="L129" s="291"/>
      <c r="M129" s="293">
        <f t="shared" si="22"/>
        <v>0</v>
      </c>
      <c r="N129" s="293">
        <f t="shared" si="23"/>
        <v>0</v>
      </c>
      <c r="O129" s="294">
        <f t="shared" si="24"/>
        <v>0</v>
      </c>
      <c r="P129" s="296"/>
      <c r="Q129" s="296"/>
    </row>
    <row r="130" spans="1:17" ht="38.25" x14ac:dyDescent="0.25">
      <c r="A130" s="89" t="s">
        <v>262</v>
      </c>
      <c r="B130" s="287" t="s">
        <v>263</v>
      </c>
      <c r="C130" s="288" t="s">
        <v>264</v>
      </c>
      <c r="D130" s="287" t="s">
        <v>21</v>
      </c>
      <c r="E130" s="287" t="s">
        <v>117</v>
      </c>
      <c r="F130" s="289">
        <v>8</v>
      </c>
      <c r="G130" s="289">
        <v>5.83</v>
      </c>
      <c r="H130" s="290">
        <f t="shared" si="40"/>
        <v>7.4245050000000008</v>
      </c>
      <c r="I130" s="291">
        <f t="shared" si="41"/>
        <v>59.396040000000006</v>
      </c>
      <c r="J130" s="292"/>
      <c r="K130" s="293">
        <f t="shared" si="21"/>
        <v>0</v>
      </c>
      <c r="L130" s="291"/>
      <c r="M130" s="293">
        <f t="shared" si="22"/>
        <v>0</v>
      </c>
      <c r="N130" s="293">
        <f t="shared" si="23"/>
        <v>0</v>
      </c>
      <c r="O130" s="294">
        <f t="shared" si="24"/>
        <v>0</v>
      </c>
      <c r="P130" s="296"/>
      <c r="Q130" s="296"/>
    </row>
    <row r="131" spans="1:17" ht="51" x14ac:dyDescent="0.25">
      <c r="A131" s="89" t="s">
        <v>265</v>
      </c>
      <c r="B131" s="287" t="s">
        <v>266</v>
      </c>
      <c r="C131" s="288" t="s">
        <v>267</v>
      </c>
      <c r="D131" s="287" t="s">
        <v>21</v>
      </c>
      <c r="E131" s="287" t="s">
        <v>117</v>
      </c>
      <c r="F131" s="289">
        <v>10</v>
      </c>
      <c r="G131" s="289">
        <v>10.97</v>
      </c>
      <c r="H131" s="290">
        <f t="shared" si="40"/>
        <v>13.970295000000002</v>
      </c>
      <c r="I131" s="291">
        <f t="shared" si="41"/>
        <v>139.70295000000002</v>
      </c>
      <c r="J131" s="292"/>
      <c r="K131" s="293">
        <f t="shared" si="21"/>
        <v>0</v>
      </c>
      <c r="L131" s="291"/>
      <c r="M131" s="293">
        <f t="shared" si="22"/>
        <v>0</v>
      </c>
      <c r="N131" s="293">
        <f t="shared" si="23"/>
        <v>0</v>
      </c>
      <c r="O131" s="294">
        <f t="shared" si="24"/>
        <v>0</v>
      </c>
      <c r="P131" s="296"/>
      <c r="Q131" s="296"/>
    </row>
    <row r="132" spans="1:17" ht="51" x14ac:dyDescent="0.25">
      <c r="A132" s="89" t="s">
        <v>268</v>
      </c>
      <c r="B132" s="287" t="s">
        <v>269</v>
      </c>
      <c r="C132" s="288" t="s">
        <v>270</v>
      </c>
      <c r="D132" s="287" t="s">
        <v>21</v>
      </c>
      <c r="E132" s="287" t="s">
        <v>117</v>
      </c>
      <c r="F132" s="289">
        <v>6</v>
      </c>
      <c r="G132" s="289">
        <v>12.5</v>
      </c>
      <c r="H132" s="290">
        <f t="shared" si="40"/>
        <v>15.918750000000001</v>
      </c>
      <c r="I132" s="291">
        <f t="shared" si="41"/>
        <v>95.512500000000003</v>
      </c>
      <c r="J132" s="292"/>
      <c r="K132" s="293">
        <f t="shared" si="21"/>
        <v>0</v>
      </c>
      <c r="L132" s="291"/>
      <c r="M132" s="293">
        <f t="shared" si="22"/>
        <v>0</v>
      </c>
      <c r="N132" s="293">
        <f t="shared" si="23"/>
        <v>0</v>
      </c>
      <c r="O132" s="294">
        <f t="shared" si="24"/>
        <v>0</v>
      </c>
      <c r="P132" s="296"/>
      <c r="Q132" s="296"/>
    </row>
    <row r="133" spans="1:17" ht="51" x14ac:dyDescent="0.25">
      <c r="A133" s="89" t="s">
        <v>271</v>
      </c>
      <c r="B133" s="287" t="s">
        <v>272</v>
      </c>
      <c r="C133" s="288" t="s">
        <v>273</v>
      </c>
      <c r="D133" s="287" t="s">
        <v>21</v>
      </c>
      <c r="E133" s="287" t="s">
        <v>22</v>
      </c>
      <c r="F133" s="289">
        <v>203.96</v>
      </c>
      <c r="G133" s="289">
        <v>8.6</v>
      </c>
      <c r="H133" s="290">
        <f t="shared" si="40"/>
        <v>10.9521</v>
      </c>
      <c r="I133" s="291">
        <f t="shared" si="41"/>
        <v>2233.7903160000001</v>
      </c>
      <c r="J133" s="292"/>
      <c r="K133" s="293">
        <f t="shared" si="21"/>
        <v>0</v>
      </c>
      <c r="L133" s="291"/>
      <c r="M133" s="293">
        <f t="shared" si="22"/>
        <v>0</v>
      </c>
      <c r="N133" s="293">
        <f t="shared" si="23"/>
        <v>0</v>
      </c>
      <c r="O133" s="294">
        <f t="shared" si="24"/>
        <v>0</v>
      </c>
      <c r="P133" s="296"/>
      <c r="Q133" s="296"/>
    </row>
    <row r="134" spans="1:17" ht="51" x14ac:dyDescent="0.25">
      <c r="A134" s="89" t="s">
        <v>274</v>
      </c>
      <c r="B134" s="287" t="s">
        <v>275</v>
      </c>
      <c r="C134" s="288" t="s">
        <v>276</v>
      </c>
      <c r="D134" s="287" t="s">
        <v>21</v>
      </c>
      <c r="E134" s="287" t="s">
        <v>22</v>
      </c>
      <c r="F134" s="289">
        <v>18.809999999999999</v>
      </c>
      <c r="G134" s="289">
        <v>9.2899999999999991</v>
      </c>
      <c r="H134" s="290">
        <f t="shared" si="40"/>
        <v>11.830814999999999</v>
      </c>
      <c r="I134" s="291">
        <f t="shared" si="41"/>
        <v>222.53763014999998</v>
      </c>
      <c r="J134" s="292"/>
      <c r="K134" s="293">
        <f t="shared" si="21"/>
        <v>0</v>
      </c>
      <c r="L134" s="291"/>
      <c r="M134" s="293">
        <f t="shared" si="22"/>
        <v>0</v>
      </c>
      <c r="N134" s="293">
        <f t="shared" si="23"/>
        <v>0</v>
      </c>
      <c r="O134" s="294">
        <f t="shared" si="24"/>
        <v>0</v>
      </c>
      <c r="P134" s="296"/>
      <c r="Q134" s="296"/>
    </row>
    <row r="135" spans="1:17" s="230" customFormat="1" ht="51" x14ac:dyDescent="0.25">
      <c r="A135" s="89" t="s">
        <v>277</v>
      </c>
      <c r="B135" s="287" t="s">
        <v>278</v>
      </c>
      <c r="C135" s="288" t="s">
        <v>279</v>
      </c>
      <c r="D135" s="287" t="s">
        <v>21</v>
      </c>
      <c r="E135" s="287" t="s">
        <v>22</v>
      </c>
      <c r="F135" s="289">
        <v>0</v>
      </c>
      <c r="G135" s="289">
        <v>5.36</v>
      </c>
      <c r="H135" s="290">
        <f t="shared" si="40"/>
        <v>6.8259600000000011</v>
      </c>
      <c r="I135" s="291">
        <f t="shared" si="41"/>
        <v>0</v>
      </c>
      <c r="J135" s="292"/>
      <c r="K135" s="293">
        <f t="shared" si="21"/>
        <v>0</v>
      </c>
      <c r="L135" s="291"/>
      <c r="M135" s="293">
        <f t="shared" si="22"/>
        <v>0</v>
      </c>
      <c r="N135" s="293">
        <f t="shared" si="23"/>
        <v>0</v>
      </c>
      <c r="O135" s="294"/>
      <c r="P135" s="296"/>
      <c r="Q135" s="296"/>
    </row>
    <row r="136" spans="1:17" s="230" customFormat="1" ht="25.5" x14ac:dyDescent="0.25">
      <c r="A136" s="89" t="s">
        <v>280</v>
      </c>
      <c r="B136" s="287" t="s">
        <v>281</v>
      </c>
      <c r="C136" s="288" t="s">
        <v>282</v>
      </c>
      <c r="D136" s="287" t="s">
        <v>21</v>
      </c>
      <c r="E136" s="287" t="s">
        <v>22</v>
      </c>
      <c r="F136" s="289">
        <v>0</v>
      </c>
      <c r="G136" s="289">
        <v>9.08</v>
      </c>
      <c r="H136" s="290">
        <f t="shared" si="40"/>
        <v>11.56338</v>
      </c>
      <c r="I136" s="291">
        <f t="shared" si="41"/>
        <v>0</v>
      </c>
      <c r="J136" s="292"/>
      <c r="K136" s="293">
        <f t="shared" si="21"/>
        <v>0</v>
      </c>
      <c r="L136" s="291"/>
      <c r="M136" s="293">
        <f t="shared" si="22"/>
        <v>0</v>
      </c>
      <c r="N136" s="293">
        <f t="shared" si="23"/>
        <v>0</v>
      </c>
      <c r="O136" s="294"/>
      <c r="P136" s="296"/>
      <c r="Q136" s="296"/>
    </row>
    <row r="137" spans="1:17" ht="51" x14ac:dyDescent="0.25">
      <c r="A137" s="89" t="s">
        <v>283</v>
      </c>
      <c r="B137" s="287" t="s">
        <v>284</v>
      </c>
      <c r="C137" s="288" t="s">
        <v>285</v>
      </c>
      <c r="D137" s="287" t="s">
        <v>21</v>
      </c>
      <c r="E137" s="287" t="s">
        <v>22</v>
      </c>
      <c r="F137" s="289">
        <v>20.3</v>
      </c>
      <c r="G137" s="289">
        <v>11.61</v>
      </c>
      <c r="H137" s="290">
        <f t="shared" si="40"/>
        <v>14.785335</v>
      </c>
      <c r="I137" s="291">
        <f t="shared" si="41"/>
        <v>300.14230050000003</v>
      </c>
      <c r="J137" s="292"/>
      <c r="K137" s="293">
        <f t="shared" si="21"/>
        <v>0</v>
      </c>
      <c r="L137" s="291"/>
      <c r="M137" s="293">
        <f t="shared" si="22"/>
        <v>0</v>
      </c>
      <c r="N137" s="293">
        <f t="shared" si="23"/>
        <v>0</v>
      </c>
      <c r="O137" s="294">
        <f t="shared" si="24"/>
        <v>0</v>
      </c>
      <c r="P137" s="296"/>
      <c r="Q137" s="296"/>
    </row>
    <row r="138" spans="1:17" ht="51" x14ac:dyDescent="0.25">
      <c r="A138" s="89" t="s">
        <v>286</v>
      </c>
      <c r="B138" s="287" t="s">
        <v>287</v>
      </c>
      <c r="C138" s="288" t="s">
        <v>288</v>
      </c>
      <c r="D138" s="287" t="s">
        <v>21</v>
      </c>
      <c r="E138" s="287" t="s">
        <v>22</v>
      </c>
      <c r="F138" s="289">
        <v>205</v>
      </c>
      <c r="G138" s="289">
        <v>9.59</v>
      </c>
      <c r="H138" s="290">
        <f t="shared" si="40"/>
        <v>12.212865000000001</v>
      </c>
      <c r="I138" s="291">
        <f t="shared" si="41"/>
        <v>2503.6373250000001</v>
      </c>
      <c r="J138" s="292"/>
      <c r="K138" s="293">
        <f t="shared" si="21"/>
        <v>0</v>
      </c>
      <c r="L138" s="291"/>
      <c r="M138" s="293">
        <f t="shared" si="22"/>
        <v>0</v>
      </c>
      <c r="N138" s="293">
        <f t="shared" si="23"/>
        <v>0</v>
      </c>
      <c r="O138" s="294">
        <f t="shared" si="24"/>
        <v>0</v>
      </c>
      <c r="P138" s="296"/>
      <c r="Q138" s="296"/>
    </row>
    <row r="139" spans="1:17" ht="51" x14ac:dyDescent="0.25">
      <c r="A139" s="89" t="s">
        <v>289</v>
      </c>
      <c r="B139" s="287" t="s">
        <v>290</v>
      </c>
      <c r="C139" s="288" t="s">
        <v>291</v>
      </c>
      <c r="D139" s="287" t="s">
        <v>21</v>
      </c>
      <c r="E139" s="287" t="s">
        <v>117</v>
      </c>
      <c r="F139" s="289">
        <v>6</v>
      </c>
      <c r="G139" s="289">
        <v>5.3</v>
      </c>
      <c r="H139" s="290">
        <f t="shared" si="40"/>
        <v>6.7495500000000002</v>
      </c>
      <c r="I139" s="291">
        <f t="shared" si="41"/>
        <v>40.497300000000003</v>
      </c>
      <c r="J139" s="292"/>
      <c r="K139" s="293">
        <f t="shared" ref="K139:K202" si="42">J139*H139</f>
        <v>0</v>
      </c>
      <c r="L139" s="291"/>
      <c r="M139" s="293">
        <f t="shared" ref="M139:M202" si="43">L139*H139</f>
        <v>0</v>
      </c>
      <c r="N139" s="293">
        <f t="shared" ref="N139:N202" si="44">M139+K139</f>
        <v>0</v>
      </c>
      <c r="O139" s="294">
        <f t="shared" ref="O139:O202" si="45">N139/I139</f>
        <v>0</v>
      </c>
      <c r="P139" s="296"/>
      <c r="Q139" s="296"/>
    </row>
    <row r="140" spans="1:17" ht="51" x14ac:dyDescent="0.25">
      <c r="A140" s="89" t="s">
        <v>292</v>
      </c>
      <c r="B140" s="287" t="s">
        <v>293</v>
      </c>
      <c r="C140" s="288" t="s">
        <v>294</v>
      </c>
      <c r="D140" s="287" t="s">
        <v>21</v>
      </c>
      <c r="E140" s="287" t="s">
        <v>117</v>
      </c>
      <c r="F140" s="289">
        <v>14</v>
      </c>
      <c r="G140" s="289">
        <v>7.01</v>
      </c>
      <c r="H140" s="290">
        <f t="shared" si="40"/>
        <v>8.9272349999999996</v>
      </c>
      <c r="I140" s="291">
        <f t="shared" si="41"/>
        <v>124.98129</v>
      </c>
      <c r="J140" s="292"/>
      <c r="K140" s="293">
        <f t="shared" si="42"/>
        <v>0</v>
      </c>
      <c r="L140" s="291"/>
      <c r="M140" s="293">
        <f t="shared" si="43"/>
        <v>0</v>
      </c>
      <c r="N140" s="293">
        <f t="shared" si="44"/>
        <v>0</v>
      </c>
      <c r="O140" s="294">
        <f t="shared" si="45"/>
        <v>0</v>
      </c>
      <c r="P140" s="296"/>
      <c r="Q140" s="296"/>
    </row>
    <row r="141" spans="1:17" s="230" customFormat="1" ht="38.25" x14ac:dyDescent="0.25">
      <c r="A141" s="89" t="s">
        <v>295</v>
      </c>
      <c r="B141" s="287" t="s">
        <v>296</v>
      </c>
      <c r="C141" s="288" t="s">
        <v>297</v>
      </c>
      <c r="D141" s="287" t="s">
        <v>21</v>
      </c>
      <c r="E141" s="287" t="s">
        <v>117</v>
      </c>
      <c r="F141" s="289">
        <v>0</v>
      </c>
      <c r="G141" s="289">
        <v>9.07</v>
      </c>
      <c r="H141" s="290">
        <f t="shared" si="40"/>
        <v>11.550645000000001</v>
      </c>
      <c r="I141" s="291">
        <f t="shared" si="41"/>
        <v>0</v>
      </c>
      <c r="J141" s="292"/>
      <c r="K141" s="293">
        <f t="shared" si="42"/>
        <v>0</v>
      </c>
      <c r="L141" s="291"/>
      <c r="M141" s="293">
        <f t="shared" si="43"/>
        <v>0</v>
      </c>
      <c r="N141" s="293">
        <f t="shared" si="44"/>
        <v>0</v>
      </c>
      <c r="O141" s="294"/>
      <c r="P141" s="296"/>
      <c r="Q141" s="296"/>
    </row>
    <row r="142" spans="1:17" ht="63.75" x14ac:dyDescent="0.25">
      <c r="A142" s="89" t="s">
        <v>298</v>
      </c>
      <c r="B142" s="287" t="s">
        <v>299</v>
      </c>
      <c r="C142" s="288" t="s">
        <v>300</v>
      </c>
      <c r="D142" s="287" t="s">
        <v>21</v>
      </c>
      <c r="E142" s="287" t="s">
        <v>117</v>
      </c>
      <c r="F142" s="289">
        <v>1</v>
      </c>
      <c r="G142" s="289">
        <v>490.95</v>
      </c>
      <c r="H142" s="290">
        <f t="shared" si="40"/>
        <v>625.22482500000001</v>
      </c>
      <c r="I142" s="291">
        <f t="shared" si="41"/>
        <v>625.22482500000001</v>
      </c>
      <c r="J142" s="292"/>
      <c r="K142" s="293">
        <f t="shared" si="42"/>
        <v>0</v>
      </c>
      <c r="L142" s="291"/>
      <c r="M142" s="293">
        <f t="shared" si="43"/>
        <v>0</v>
      </c>
      <c r="N142" s="293">
        <f t="shared" si="44"/>
        <v>0</v>
      </c>
      <c r="O142" s="294">
        <f t="shared" si="45"/>
        <v>0</v>
      </c>
      <c r="P142" s="296"/>
      <c r="Q142" s="296"/>
    </row>
    <row r="143" spans="1:17" ht="63.75" x14ac:dyDescent="0.25">
      <c r="A143" s="89" t="s">
        <v>301</v>
      </c>
      <c r="B143" s="287" t="s">
        <v>302</v>
      </c>
      <c r="C143" s="288" t="s">
        <v>303</v>
      </c>
      <c r="D143" s="287" t="s">
        <v>21</v>
      </c>
      <c r="E143" s="287" t="s">
        <v>117</v>
      </c>
      <c r="F143" s="289">
        <v>1</v>
      </c>
      <c r="G143" s="289">
        <v>460.24</v>
      </c>
      <c r="H143" s="290">
        <f t="shared" si="40"/>
        <v>586.1156400000001</v>
      </c>
      <c r="I143" s="291">
        <f t="shared" si="41"/>
        <v>586.1156400000001</v>
      </c>
      <c r="J143" s="292"/>
      <c r="K143" s="293">
        <f t="shared" si="42"/>
        <v>0</v>
      </c>
      <c r="L143" s="291"/>
      <c r="M143" s="293">
        <f t="shared" si="43"/>
        <v>0</v>
      </c>
      <c r="N143" s="293">
        <f t="shared" si="44"/>
        <v>0</v>
      </c>
      <c r="O143" s="294">
        <f t="shared" si="45"/>
        <v>0</v>
      </c>
      <c r="P143" s="296"/>
      <c r="Q143" s="296"/>
    </row>
    <row r="144" spans="1:17" x14ac:dyDescent="0.25">
      <c r="A144" s="89" t="s">
        <v>304</v>
      </c>
      <c r="B144" s="287" t="s">
        <v>305</v>
      </c>
      <c r="C144" s="288" t="s">
        <v>306</v>
      </c>
      <c r="D144" s="287"/>
      <c r="E144" s="287" t="s">
        <v>307</v>
      </c>
      <c r="F144" s="289">
        <v>41</v>
      </c>
      <c r="G144" s="289">
        <v>22.26</v>
      </c>
      <c r="H144" s="290">
        <f t="shared" si="40"/>
        <v>28.348110000000002</v>
      </c>
      <c r="I144" s="291">
        <f t="shared" si="41"/>
        <v>1162.27251</v>
      </c>
      <c r="J144" s="292"/>
      <c r="K144" s="293">
        <f t="shared" si="42"/>
        <v>0</v>
      </c>
      <c r="L144" s="291"/>
      <c r="M144" s="293">
        <f t="shared" si="43"/>
        <v>0</v>
      </c>
      <c r="N144" s="293">
        <f t="shared" si="44"/>
        <v>0</v>
      </c>
      <c r="O144" s="294">
        <f t="shared" si="45"/>
        <v>0</v>
      </c>
      <c r="P144" s="296"/>
      <c r="Q144" s="296"/>
    </row>
    <row r="145" spans="1:17" ht="25.5" x14ac:dyDescent="0.25">
      <c r="A145" s="89" t="s">
        <v>308</v>
      </c>
      <c r="B145" s="287" t="s">
        <v>309</v>
      </c>
      <c r="C145" s="288" t="s">
        <v>310</v>
      </c>
      <c r="D145" s="287" t="s">
        <v>12</v>
      </c>
      <c r="E145" s="287" t="s">
        <v>17</v>
      </c>
      <c r="F145" s="289">
        <v>6</v>
      </c>
      <c r="G145" s="289">
        <v>71.28</v>
      </c>
      <c r="H145" s="290">
        <f t="shared" si="40"/>
        <v>90.775080000000003</v>
      </c>
      <c r="I145" s="291">
        <f t="shared" si="41"/>
        <v>544.65048000000002</v>
      </c>
      <c r="J145" s="292"/>
      <c r="K145" s="293">
        <f t="shared" si="42"/>
        <v>0</v>
      </c>
      <c r="L145" s="291"/>
      <c r="M145" s="293">
        <f t="shared" si="43"/>
        <v>0</v>
      </c>
      <c r="N145" s="293">
        <f t="shared" si="44"/>
        <v>0</v>
      </c>
      <c r="O145" s="294">
        <f t="shared" si="45"/>
        <v>0</v>
      </c>
      <c r="P145" s="296"/>
      <c r="Q145" s="296"/>
    </row>
    <row r="146" spans="1:17" ht="38.25" x14ac:dyDescent="0.25">
      <c r="A146" s="89" t="s">
        <v>311</v>
      </c>
      <c r="B146" s="287" t="s">
        <v>312</v>
      </c>
      <c r="C146" s="288" t="s">
        <v>313</v>
      </c>
      <c r="D146" s="287" t="s">
        <v>21</v>
      </c>
      <c r="E146" s="287" t="s">
        <v>117</v>
      </c>
      <c r="F146" s="289">
        <v>11</v>
      </c>
      <c r="G146" s="289">
        <v>26.34</v>
      </c>
      <c r="H146" s="290">
        <f t="shared" si="40"/>
        <v>33.543990000000001</v>
      </c>
      <c r="I146" s="291">
        <f t="shared" si="41"/>
        <v>368.98389000000003</v>
      </c>
      <c r="J146" s="292"/>
      <c r="K146" s="293">
        <f t="shared" si="42"/>
        <v>0</v>
      </c>
      <c r="L146" s="291"/>
      <c r="M146" s="293">
        <f t="shared" si="43"/>
        <v>0</v>
      </c>
      <c r="N146" s="293">
        <f t="shared" si="44"/>
        <v>0</v>
      </c>
      <c r="O146" s="294">
        <f t="shared" si="45"/>
        <v>0</v>
      </c>
      <c r="P146" s="296"/>
      <c r="Q146" s="296"/>
    </row>
    <row r="147" spans="1:17" ht="51" x14ac:dyDescent="0.25">
      <c r="A147" s="89" t="s">
        <v>314</v>
      </c>
      <c r="B147" s="287" t="s">
        <v>315</v>
      </c>
      <c r="C147" s="288" t="s">
        <v>316</v>
      </c>
      <c r="D147" s="287" t="s">
        <v>21</v>
      </c>
      <c r="E147" s="287" t="s">
        <v>117</v>
      </c>
      <c r="F147" s="289">
        <v>8</v>
      </c>
      <c r="G147" s="289">
        <v>30.42</v>
      </c>
      <c r="H147" s="290">
        <f t="shared" si="40"/>
        <v>38.739870000000003</v>
      </c>
      <c r="I147" s="291">
        <f t="shared" si="41"/>
        <v>309.91896000000003</v>
      </c>
      <c r="J147" s="292"/>
      <c r="K147" s="293">
        <f t="shared" si="42"/>
        <v>0</v>
      </c>
      <c r="L147" s="291"/>
      <c r="M147" s="293">
        <f t="shared" si="43"/>
        <v>0</v>
      </c>
      <c r="N147" s="293">
        <f t="shared" si="44"/>
        <v>0</v>
      </c>
      <c r="O147" s="294">
        <f t="shared" si="45"/>
        <v>0</v>
      </c>
      <c r="P147" s="296"/>
      <c r="Q147" s="296"/>
    </row>
    <row r="148" spans="1:17" ht="51" x14ac:dyDescent="0.25">
      <c r="A148" s="89" t="s">
        <v>317</v>
      </c>
      <c r="B148" s="287" t="s">
        <v>318</v>
      </c>
      <c r="C148" s="288" t="s">
        <v>319</v>
      </c>
      <c r="D148" s="287" t="s">
        <v>21</v>
      </c>
      <c r="E148" s="287" t="s">
        <v>117</v>
      </c>
      <c r="F148" s="289">
        <v>1</v>
      </c>
      <c r="G148" s="289">
        <v>54.64</v>
      </c>
      <c r="H148" s="290">
        <f t="shared" si="40"/>
        <v>69.584040000000002</v>
      </c>
      <c r="I148" s="291">
        <f t="shared" si="41"/>
        <v>69.584040000000002</v>
      </c>
      <c r="J148" s="292"/>
      <c r="K148" s="293">
        <f t="shared" si="42"/>
        <v>0</v>
      </c>
      <c r="L148" s="291"/>
      <c r="M148" s="293">
        <f t="shared" si="43"/>
        <v>0</v>
      </c>
      <c r="N148" s="293">
        <f t="shared" si="44"/>
        <v>0</v>
      </c>
      <c r="O148" s="294">
        <f t="shared" si="45"/>
        <v>0</v>
      </c>
      <c r="P148" s="296"/>
      <c r="Q148" s="296"/>
    </row>
    <row r="149" spans="1:17" ht="51" x14ac:dyDescent="0.25">
      <c r="A149" s="89" t="s">
        <v>320</v>
      </c>
      <c r="B149" s="287" t="s">
        <v>321</v>
      </c>
      <c r="C149" s="288" t="s">
        <v>322</v>
      </c>
      <c r="D149" s="287" t="s">
        <v>21</v>
      </c>
      <c r="E149" s="287" t="s">
        <v>117</v>
      </c>
      <c r="F149" s="289">
        <v>6</v>
      </c>
      <c r="G149" s="289">
        <v>85.63</v>
      </c>
      <c r="H149" s="290">
        <f t="shared" si="40"/>
        <v>109.04980500000001</v>
      </c>
      <c r="I149" s="291">
        <f t="shared" si="41"/>
        <v>654.29883000000007</v>
      </c>
      <c r="J149" s="292"/>
      <c r="K149" s="293">
        <f t="shared" si="42"/>
        <v>0</v>
      </c>
      <c r="L149" s="291"/>
      <c r="M149" s="293">
        <f t="shared" si="43"/>
        <v>0</v>
      </c>
      <c r="N149" s="293">
        <f t="shared" si="44"/>
        <v>0</v>
      </c>
      <c r="O149" s="294">
        <f t="shared" si="45"/>
        <v>0</v>
      </c>
      <c r="P149" s="296"/>
      <c r="Q149" s="296"/>
    </row>
    <row r="150" spans="1:17" ht="51" x14ac:dyDescent="0.25">
      <c r="A150" s="89" t="s">
        <v>323</v>
      </c>
      <c r="B150" s="287" t="s">
        <v>324</v>
      </c>
      <c r="C150" s="288" t="s">
        <v>325</v>
      </c>
      <c r="D150" s="287" t="s">
        <v>21</v>
      </c>
      <c r="E150" s="287" t="s">
        <v>117</v>
      </c>
      <c r="F150" s="289">
        <v>81</v>
      </c>
      <c r="G150" s="289">
        <v>117.08</v>
      </c>
      <c r="H150" s="290">
        <f t="shared" si="40"/>
        <v>149.10138000000001</v>
      </c>
      <c r="I150" s="291">
        <f t="shared" si="41"/>
        <v>12077.21178</v>
      </c>
      <c r="J150" s="292"/>
      <c r="K150" s="293">
        <f t="shared" si="42"/>
        <v>0</v>
      </c>
      <c r="L150" s="291"/>
      <c r="M150" s="293">
        <f t="shared" si="43"/>
        <v>0</v>
      </c>
      <c r="N150" s="293">
        <f t="shared" si="44"/>
        <v>0</v>
      </c>
      <c r="O150" s="294">
        <f t="shared" si="45"/>
        <v>0</v>
      </c>
      <c r="P150" s="296"/>
      <c r="Q150" s="296"/>
    </row>
    <row r="151" spans="1:17" ht="51" x14ac:dyDescent="0.25">
      <c r="A151" s="89" t="s">
        <v>326</v>
      </c>
      <c r="B151" s="287" t="s">
        <v>327</v>
      </c>
      <c r="C151" s="288" t="s">
        <v>328</v>
      </c>
      <c r="D151" s="287" t="s">
        <v>21</v>
      </c>
      <c r="E151" s="287" t="s">
        <v>22</v>
      </c>
      <c r="F151" s="289">
        <v>64.95</v>
      </c>
      <c r="G151" s="289">
        <v>13.87</v>
      </c>
      <c r="H151" s="290">
        <f t="shared" si="40"/>
        <v>17.663444999999999</v>
      </c>
      <c r="I151" s="291">
        <f t="shared" si="41"/>
        <v>1147.24075275</v>
      </c>
      <c r="J151" s="292"/>
      <c r="K151" s="293">
        <f t="shared" si="42"/>
        <v>0</v>
      </c>
      <c r="L151" s="291"/>
      <c r="M151" s="293">
        <f t="shared" si="43"/>
        <v>0</v>
      </c>
      <c r="N151" s="293">
        <f t="shared" si="44"/>
        <v>0</v>
      </c>
      <c r="O151" s="294">
        <f t="shared" si="45"/>
        <v>0</v>
      </c>
      <c r="P151" s="296"/>
      <c r="Q151" s="296"/>
    </row>
    <row r="152" spans="1:17" ht="51" x14ac:dyDescent="0.25">
      <c r="A152" s="89" t="s">
        <v>329</v>
      </c>
      <c r="B152" s="287" t="s">
        <v>327</v>
      </c>
      <c r="C152" s="288" t="s">
        <v>328</v>
      </c>
      <c r="D152" s="287" t="s">
        <v>21</v>
      </c>
      <c r="E152" s="287" t="s">
        <v>22</v>
      </c>
      <c r="F152" s="289">
        <v>21.65</v>
      </c>
      <c r="G152" s="289">
        <v>13.87</v>
      </c>
      <c r="H152" s="290">
        <f t="shared" si="40"/>
        <v>17.663444999999999</v>
      </c>
      <c r="I152" s="291">
        <f t="shared" si="41"/>
        <v>382.41358424999999</v>
      </c>
      <c r="J152" s="292"/>
      <c r="K152" s="293">
        <f t="shared" si="42"/>
        <v>0</v>
      </c>
      <c r="L152" s="291"/>
      <c r="M152" s="293">
        <f t="shared" si="43"/>
        <v>0</v>
      </c>
      <c r="N152" s="293">
        <f t="shared" si="44"/>
        <v>0</v>
      </c>
      <c r="O152" s="294">
        <f t="shared" si="45"/>
        <v>0</v>
      </c>
      <c r="P152" s="296"/>
      <c r="Q152" s="296"/>
    </row>
    <row r="153" spans="1:17" ht="51" x14ac:dyDescent="0.25">
      <c r="A153" s="89" t="s">
        <v>330</v>
      </c>
      <c r="B153" s="287" t="s">
        <v>327</v>
      </c>
      <c r="C153" s="288" t="s">
        <v>328</v>
      </c>
      <c r="D153" s="287" t="s">
        <v>21</v>
      </c>
      <c r="E153" s="287" t="s">
        <v>22</v>
      </c>
      <c r="F153" s="289">
        <v>30.65</v>
      </c>
      <c r="G153" s="289">
        <v>13.87</v>
      </c>
      <c r="H153" s="290">
        <f t="shared" si="40"/>
        <v>17.663444999999999</v>
      </c>
      <c r="I153" s="291">
        <f t="shared" si="41"/>
        <v>541.38458924999998</v>
      </c>
      <c r="J153" s="292"/>
      <c r="K153" s="293">
        <f t="shared" si="42"/>
        <v>0</v>
      </c>
      <c r="L153" s="291"/>
      <c r="M153" s="293">
        <f t="shared" si="43"/>
        <v>0</v>
      </c>
      <c r="N153" s="293">
        <f t="shared" si="44"/>
        <v>0</v>
      </c>
      <c r="O153" s="294">
        <f t="shared" si="45"/>
        <v>0</v>
      </c>
      <c r="P153" s="296"/>
      <c r="Q153" s="296"/>
    </row>
    <row r="154" spans="1:17" ht="38.25" x14ac:dyDescent="0.25">
      <c r="A154" s="89" t="s">
        <v>331</v>
      </c>
      <c r="B154" s="287" t="s">
        <v>332</v>
      </c>
      <c r="C154" s="288" t="s">
        <v>333</v>
      </c>
      <c r="D154" s="287" t="s">
        <v>12</v>
      </c>
      <c r="E154" s="287" t="s">
        <v>17</v>
      </c>
      <c r="F154" s="289">
        <v>4</v>
      </c>
      <c r="G154" s="289">
        <v>137.51</v>
      </c>
      <c r="H154" s="290">
        <f t="shared" si="40"/>
        <v>175.11898500000001</v>
      </c>
      <c r="I154" s="291">
        <f t="shared" si="41"/>
        <v>700.47594000000004</v>
      </c>
      <c r="J154" s="292"/>
      <c r="K154" s="293">
        <f t="shared" si="42"/>
        <v>0</v>
      </c>
      <c r="L154" s="291"/>
      <c r="M154" s="293">
        <f t="shared" si="43"/>
        <v>0</v>
      </c>
      <c r="N154" s="293">
        <f t="shared" si="44"/>
        <v>0</v>
      </c>
      <c r="O154" s="294">
        <f t="shared" si="45"/>
        <v>0</v>
      </c>
      <c r="P154" s="296"/>
      <c r="Q154" s="296"/>
    </row>
    <row r="155" spans="1:17" ht="38.25" x14ac:dyDescent="0.25">
      <c r="A155" s="89" t="s">
        <v>334</v>
      </c>
      <c r="B155" s="287" t="s">
        <v>335</v>
      </c>
      <c r="C155" s="288" t="s">
        <v>336</v>
      </c>
      <c r="D155" s="287" t="s">
        <v>21</v>
      </c>
      <c r="E155" s="287" t="s">
        <v>117</v>
      </c>
      <c r="F155" s="289">
        <v>15</v>
      </c>
      <c r="G155" s="289">
        <v>8.34</v>
      </c>
      <c r="H155" s="290">
        <f t="shared" si="40"/>
        <v>10.620990000000001</v>
      </c>
      <c r="I155" s="291">
        <f t="shared" si="41"/>
        <v>159.31485000000001</v>
      </c>
      <c r="J155" s="292"/>
      <c r="K155" s="293">
        <f t="shared" si="42"/>
        <v>0</v>
      </c>
      <c r="L155" s="291"/>
      <c r="M155" s="293">
        <f t="shared" si="43"/>
        <v>0</v>
      </c>
      <c r="N155" s="293">
        <f t="shared" si="44"/>
        <v>0</v>
      </c>
      <c r="O155" s="294">
        <f t="shared" si="45"/>
        <v>0</v>
      </c>
      <c r="P155" s="296"/>
      <c r="Q155" s="296"/>
    </row>
    <row r="156" spans="1:17" ht="38.25" x14ac:dyDescent="0.25">
      <c r="A156" s="89" t="s">
        <v>337</v>
      </c>
      <c r="B156" s="287" t="s">
        <v>338</v>
      </c>
      <c r="C156" s="288" t="s">
        <v>339</v>
      </c>
      <c r="D156" s="287" t="s">
        <v>21</v>
      </c>
      <c r="E156" s="287" t="s">
        <v>117</v>
      </c>
      <c r="F156" s="289">
        <v>3</v>
      </c>
      <c r="G156" s="289">
        <v>7.22</v>
      </c>
      <c r="H156" s="290">
        <f t="shared" si="40"/>
        <v>9.1946700000000003</v>
      </c>
      <c r="I156" s="291">
        <f t="shared" si="41"/>
        <v>27.584009999999999</v>
      </c>
      <c r="J156" s="292"/>
      <c r="K156" s="293">
        <f t="shared" si="42"/>
        <v>0</v>
      </c>
      <c r="L156" s="291"/>
      <c r="M156" s="293">
        <f t="shared" si="43"/>
        <v>0</v>
      </c>
      <c r="N156" s="293">
        <f t="shared" si="44"/>
        <v>0</v>
      </c>
      <c r="O156" s="294">
        <f t="shared" si="45"/>
        <v>0</v>
      </c>
      <c r="P156" s="296"/>
      <c r="Q156" s="296"/>
    </row>
    <row r="157" spans="1:17" ht="38.25" x14ac:dyDescent="0.25">
      <c r="A157" s="89" t="s">
        <v>340</v>
      </c>
      <c r="B157" s="287" t="s">
        <v>341</v>
      </c>
      <c r="C157" s="288" t="s">
        <v>342</v>
      </c>
      <c r="D157" s="287" t="s">
        <v>21</v>
      </c>
      <c r="E157" s="287" t="s">
        <v>117</v>
      </c>
      <c r="F157" s="289">
        <v>2</v>
      </c>
      <c r="G157" s="289">
        <v>57.46</v>
      </c>
      <c r="H157" s="290">
        <f t="shared" si="40"/>
        <v>73.17531000000001</v>
      </c>
      <c r="I157" s="291">
        <f t="shared" si="41"/>
        <v>146.35062000000002</v>
      </c>
      <c r="J157" s="292"/>
      <c r="K157" s="293">
        <f t="shared" si="42"/>
        <v>0</v>
      </c>
      <c r="L157" s="291"/>
      <c r="M157" s="293">
        <f t="shared" si="43"/>
        <v>0</v>
      </c>
      <c r="N157" s="293">
        <f t="shared" si="44"/>
        <v>0</v>
      </c>
      <c r="O157" s="294">
        <f t="shared" si="45"/>
        <v>0</v>
      </c>
      <c r="P157" s="296"/>
      <c r="Q157" s="296"/>
    </row>
    <row r="158" spans="1:17" ht="38.25" x14ac:dyDescent="0.25">
      <c r="A158" s="89" t="s">
        <v>343</v>
      </c>
      <c r="B158" s="287" t="s">
        <v>341</v>
      </c>
      <c r="C158" s="288" t="s">
        <v>342</v>
      </c>
      <c r="D158" s="287" t="s">
        <v>21</v>
      </c>
      <c r="E158" s="287" t="s">
        <v>117</v>
      </c>
      <c r="F158" s="289">
        <v>2</v>
      </c>
      <c r="G158" s="289">
        <v>57.46</v>
      </c>
      <c r="H158" s="290">
        <f t="shared" si="40"/>
        <v>73.17531000000001</v>
      </c>
      <c r="I158" s="291">
        <f t="shared" si="41"/>
        <v>146.35062000000002</v>
      </c>
      <c r="J158" s="292"/>
      <c r="K158" s="293">
        <f t="shared" si="42"/>
        <v>0</v>
      </c>
      <c r="L158" s="291"/>
      <c r="M158" s="293">
        <f t="shared" si="43"/>
        <v>0</v>
      </c>
      <c r="N158" s="293">
        <f t="shared" si="44"/>
        <v>0</v>
      </c>
      <c r="O158" s="294">
        <f t="shared" si="45"/>
        <v>0</v>
      </c>
      <c r="P158" s="296"/>
      <c r="Q158" s="296"/>
    </row>
    <row r="159" spans="1:17" ht="38.25" x14ac:dyDescent="0.25">
      <c r="A159" s="89" t="s">
        <v>344</v>
      </c>
      <c r="B159" s="287" t="s">
        <v>345</v>
      </c>
      <c r="C159" s="288" t="s">
        <v>346</v>
      </c>
      <c r="D159" s="287" t="s">
        <v>21</v>
      </c>
      <c r="E159" s="287" t="s">
        <v>22</v>
      </c>
      <c r="F159" s="289">
        <v>585.29999999999995</v>
      </c>
      <c r="G159" s="289">
        <v>5.22</v>
      </c>
      <c r="H159" s="290">
        <f t="shared" si="40"/>
        <v>6.6476699999999997</v>
      </c>
      <c r="I159" s="291">
        <f t="shared" si="41"/>
        <v>3890.8812509999993</v>
      </c>
      <c r="J159" s="292"/>
      <c r="K159" s="293">
        <f t="shared" si="42"/>
        <v>0</v>
      </c>
      <c r="L159" s="291"/>
      <c r="M159" s="293">
        <f t="shared" si="43"/>
        <v>0</v>
      </c>
      <c r="N159" s="293">
        <f t="shared" si="44"/>
        <v>0</v>
      </c>
      <c r="O159" s="294">
        <f t="shared" si="45"/>
        <v>0</v>
      </c>
      <c r="P159" s="296"/>
      <c r="Q159" s="296"/>
    </row>
    <row r="160" spans="1:17" ht="38.25" x14ac:dyDescent="0.25">
      <c r="A160" s="89" t="s">
        <v>347</v>
      </c>
      <c r="B160" s="287" t="s">
        <v>348</v>
      </c>
      <c r="C160" s="288" t="s">
        <v>349</v>
      </c>
      <c r="D160" s="287" t="s">
        <v>21</v>
      </c>
      <c r="E160" s="287" t="s">
        <v>22</v>
      </c>
      <c r="F160" s="289">
        <v>451.74</v>
      </c>
      <c r="G160" s="289">
        <v>2.14</v>
      </c>
      <c r="H160" s="290">
        <f t="shared" si="40"/>
        <v>2.7252900000000002</v>
      </c>
      <c r="I160" s="291">
        <f t="shared" si="41"/>
        <v>1231.1225046000002</v>
      </c>
      <c r="J160" s="292"/>
      <c r="K160" s="293">
        <f t="shared" si="42"/>
        <v>0</v>
      </c>
      <c r="L160" s="291"/>
      <c r="M160" s="293">
        <f t="shared" si="43"/>
        <v>0</v>
      </c>
      <c r="N160" s="293">
        <f t="shared" si="44"/>
        <v>0</v>
      </c>
      <c r="O160" s="294">
        <f t="shared" si="45"/>
        <v>0</v>
      </c>
      <c r="P160" s="296"/>
      <c r="Q160" s="296"/>
    </row>
    <row r="161" spans="1:17" ht="25.5" x14ac:dyDescent="0.25">
      <c r="A161" s="89" t="s">
        <v>350</v>
      </c>
      <c r="B161" s="287" t="s">
        <v>351</v>
      </c>
      <c r="C161" s="288" t="s">
        <v>352</v>
      </c>
      <c r="D161" s="287"/>
      <c r="E161" s="287" t="s">
        <v>353</v>
      </c>
      <c r="F161" s="289">
        <v>1</v>
      </c>
      <c r="G161" s="289">
        <v>180</v>
      </c>
      <c r="H161" s="290">
        <f t="shared" si="40"/>
        <v>229.23000000000002</v>
      </c>
      <c r="I161" s="291">
        <f t="shared" si="41"/>
        <v>229.23000000000002</v>
      </c>
      <c r="J161" s="292"/>
      <c r="K161" s="293">
        <f t="shared" si="42"/>
        <v>0</v>
      </c>
      <c r="L161" s="291"/>
      <c r="M161" s="293">
        <f t="shared" si="43"/>
        <v>0</v>
      </c>
      <c r="N161" s="293">
        <f t="shared" si="44"/>
        <v>0</v>
      </c>
      <c r="O161" s="294">
        <f t="shared" si="45"/>
        <v>0</v>
      </c>
      <c r="P161" s="296"/>
      <c r="Q161" s="296"/>
    </row>
    <row r="162" spans="1:17" ht="38.25" x14ac:dyDescent="0.25">
      <c r="A162" s="89" t="s">
        <v>354</v>
      </c>
      <c r="B162" s="287" t="s">
        <v>355</v>
      </c>
      <c r="C162" s="288" t="s">
        <v>356</v>
      </c>
      <c r="D162" s="287" t="s">
        <v>21</v>
      </c>
      <c r="E162" s="287" t="s">
        <v>117</v>
      </c>
      <c r="F162" s="289">
        <v>3</v>
      </c>
      <c r="G162" s="289">
        <v>31.04</v>
      </c>
      <c r="H162" s="290">
        <f t="shared" si="40"/>
        <v>39.529440000000001</v>
      </c>
      <c r="I162" s="291">
        <f t="shared" si="41"/>
        <v>118.58832000000001</v>
      </c>
      <c r="J162" s="292"/>
      <c r="K162" s="293">
        <f t="shared" si="42"/>
        <v>0</v>
      </c>
      <c r="L162" s="291"/>
      <c r="M162" s="293">
        <f t="shared" si="43"/>
        <v>0</v>
      </c>
      <c r="N162" s="293">
        <f t="shared" si="44"/>
        <v>0</v>
      </c>
      <c r="O162" s="294">
        <f t="shared" si="45"/>
        <v>0</v>
      </c>
      <c r="P162" s="296"/>
      <c r="Q162" s="296"/>
    </row>
    <row r="163" spans="1:17" ht="25.5" x14ac:dyDescent="0.25">
      <c r="A163" s="89" t="s">
        <v>357</v>
      </c>
      <c r="B163" s="287" t="s">
        <v>351</v>
      </c>
      <c r="C163" s="288" t="s">
        <v>352</v>
      </c>
      <c r="D163" s="287"/>
      <c r="E163" s="287" t="s">
        <v>307</v>
      </c>
      <c r="F163" s="289">
        <v>3</v>
      </c>
      <c r="G163" s="289">
        <v>4.0199999999999996</v>
      </c>
      <c r="H163" s="290">
        <f t="shared" si="40"/>
        <v>5.1194699999999997</v>
      </c>
      <c r="I163" s="291">
        <f t="shared" si="41"/>
        <v>15.358409999999999</v>
      </c>
      <c r="J163" s="292"/>
      <c r="K163" s="293">
        <f t="shared" si="42"/>
        <v>0</v>
      </c>
      <c r="L163" s="291"/>
      <c r="M163" s="293">
        <f t="shared" si="43"/>
        <v>0</v>
      </c>
      <c r="N163" s="293">
        <f t="shared" si="44"/>
        <v>0</v>
      </c>
      <c r="O163" s="294">
        <f t="shared" si="45"/>
        <v>0</v>
      </c>
      <c r="P163" s="296"/>
      <c r="Q163" s="296"/>
    </row>
    <row r="164" spans="1:17" x14ac:dyDescent="0.25">
      <c r="A164" s="89" t="s">
        <v>358</v>
      </c>
      <c r="B164" s="287" t="s">
        <v>359</v>
      </c>
      <c r="C164" s="288" t="s">
        <v>360</v>
      </c>
      <c r="D164" s="287" t="s">
        <v>12</v>
      </c>
      <c r="E164" s="287" t="s">
        <v>361</v>
      </c>
      <c r="F164" s="289">
        <v>0.5</v>
      </c>
      <c r="G164" s="289">
        <v>20.49</v>
      </c>
      <c r="H164" s="290">
        <f t="shared" si="40"/>
        <v>26.094014999999999</v>
      </c>
      <c r="I164" s="291">
        <f t="shared" si="41"/>
        <v>13.047007499999999</v>
      </c>
      <c r="J164" s="292"/>
      <c r="K164" s="293">
        <f t="shared" si="42"/>
        <v>0</v>
      </c>
      <c r="L164" s="291"/>
      <c r="M164" s="293">
        <f t="shared" si="43"/>
        <v>0</v>
      </c>
      <c r="N164" s="293">
        <f t="shared" si="44"/>
        <v>0</v>
      </c>
      <c r="O164" s="294">
        <f t="shared" si="45"/>
        <v>0</v>
      </c>
      <c r="P164" s="296"/>
      <c r="Q164" s="296"/>
    </row>
    <row r="165" spans="1:17" ht="25.5" x14ac:dyDescent="0.25">
      <c r="A165" s="89" t="s">
        <v>362</v>
      </c>
      <c r="B165" s="287" t="s">
        <v>363</v>
      </c>
      <c r="C165" s="288" t="s">
        <v>364</v>
      </c>
      <c r="D165" s="287" t="s">
        <v>21</v>
      </c>
      <c r="E165" s="287" t="s">
        <v>117</v>
      </c>
      <c r="F165" s="289">
        <v>3</v>
      </c>
      <c r="G165" s="289">
        <v>47.34</v>
      </c>
      <c r="H165" s="290">
        <f t="shared" si="40"/>
        <v>60.287490000000005</v>
      </c>
      <c r="I165" s="291">
        <f t="shared" si="41"/>
        <v>180.86247000000003</v>
      </c>
      <c r="J165" s="292"/>
      <c r="K165" s="293">
        <f t="shared" si="42"/>
        <v>0</v>
      </c>
      <c r="L165" s="291"/>
      <c r="M165" s="293">
        <f t="shared" si="43"/>
        <v>0</v>
      </c>
      <c r="N165" s="293">
        <f t="shared" si="44"/>
        <v>0</v>
      </c>
      <c r="O165" s="294">
        <f t="shared" si="45"/>
        <v>0</v>
      </c>
      <c r="P165" s="296"/>
      <c r="Q165" s="296"/>
    </row>
    <row r="166" spans="1:17" x14ac:dyDescent="0.25">
      <c r="A166" s="89" t="s">
        <v>365</v>
      </c>
      <c r="B166" s="287" t="s">
        <v>366</v>
      </c>
      <c r="C166" s="288" t="s">
        <v>367</v>
      </c>
      <c r="D166" s="287" t="s">
        <v>12</v>
      </c>
      <c r="E166" s="287" t="s">
        <v>252</v>
      </c>
      <c r="F166" s="289">
        <v>10</v>
      </c>
      <c r="G166" s="289">
        <v>9.59</v>
      </c>
      <c r="H166" s="290">
        <f t="shared" si="40"/>
        <v>12.212865000000001</v>
      </c>
      <c r="I166" s="291">
        <f t="shared" si="41"/>
        <v>122.12865000000001</v>
      </c>
      <c r="J166" s="292"/>
      <c r="K166" s="293">
        <f t="shared" si="42"/>
        <v>0</v>
      </c>
      <c r="L166" s="291"/>
      <c r="M166" s="293">
        <f t="shared" si="43"/>
        <v>0</v>
      </c>
      <c r="N166" s="293">
        <f t="shared" si="44"/>
        <v>0</v>
      </c>
      <c r="O166" s="294">
        <f t="shared" si="45"/>
        <v>0</v>
      </c>
      <c r="P166" s="296"/>
      <c r="Q166" s="296"/>
    </row>
    <row r="167" spans="1:17" ht="38.25" x14ac:dyDescent="0.25">
      <c r="A167" s="89" t="s">
        <v>368</v>
      </c>
      <c r="B167" s="287" t="s">
        <v>369</v>
      </c>
      <c r="C167" s="288" t="s">
        <v>370</v>
      </c>
      <c r="D167" s="287" t="s">
        <v>21</v>
      </c>
      <c r="E167" s="287" t="s">
        <v>22</v>
      </c>
      <c r="F167" s="289">
        <v>585.29999999999995</v>
      </c>
      <c r="G167" s="289">
        <v>3.16</v>
      </c>
      <c r="H167" s="290">
        <f t="shared" si="40"/>
        <v>4.0242600000000008</v>
      </c>
      <c r="I167" s="291">
        <f t="shared" si="41"/>
        <v>2355.3993780000005</v>
      </c>
      <c r="J167" s="292"/>
      <c r="K167" s="293">
        <f t="shared" si="42"/>
        <v>0</v>
      </c>
      <c r="L167" s="291"/>
      <c r="M167" s="293">
        <f t="shared" si="43"/>
        <v>0</v>
      </c>
      <c r="N167" s="293">
        <f t="shared" si="44"/>
        <v>0</v>
      </c>
      <c r="O167" s="294">
        <f t="shared" si="45"/>
        <v>0</v>
      </c>
      <c r="P167" s="296"/>
      <c r="Q167" s="296"/>
    </row>
    <row r="168" spans="1:17" ht="38.25" x14ac:dyDescent="0.25">
      <c r="A168" s="89" t="s">
        <v>371</v>
      </c>
      <c r="B168" s="287" t="s">
        <v>348</v>
      </c>
      <c r="C168" s="288" t="s">
        <v>349</v>
      </c>
      <c r="D168" s="287" t="s">
        <v>21</v>
      </c>
      <c r="E168" s="287" t="s">
        <v>22</v>
      </c>
      <c r="F168" s="289">
        <v>451.74</v>
      </c>
      <c r="G168" s="289">
        <v>2.14</v>
      </c>
      <c r="H168" s="290">
        <f t="shared" si="40"/>
        <v>2.7252900000000002</v>
      </c>
      <c r="I168" s="291">
        <f t="shared" si="41"/>
        <v>1231.1225046000002</v>
      </c>
      <c r="J168" s="292"/>
      <c r="K168" s="293">
        <f t="shared" si="42"/>
        <v>0</v>
      </c>
      <c r="L168" s="291"/>
      <c r="M168" s="293">
        <f t="shared" si="43"/>
        <v>0</v>
      </c>
      <c r="N168" s="293">
        <f t="shared" si="44"/>
        <v>0</v>
      </c>
      <c r="O168" s="294">
        <f t="shared" si="45"/>
        <v>0</v>
      </c>
      <c r="P168" s="296"/>
      <c r="Q168" s="296"/>
    </row>
    <row r="169" spans="1:17" ht="38.25" x14ac:dyDescent="0.25">
      <c r="A169" s="89" t="s">
        <v>372</v>
      </c>
      <c r="B169" s="287" t="s">
        <v>369</v>
      </c>
      <c r="C169" s="288" t="s">
        <v>370</v>
      </c>
      <c r="D169" s="287" t="s">
        <v>21</v>
      </c>
      <c r="E169" s="287" t="s">
        <v>22</v>
      </c>
      <c r="F169" s="289">
        <v>275.5</v>
      </c>
      <c r="G169" s="289">
        <v>3.16</v>
      </c>
      <c r="H169" s="290">
        <f t="shared" si="40"/>
        <v>4.0242600000000008</v>
      </c>
      <c r="I169" s="291">
        <f t="shared" si="41"/>
        <v>1108.6836300000002</v>
      </c>
      <c r="J169" s="292"/>
      <c r="K169" s="293">
        <f t="shared" si="42"/>
        <v>0</v>
      </c>
      <c r="L169" s="291"/>
      <c r="M169" s="293">
        <f t="shared" si="43"/>
        <v>0</v>
      </c>
      <c r="N169" s="293">
        <f t="shared" si="44"/>
        <v>0</v>
      </c>
      <c r="O169" s="294">
        <f t="shared" si="45"/>
        <v>0</v>
      </c>
      <c r="P169" s="296"/>
      <c r="Q169" s="296"/>
    </row>
    <row r="170" spans="1:17" ht="38.25" x14ac:dyDescent="0.25">
      <c r="A170" s="89" t="s">
        <v>373</v>
      </c>
      <c r="B170" s="287" t="s">
        <v>369</v>
      </c>
      <c r="C170" s="288" t="s">
        <v>370</v>
      </c>
      <c r="D170" s="287" t="s">
        <v>21</v>
      </c>
      <c r="E170" s="287" t="s">
        <v>22</v>
      </c>
      <c r="F170" s="289">
        <v>299.24</v>
      </c>
      <c r="G170" s="289">
        <v>3.16</v>
      </c>
      <c r="H170" s="290">
        <f t="shared" si="40"/>
        <v>4.0242600000000008</v>
      </c>
      <c r="I170" s="291">
        <f t="shared" si="41"/>
        <v>1204.2195624000003</v>
      </c>
      <c r="J170" s="292"/>
      <c r="K170" s="293">
        <f t="shared" si="42"/>
        <v>0</v>
      </c>
      <c r="L170" s="291"/>
      <c r="M170" s="293">
        <f t="shared" si="43"/>
        <v>0</v>
      </c>
      <c r="N170" s="293">
        <f t="shared" si="44"/>
        <v>0</v>
      </c>
      <c r="O170" s="294">
        <f t="shared" si="45"/>
        <v>0</v>
      </c>
      <c r="P170" s="296"/>
      <c r="Q170" s="296"/>
    </row>
    <row r="171" spans="1:17" ht="76.5" x14ac:dyDescent="0.25">
      <c r="A171" s="89" t="s">
        <v>374</v>
      </c>
      <c r="B171" s="287" t="s">
        <v>375</v>
      </c>
      <c r="C171" s="288" t="s">
        <v>376</v>
      </c>
      <c r="D171" s="287" t="s">
        <v>21</v>
      </c>
      <c r="E171" s="287" t="s">
        <v>22</v>
      </c>
      <c r="F171" s="289">
        <v>63.81</v>
      </c>
      <c r="G171" s="289">
        <v>12.72</v>
      </c>
      <c r="H171" s="290">
        <f t="shared" si="40"/>
        <v>16.198920000000001</v>
      </c>
      <c r="I171" s="291">
        <f t="shared" si="41"/>
        <v>1033.6530852000001</v>
      </c>
      <c r="J171" s="292"/>
      <c r="K171" s="293">
        <f t="shared" si="42"/>
        <v>0</v>
      </c>
      <c r="L171" s="291"/>
      <c r="M171" s="293">
        <f t="shared" si="43"/>
        <v>0</v>
      </c>
      <c r="N171" s="293">
        <f t="shared" si="44"/>
        <v>0</v>
      </c>
      <c r="O171" s="294">
        <f t="shared" si="45"/>
        <v>0</v>
      </c>
      <c r="P171" s="296"/>
      <c r="Q171" s="296"/>
    </row>
    <row r="172" spans="1:17" ht="38.25" x14ac:dyDescent="0.25">
      <c r="A172" s="89" t="s">
        <v>377</v>
      </c>
      <c r="B172" s="287" t="s">
        <v>375</v>
      </c>
      <c r="C172" s="288" t="s">
        <v>378</v>
      </c>
      <c r="D172" s="287" t="s">
        <v>21</v>
      </c>
      <c r="E172" s="287" t="s">
        <v>22</v>
      </c>
      <c r="F172" s="289">
        <v>21.27</v>
      </c>
      <c r="G172" s="289">
        <v>12.72</v>
      </c>
      <c r="H172" s="290">
        <f t="shared" si="40"/>
        <v>16.198920000000001</v>
      </c>
      <c r="I172" s="291">
        <f t="shared" si="41"/>
        <v>344.55102840000001</v>
      </c>
      <c r="J172" s="292"/>
      <c r="K172" s="293">
        <f t="shared" si="42"/>
        <v>0</v>
      </c>
      <c r="L172" s="291"/>
      <c r="M172" s="293">
        <f t="shared" si="43"/>
        <v>0</v>
      </c>
      <c r="N172" s="293">
        <f t="shared" si="44"/>
        <v>0</v>
      </c>
      <c r="O172" s="294">
        <f t="shared" si="45"/>
        <v>0</v>
      </c>
      <c r="P172" s="296"/>
      <c r="Q172" s="296"/>
    </row>
    <row r="173" spans="1:17" ht="38.25" x14ac:dyDescent="0.25">
      <c r="A173" s="89" t="s">
        <v>379</v>
      </c>
      <c r="B173" s="287" t="s">
        <v>375</v>
      </c>
      <c r="C173" s="288" t="s">
        <v>378</v>
      </c>
      <c r="D173" s="287" t="s">
        <v>21</v>
      </c>
      <c r="E173" s="287" t="s">
        <v>22</v>
      </c>
      <c r="F173" s="289">
        <v>21.27</v>
      </c>
      <c r="G173" s="289">
        <v>12.72</v>
      </c>
      <c r="H173" s="290">
        <f t="shared" si="40"/>
        <v>16.198920000000001</v>
      </c>
      <c r="I173" s="291">
        <f t="shared" si="41"/>
        <v>344.55102840000001</v>
      </c>
      <c r="J173" s="292"/>
      <c r="K173" s="293">
        <f t="shared" si="42"/>
        <v>0</v>
      </c>
      <c r="L173" s="291"/>
      <c r="M173" s="293">
        <f t="shared" si="43"/>
        <v>0</v>
      </c>
      <c r="N173" s="293">
        <f t="shared" si="44"/>
        <v>0</v>
      </c>
      <c r="O173" s="294">
        <f t="shared" si="45"/>
        <v>0</v>
      </c>
      <c r="P173" s="296"/>
      <c r="Q173" s="296"/>
    </row>
    <row r="174" spans="1:17" ht="51" x14ac:dyDescent="0.25">
      <c r="A174" s="89" t="s">
        <v>380</v>
      </c>
      <c r="B174" s="287" t="s">
        <v>315</v>
      </c>
      <c r="C174" s="288" t="s">
        <v>316</v>
      </c>
      <c r="D174" s="287" t="s">
        <v>21</v>
      </c>
      <c r="E174" s="287" t="s">
        <v>117</v>
      </c>
      <c r="F174" s="289">
        <v>15</v>
      </c>
      <c r="G174" s="289">
        <v>30.42</v>
      </c>
      <c r="H174" s="290">
        <f t="shared" si="40"/>
        <v>38.739870000000003</v>
      </c>
      <c r="I174" s="291">
        <f t="shared" si="41"/>
        <v>581.09805000000006</v>
      </c>
      <c r="J174" s="292"/>
      <c r="K174" s="293">
        <f t="shared" si="42"/>
        <v>0</v>
      </c>
      <c r="L174" s="291"/>
      <c r="M174" s="293">
        <f t="shared" si="43"/>
        <v>0</v>
      </c>
      <c r="N174" s="293">
        <f t="shared" si="44"/>
        <v>0</v>
      </c>
      <c r="O174" s="294">
        <f t="shared" si="45"/>
        <v>0</v>
      </c>
      <c r="P174" s="296"/>
      <c r="Q174" s="296"/>
    </row>
    <row r="175" spans="1:17" ht="51" x14ac:dyDescent="0.25">
      <c r="A175" s="89" t="s">
        <v>381</v>
      </c>
      <c r="B175" s="287" t="s">
        <v>382</v>
      </c>
      <c r="C175" s="288" t="s">
        <v>383</v>
      </c>
      <c r="D175" s="287" t="s">
        <v>21</v>
      </c>
      <c r="E175" s="287" t="s">
        <v>117</v>
      </c>
      <c r="F175" s="289">
        <v>24</v>
      </c>
      <c r="G175" s="289">
        <v>25.12</v>
      </c>
      <c r="H175" s="290">
        <f t="shared" si="40"/>
        <v>31.990320000000004</v>
      </c>
      <c r="I175" s="291">
        <f t="shared" si="41"/>
        <v>767.76768000000015</v>
      </c>
      <c r="J175" s="292"/>
      <c r="K175" s="293">
        <f t="shared" si="42"/>
        <v>0</v>
      </c>
      <c r="L175" s="291"/>
      <c r="M175" s="293">
        <f t="shared" si="43"/>
        <v>0</v>
      </c>
      <c r="N175" s="293">
        <f t="shared" si="44"/>
        <v>0</v>
      </c>
      <c r="O175" s="294">
        <f t="shared" si="45"/>
        <v>0</v>
      </c>
      <c r="P175" s="296"/>
      <c r="Q175" s="296"/>
    </row>
    <row r="176" spans="1:17" x14ac:dyDescent="0.25">
      <c r="A176" s="89"/>
      <c r="B176" s="297"/>
      <c r="C176" s="298"/>
      <c r="D176" s="297"/>
      <c r="E176" s="297"/>
      <c r="F176" s="299"/>
      <c r="G176" s="299"/>
      <c r="H176" s="300"/>
      <c r="I176" s="301">
        <f>SUM(I129:I175)</f>
        <v>41213.271887999996</v>
      </c>
      <c r="J176" s="301">
        <f t="shared" ref="J176:K176" si="46">SUM(J129:J175)</f>
        <v>0</v>
      </c>
      <c r="K176" s="302">
        <f t="shared" si="46"/>
        <v>0</v>
      </c>
      <c r="L176" s="301"/>
      <c r="M176" s="293">
        <f t="shared" si="43"/>
        <v>0</v>
      </c>
      <c r="N176" s="293">
        <f t="shared" si="44"/>
        <v>0</v>
      </c>
      <c r="O176" s="294">
        <f t="shared" si="45"/>
        <v>0</v>
      </c>
      <c r="P176" s="296"/>
      <c r="Q176" s="296"/>
    </row>
    <row r="177" spans="1:17" s="230" customFormat="1" x14ac:dyDescent="0.25">
      <c r="A177" s="89"/>
      <c r="B177" s="303"/>
      <c r="C177" s="304"/>
      <c r="D177" s="287"/>
      <c r="E177" s="287"/>
      <c r="F177" s="289"/>
      <c r="G177" s="289"/>
      <c r="H177" s="290"/>
      <c r="I177" s="305"/>
      <c r="J177" s="306"/>
      <c r="K177" s="293"/>
      <c r="L177" s="305"/>
      <c r="M177" s="293"/>
      <c r="N177" s="293"/>
      <c r="O177" s="294"/>
      <c r="P177" s="296"/>
      <c r="Q177" s="296"/>
    </row>
    <row r="178" spans="1:17" ht="20.100000000000001" customHeight="1" x14ac:dyDescent="0.25">
      <c r="A178" s="307" t="s">
        <v>384</v>
      </c>
      <c r="B178" s="308" t="s">
        <v>385</v>
      </c>
      <c r="C178" s="309"/>
      <c r="D178" s="281"/>
      <c r="E178" s="281"/>
      <c r="F178" s="281"/>
      <c r="G178" s="281"/>
      <c r="H178" s="281"/>
      <c r="I178" s="281"/>
      <c r="J178" s="281"/>
      <c r="K178" s="281"/>
      <c r="L178" s="281"/>
      <c r="M178" s="281"/>
      <c r="N178" s="281"/>
      <c r="O178" s="294"/>
      <c r="P178" s="296"/>
      <c r="Q178" s="296"/>
    </row>
    <row r="179" spans="1:17" ht="51" x14ac:dyDescent="0.25">
      <c r="A179" s="89" t="s">
        <v>386</v>
      </c>
      <c r="B179" s="287" t="s">
        <v>387</v>
      </c>
      <c r="C179" s="288" t="s">
        <v>388</v>
      </c>
      <c r="D179" s="287" t="s">
        <v>21</v>
      </c>
      <c r="E179" s="287" t="s">
        <v>117</v>
      </c>
      <c r="F179" s="289">
        <v>6</v>
      </c>
      <c r="G179" s="289">
        <v>23.62</v>
      </c>
      <c r="H179" s="290">
        <f t="shared" ref="H179:H238" si="47">G179*$Q$10</f>
        <v>30.080070000000003</v>
      </c>
      <c r="I179" s="291">
        <f t="shared" ref="I179:I238" si="48">H179*F179</f>
        <v>180.48042000000001</v>
      </c>
      <c r="J179" s="292"/>
      <c r="K179" s="293">
        <f t="shared" si="42"/>
        <v>0</v>
      </c>
      <c r="L179" s="291"/>
      <c r="M179" s="293">
        <f t="shared" si="43"/>
        <v>0</v>
      </c>
      <c r="N179" s="293">
        <f t="shared" si="44"/>
        <v>0</v>
      </c>
      <c r="O179" s="294">
        <f t="shared" si="45"/>
        <v>0</v>
      </c>
      <c r="P179" s="296"/>
      <c r="Q179" s="296"/>
    </row>
    <row r="180" spans="1:17" s="230" customFormat="1" ht="25.5" x14ac:dyDescent="0.25">
      <c r="A180" s="89" t="s">
        <v>389</v>
      </c>
      <c r="B180" s="287" t="s">
        <v>390</v>
      </c>
      <c r="C180" s="288" t="s">
        <v>391</v>
      </c>
      <c r="D180" s="287" t="s">
        <v>21</v>
      </c>
      <c r="E180" s="287" t="s">
        <v>117</v>
      </c>
      <c r="F180" s="289">
        <v>0</v>
      </c>
      <c r="G180" s="289">
        <v>24.17</v>
      </c>
      <c r="H180" s="290">
        <f t="shared" si="47"/>
        <v>30.780495000000005</v>
      </c>
      <c r="I180" s="291">
        <f t="shared" si="48"/>
        <v>0</v>
      </c>
      <c r="J180" s="292"/>
      <c r="K180" s="293">
        <f t="shared" si="42"/>
        <v>0</v>
      </c>
      <c r="L180" s="291"/>
      <c r="M180" s="293">
        <f t="shared" si="43"/>
        <v>0</v>
      </c>
      <c r="N180" s="293">
        <f t="shared" si="44"/>
        <v>0</v>
      </c>
      <c r="O180" s="294"/>
      <c r="P180" s="296"/>
      <c r="Q180" s="296"/>
    </row>
    <row r="181" spans="1:17" ht="51" x14ac:dyDescent="0.25">
      <c r="A181" s="89" t="s">
        <v>392</v>
      </c>
      <c r="B181" s="287" t="s">
        <v>393</v>
      </c>
      <c r="C181" s="288" t="s">
        <v>394</v>
      </c>
      <c r="D181" s="287" t="s">
        <v>21</v>
      </c>
      <c r="E181" s="287" t="s">
        <v>117</v>
      </c>
      <c r="F181" s="289">
        <v>6</v>
      </c>
      <c r="G181" s="289">
        <v>7.69</v>
      </c>
      <c r="H181" s="290">
        <f t="shared" si="47"/>
        <v>9.7932150000000018</v>
      </c>
      <c r="I181" s="291">
        <f t="shared" si="48"/>
        <v>58.759290000000007</v>
      </c>
      <c r="J181" s="292"/>
      <c r="K181" s="293">
        <f t="shared" si="42"/>
        <v>0</v>
      </c>
      <c r="L181" s="291"/>
      <c r="M181" s="293">
        <f t="shared" si="43"/>
        <v>0</v>
      </c>
      <c r="N181" s="293">
        <f t="shared" si="44"/>
        <v>0</v>
      </c>
      <c r="O181" s="294">
        <f t="shared" si="45"/>
        <v>0</v>
      </c>
      <c r="P181" s="296"/>
      <c r="Q181" s="296"/>
    </row>
    <row r="182" spans="1:17" ht="51" x14ac:dyDescent="0.25">
      <c r="A182" s="89" t="s">
        <v>395</v>
      </c>
      <c r="B182" s="287" t="s">
        <v>396</v>
      </c>
      <c r="C182" s="288" t="s">
        <v>397</v>
      </c>
      <c r="D182" s="287" t="s">
        <v>21</v>
      </c>
      <c r="E182" s="287" t="s">
        <v>117</v>
      </c>
      <c r="F182" s="289">
        <v>12</v>
      </c>
      <c r="G182" s="289">
        <v>422.31</v>
      </c>
      <c r="H182" s="290">
        <f t="shared" si="47"/>
        <v>537.81178499999999</v>
      </c>
      <c r="I182" s="291">
        <f t="shared" si="48"/>
        <v>6453.7414200000003</v>
      </c>
      <c r="J182" s="292"/>
      <c r="K182" s="293">
        <f t="shared" si="42"/>
        <v>0</v>
      </c>
      <c r="L182" s="291"/>
      <c r="M182" s="293">
        <f t="shared" si="43"/>
        <v>0</v>
      </c>
      <c r="N182" s="293">
        <f t="shared" si="44"/>
        <v>0</v>
      </c>
      <c r="O182" s="294">
        <f t="shared" si="45"/>
        <v>0</v>
      </c>
      <c r="P182" s="296"/>
      <c r="Q182" s="296"/>
    </row>
    <row r="183" spans="1:17" ht="25.5" x14ac:dyDescent="0.25">
      <c r="A183" s="89" t="s">
        <v>398</v>
      </c>
      <c r="B183" s="287" t="s">
        <v>399</v>
      </c>
      <c r="C183" s="288" t="s">
        <v>400</v>
      </c>
      <c r="D183" s="287" t="s">
        <v>21</v>
      </c>
      <c r="E183" s="287" t="s">
        <v>117</v>
      </c>
      <c r="F183" s="289">
        <v>2</v>
      </c>
      <c r="G183" s="289">
        <v>5.42</v>
      </c>
      <c r="H183" s="290">
        <f t="shared" si="47"/>
        <v>6.9023700000000003</v>
      </c>
      <c r="I183" s="291">
        <f t="shared" si="48"/>
        <v>13.804740000000001</v>
      </c>
      <c r="J183" s="292"/>
      <c r="K183" s="293">
        <f t="shared" si="42"/>
        <v>0</v>
      </c>
      <c r="L183" s="291"/>
      <c r="M183" s="293">
        <f t="shared" si="43"/>
        <v>0</v>
      </c>
      <c r="N183" s="293">
        <f t="shared" si="44"/>
        <v>0</v>
      </c>
      <c r="O183" s="294">
        <f t="shared" si="45"/>
        <v>0</v>
      </c>
      <c r="P183" s="296"/>
      <c r="Q183" s="296"/>
    </row>
    <row r="184" spans="1:17" ht="25.5" x14ac:dyDescent="0.25">
      <c r="A184" s="89" t="s">
        <v>401</v>
      </c>
      <c r="B184" s="287" t="s">
        <v>402</v>
      </c>
      <c r="C184" s="288" t="s">
        <v>403</v>
      </c>
      <c r="D184" s="287" t="s">
        <v>21</v>
      </c>
      <c r="E184" s="287" t="s">
        <v>117</v>
      </c>
      <c r="F184" s="289">
        <v>1</v>
      </c>
      <c r="G184" s="289">
        <v>0.43</v>
      </c>
      <c r="H184" s="290">
        <f t="shared" si="47"/>
        <v>0.54760500000000001</v>
      </c>
      <c r="I184" s="291">
        <f t="shared" si="48"/>
        <v>0.54760500000000001</v>
      </c>
      <c r="J184" s="292"/>
      <c r="K184" s="293">
        <f t="shared" si="42"/>
        <v>0</v>
      </c>
      <c r="L184" s="291"/>
      <c r="M184" s="293">
        <f t="shared" si="43"/>
        <v>0</v>
      </c>
      <c r="N184" s="293">
        <f t="shared" si="44"/>
        <v>0</v>
      </c>
      <c r="O184" s="294">
        <f t="shared" si="45"/>
        <v>0</v>
      </c>
      <c r="P184" s="296"/>
      <c r="Q184" s="296"/>
    </row>
    <row r="185" spans="1:17" ht="25.5" x14ac:dyDescent="0.25">
      <c r="A185" s="89" t="s">
        <v>404</v>
      </c>
      <c r="B185" s="287" t="s">
        <v>405</v>
      </c>
      <c r="C185" s="288" t="s">
        <v>406</v>
      </c>
      <c r="D185" s="287" t="s">
        <v>21</v>
      </c>
      <c r="E185" s="287" t="s">
        <v>117</v>
      </c>
      <c r="F185" s="289">
        <v>1</v>
      </c>
      <c r="G185" s="289">
        <v>4.17</v>
      </c>
      <c r="H185" s="290">
        <f t="shared" si="47"/>
        <v>5.3104950000000004</v>
      </c>
      <c r="I185" s="291">
        <f t="shared" si="48"/>
        <v>5.3104950000000004</v>
      </c>
      <c r="J185" s="292"/>
      <c r="K185" s="293">
        <f t="shared" si="42"/>
        <v>0</v>
      </c>
      <c r="L185" s="291"/>
      <c r="M185" s="293">
        <f t="shared" si="43"/>
        <v>0</v>
      </c>
      <c r="N185" s="293">
        <f t="shared" si="44"/>
        <v>0</v>
      </c>
      <c r="O185" s="294">
        <f t="shared" si="45"/>
        <v>0</v>
      </c>
      <c r="P185" s="296"/>
      <c r="Q185" s="296"/>
    </row>
    <row r="186" spans="1:17" ht="25.5" x14ac:dyDescent="0.25">
      <c r="A186" s="89" t="s">
        <v>407</v>
      </c>
      <c r="B186" s="287" t="s">
        <v>408</v>
      </c>
      <c r="C186" s="288" t="s">
        <v>409</v>
      </c>
      <c r="D186" s="287" t="s">
        <v>21</v>
      </c>
      <c r="E186" s="287" t="s">
        <v>117</v>
      </c>
      <c r="F186" s="289">
        <v>11</v>
      </c>
      <c r="G186" s="289">
        <v>5.29</v>
      </c>
      <c r="H186" s="290">
        <f t="shared" si="47"/>
        <v>6.7368150000000009</v>
      </c>
      <c r="I186" s="291">
        <f t="shared" si="48"/>
        <v>74.104965000000007</v>
      </c>
      <c r="J186" s="292"/>
      <c r="K186" s="293">
        <f t="shared" si="42"/>
        <v>0</v>
      </c>
      <c r="L186" s="291"/>
      <c r="M186" s="293">
        <f t="shared" si="43"/>
        <v>0</v>
      </c>
      <c r="N186" s="293">
        <f t="shared" si="44"/>
        <v>0</v>
      </c>
      <c r="O186" s="294">
        <f t="shared" si="45"/>
        <v>0</v>
      </c>
      <c r="P186" s="296"/>
      <c r="Q186" s="296"/>
    </row>
    <row r="187" spans="1:17" ht="38.25" x14ac:dyDescent="0.25">
      <c r="A187" s="89" t="s">
        <v>410</v>
      </c>
      <c r="B187" s="287" t="s">
        <v>411</v>
      </c>
      <c r="C187" s="288" t="s">
        <v>412</v>
      </c>
      <c r="D187" s="287" t="s">
        <v>21</v>
      </c>
      <c r="E187" s="287" t="s">
        <v>117</v>
      </c>
      <c r="F187" s="289">
        <v>64</v>
      </c>
      <c r="G187" s="289">
        <v>5.89</v>
      </c>
      <c r="H187" s="290">
        <f t="shared" si="47"/>
        <v>7.500915</v>
      </c>
      <c r="I187" s="291">
        <f t="shared" si="48"/>
        <v>480.05856</v>
      </c>
      <c r="J187" s="292"/>
      <c r="K187" s="293">
        <f t="shared" si="42"/>
        <v>0</v>
      </c>
      <c r="L187" s="291"/>
      <c r="M187" s="293">
        <f t="shared" si="43"/>
        <v>0</v>
      </c>
      <c r="N187" s="293">
        <f t="shared" si="44"/>
        <v>0</v>
      </c>
      <c r="O187" s="294">
        <f t="shared" si="45"/>
        <v>0</v>
      </c>
      <c r="P187" s="296"/>
      <c r="Q187" s="296"/>
    </row>
    <row r="188" spans="1:17" ht="38.25" x14ac:dyDescent="0.25">
      <c r="A188" s="89" t="s">
        <v>413</v>
      </c>
      <c r="B188" s="287" t="s">
        <v>414</v>
      </c>
      <c r="C188" s="288" t="s">
        <v>415</v>
      </c>
      <c r="D188" s="287" t="s">
        <v>21</v>
      </c>
      <c r="E188" s="287" t="s">
        <v>117</v>
      </c>
      <c r="F188" s="289">
        <v>5</v>
      </c>
      <c r="G188" s="289">
        <v>10.46</v>
      </c>
      <c r="H188" s="290">
        <f t="shared" si="47"/>
        <v>13.320810000000002</v>
      </c>
      <c r="I188" s="291">
        <f t="shared" si="48"/>
        <v>66.604050000000001</v>
      </c>
      <c r="J188" s="292"/>
      <c r="K188" s="293">
        <f t="shared" si="42"/>
        <v>0</v>
      </c>
      <c r="L188" s="291"/>
      <c r="M188" s="293">
        <f t="shared" si="43"/>
        <v>0</v>
      </c>
      <c r="N188" s="293">
        <f t="shared" si="44"/>
        <v>0</v>
      </c>
      <c r="O188" s="294">
        <f t="shared" si="45"/>
        <v>0</v>
      </c>
      <c r="P188" s="296"/>
      <c r="Q188" s="296"/>
    </row>
    <row r="189" spans="1:17" ht="38.25" x14ac:dyDescent="0.25">
      <c r="A189" s="89" t="s">
        <v>416</v>
      </c>
      <c r="B189" s="287" t="s">
        <v>417</v>
      </c>
      <c r="C189" s="288" t="s">
        <v>418</v>
      </c>
      <c r="D189" s="287" t="s">
        <v>21</v>
      </c>
      <c r="E189" s="287" t="s">
        <v>117</v>
      </c>
      <c r="F189" s="289">
        <v>20</v>
      </c>
      <c r="G189" s="289">
        <v>12.41</v>
      </c>
      <c r="H189" s="290">
        <f t="shared" si="47"/>
        <v>15.804135</v>
      </c>
      <c r="I189" s="291">
        <f t="shared" si="48"/>
        <v>316.08269999999999</v>
      </c>
      <c r="J189" s="292"/>
      <c r="K189" s="293">
        <f t="shared" si="42"/>
        <v>0</v>
      </c>
      <c r="L189" s="291"/>
      <c r="M189" s="293">
        <f t="shared" si="43"/>
        <v>0</v>
      </c>
      <c r="N189" s="293">
        <f t="shared" si="44"/>
        <v>0</v>
      </c>
      <c r="O189" s="294">
        <f t="shared" si="45"/>
        <v>0</v>
      </c>
      <c r="P189" s="296"/>
      <c r="Q189" s="296"/>
    </row>
    <row r="190" spans="1:17" ht="38.25" x14ac:dyDescent="0.25">
      <c r="A190" s="89" t="s">
        <v>419</v>
      </c>
      <c r="B190" s="287" t="s">
        <v>420</v>
      </c>
      <c r="C190" s="288" t="s">
        <v>421</v>
      </c>
      <c r="D190" s="287" t="s">
        <v>21</v>
      </c>
      <c r="E190" s="287" t="s">
        <v>117</v>
      </c>
      <c r="F190" s="289">
        <v>1</v>
      </c>
      <c r="G190" s="289">
        <v>8.6199999999999992</v>
      </c>
      <c r="H190" s="290">
        <f t="shared" si="47"/>
        <v>10.97757</v>
      </c>
      <c r="I190" s="291">
        <f t="shared" si="48"/>
        <v>10.97757</v>
      </c>
      <c r="J190" s="292"/>
      <c r="K190" s="293">
        <f t="shared" si="42"/>
        <v>0</v>
      </c>
      <c r="L190" s="291"/>
      <c r="M190" s="293">
        <f t="shared" si="43"/>
        <v>0</v>
      </c>
      <c r="N190" s="293">
        <f t="shared" si="44"/>
        <v>0</v>
      </c>
      <c r="O190" s="294">
        <f t="shared" si="45"/>
        <v>0</v>
      </c>
      <c r="P190" s="296"/>
      <c r="Q190" s="296"/>
    </row>
    <row r="191" spans="1:17" ht="38.25" x14ac:dyDescent="0.25">
      <c r="A191" s="89" t="s">
        <v>422</v>
      </c>
      <c r="B191" s="287" t="s">
        <v>423</v>
      </c>
      <c r="C191" s="288" t="s">
        <v>424</v>
      </c>
      <c r="D191" s="287" t="s">
        <v>21</v>
      </c>
      <c r="E191" s="287" t="s">
        <v>117</v>
      </c>
      <c r="F191" s="289">
        <v>2</v>
      </c>
      <c r="G191" s="289">
        <v>15.64</v>
      </c>
      <c r="H191" s="290">
        <f t="shared" si="47"/>
        <v>19.917540000000002</v>
      </c>
      <c r="I191" s="291">
        <f t="shared" si="48"/>
        <v>39.835080000000005</v>
      </c>
      <c r="J191" s="292"/>
      <c r="K191" s="293">
        <f t="shared" si="42"/>
        <v>0</v>
      </c>
      <c r="L191" s="291"/>
      <c r="M191" s="293">
        <f t="shared" si="43"/>
        <v>0</v>
      </c>
      <c r="N191" s="293">
        <f t="shared" si="44"/>
        <v>0</v>
      </c>
      <c r="O191" s="294">
        <f t="shared" si="45"/>
        <v>0</v>
      </c>
      <c r="P191" s="296"/>
      <c r="Q191" s="296"/>
    </row>
    <row r="192" spans="1:17" ht="38.25" x14ac:dyDescent="0.25">
      <c r="A192" s="89" t="s">
        <v>425</v>
      </c>
      <c r="B192" s="287" t="s">
        <v>426</v>
      </c>
      <c r="C192" s="288" t="s">
        <v>427</v>
      </c>
      <c r="D192" s="287" t="s">
        <v>21</v>
      </c>
      <c r="E192" s="287" t="s">
        <v>117</v>
      </c>
      <c r="F192" s="289">
        <v>2</v>
      </c>
      <c r="G192" s="289">
        <v>6.91</v>
      </c>
      <c r="H192" s="290">
        <f t="shared" si="47"/>
        <v>8.7998850000000015</v>
      </c>
      <c r="I192" s="291">
        <f t="shared" si="48"/>
        <v>17.599770000000003</v>
      </c>
      <c r="J192" s="292"/>
      <c r="K192" s="293">
        <f t="shared" si="42"/>
        <v>0</v>
      </c>
      <c r="L192" s="291"/>
      <c r="M192" s="293">
        <f t="shared" si="43"/>
        <v>0</v>
      </c>
      <c r="N192" s="293">
        <f t="shared" si="44"/>
        <v>0</v>
      </c>
      <c r="O192" s="294">
        <f t="shared" si="45"/>
        <v>0</v>
      </c>
      <c r="P192" s="296"/>
      <c r="Q192" s="296"/>
    </row>
    <row r="193" spans="1:17" ht="38.25" x14ac:dyDescent="0.25">
      <c r="A193" s="89" t="s">
        <v>428</v>
      </c>
      <c r="B193" s="287" t="s">
        <v>429</v>
      </c>
      <c r="C193" s="288" t="s">
        <v>430</v>
      </c>
      <c r="D193" s="287" t="s">
        <v>21</v>
      </c>
      <c r="E193" s="287" t="s">
        <v>117</v>
      </c>
      <c r="F193" s="289">
        <v>22</v>
      </c>
      <c r="G193" s="289">
        <v>8.26</v>
      </c>
      <c r="H193" s="290">
        <f t="shared" si="47"/>
        <v>10.51911</v>
      </c>
      <c r="I193" s="291">
        <f t="shared" si="48"/>
        <v>231.42041999999998</v>
      </c>
      <c r="J193" s="292"/>
      <c r="K193" s="293">
        <f t="shared" si="42"/>
        <v>0</v>
      </c>
      <c r="L193" s="291"/>
      <c r="M193" s="293">
        <f t="shared" si="43"/>
        <v>0</v>
      </c>
      <c r="N193" s="293">
        <f t="shared" si="44"/>
        <v>0</v>
      </c>
      <c r="O193" s="294">
        <f t="shared" si="45"/>
        <v>0</v>
      </c>
      <c r="P193" s="296"/>
      <c r="Q193" s="296"/>
    </row>
    <row r="194" spans="1:17" ht="38.25" x14ac:dyDescent="0.25">
      <c r="A194" s="89" t="s">
        <v>431</v>
      </c>
      <c r="B194" s="287" t="s">
        <v>432</v>
      </c>
      <c r="C194" s="288" t="s">
        <v>433</v>
      </c>
      <c r="D194" s="287" t="s">
        <v>21</v>
      </c>
      <c r="E194" s="287" t="s">
        <v>117</v>
      </c>
      <c r="F194" s="289">
        <v>1</v>
      </c>
      <c r="G194" s="289">
        <v>16.8</v>
      </c>
      <c r="H194" s="290">
        <f t="shared" si="47"/>
        <v>21.394800000000004</v>
      </c>
      <c r="I194" s="291">
        <f t="shared" si="48"/>
        <v>21.394800000000004</v>
      </c>
      <c r="J194" s="292"/>
      <c r="K194" s="293">
        <f t="shared" si="42"/>
        <v>0</v>
      </c>
      <c r="L194" s="291"/>
      <c r="M194" s="293">
        <f t="shared" si="43"/>
        <v>0</v>
      </c>
      <c r="N194" s="293">
        <f t="shared" si="44"/>
        <v>0</v>
      </c>
      <c r="O194" s="294">
        <f t="shared" si="45"/>
        <v>0</v>
      </c>
      <c r="P194" s="296"/>
      <c r="Q194" s="296"/>
    </row>
    <row r="195" spans="1:17" ht="51" x14ac:dyDescent="0.25">
      <c r="A195" s="89" t="s">
        <v>434</v>
      </c>
      <c r="B195" s="287" t="s">
        <v>435</v>
      </c>
      <c r="C195" s="288" t="s">
        <v>436</v>
      </c>
      <c r="D195" s="287" t="s">
        <v>21</v>
      </c>
      <c r="E195" s="287" t="s">
        <v>117</v>
      </c>
      <c r="F195" s="289">
        <v>17</v>
      </c>
      <c r="G195" s="289">
        <v>18.010000000000002</v>
      </c>
      <c r="H195" s="290">
        <f t="shared" si="47"/>
        <v>22.935735000000005</v>
      </c>
      <c r="I195" s="291">
        <f t="shared" si="48"/>
        <v>389.9074950000001</v>
      </c>
      <c r="J195" s="292"/>
      <c r="K195" s="293">
        <f t="shared" si="42"/>
        <v>0</v>
      </c>
      <c r="L195" s="291"/>
      <c r="M195" s="293">
        <f t="shared" si="43"/>
        <v>0</v>
      </c>
      <c r="N195" s="293">
        <f t="shared" si="44"/>
        <v>0</v>
      </c>
      <c r="O195" s="294">
        <f t="shared" si="45"/>
        <v>0</v>
      </c>
      <c r="P195" s="296"/>
      <c r="Q195" s="296"/>
    </row>
    <row r="196" spans="1:17" ht="38.25" x14ac:dyDescent="0.25">
      <c r="A196" s="89" t="s">
        <v>437</v>
      </c>
      <c r="B196" s="287" t="s">
        <v>438</v>
      </c>
      <c r="C196" s="288" t="s">
        <v>439</v>
      </c>
      <c r="D196" s="287" t="s">
        <v>21</v>
      </c>
      <c r="E196" s="287" t="s">
        <v>22</v>
      </c>
      <c r="F196" s="289">
        <v>63.76</v>
      </c>
      <c r="G196" s="289">
        <v>6.01</v>
      </c>
      <c r="H196" s="290">
        <f t="shared" si="47"/>
        <v>7.6537350000000002</v>
      </c>
      <c r="I196" s="291">
        <f t="shared" si="48"/>
        <v>488.00214360000001</v>
      </c>
      <c r="J196" s="292"/>
      <c r="K196" s="293">
        <f t="shared" si="42"/>
        <v>0</v>
      </c>
      <c r="L196" s="291"/>
      <c r="M196" s="293">
        <f t="shared" si="43"/>
        <v>0</v>
      </c>
      <c r="N196" s="293">
        <f t="shared" si="44"/>
        <v>0</v>
      </c>
      <c r="O196" s="294">
        <f t="shared" si="45"/>
        <v>0</v>
      </c>
      <c r="P196" s="296"/>
      <c r="Q196" s="296"/>
    </row>
    <row r="197" spans="1:17" ht="38.25" x14ac:dyDescent="0.25">
      <c r="A197" s="89" t="s">
        <v>440</v>
      </c>
      <c r="B197" s="287" t="s">
        <v>441</v>
      </c>
      <c r="C197" s="288" t="s">
        <v>442</v>
      </c>
      <c r="D197" s="287" t="s">
        <v>21</v>
      </c>
      <c r="E197" s="287" t="s">
        <v>22</v>
      </c>
      <c r="F197" s="289">
        <v>148.68</v>
      </c>
      <c r="G197" s="289">
        <v>4.4000000000000004</v>
      </c>
      <c r="H197" s="290">
        <f t="shared" si="47"/>
        <v>5.6034000000000006</v>
      </c>
      <c r="I197" s="291">
        <f t="shared" si="48"/>
        <v>833.11351200000013</v>
      </c>
      <c r="J197" s="292"/>
      <c r="K197" s="293">
        <f t="shared" si="42"/>
        <v>0</v>
      </c>
      <c r="L197" s="291"/>
      <c r="M197" s="293">
        <f t="shared" si="43"/>
        <v>0</v>
      </c>
      <c r="N197" s="293">
        <f t="shared" si="44"/>
        <v>0</v>
      </c>
      <c r="O197" s="294">
        <f t="shared" si="45"/>
        <v>0</v>
      </c>
      <c r="P197" s="296"/>
      <c r="Q197" s="296"/>
    </row>
    <row r="198" spans="1:17" ht="38.25" x14ac:dyDescent="0.25">
      <c r="A198" s="89" t="s">
        <v>443</v>
      </c>
      <c r="B198" s="287" t="s">
        <v>444</v>
      </c>
      <c r="C198" s="288" t="s">
        <v>445</v>
      </c>
      <c r="D198" s="287" t="s">
        <v>21</v>
      </c>
      <c r="E198" s="287" t="s">
        <v>22</v>
      </c>
      <c r="F198" s="289">
        <v>28.03</v>
      </c>
      <c r="G198" s="289">
        <v>15.6</v>
      </c>
      <c r="H198" s="290">
        <f t="shared" si="47"/>
        <v>19.866600000000002</v>
      </c>
      <c r="I198" s="291">
        <f t="shared" si="48"/>
        <v>556.86079800000005</v>
      </c>
      <c r="J198" s="292"/>
      <c r="K198" s="293">
        <f t="shared" si="42"/>
        <v>0</v>
      </c>
      <c r="L198" s="291"/>
      <c r="M198" s="293">
        <f t="shared" si="43"/>
        <v>0</v>
      </c>
      <c r="N198" s="293">
        <f t="shared" si="44"/>
        <v>0</v>
      </c>
      <c r="O198" s="294">
        <f t="shared" si="45"/>
        <v>0</v>
      </c>
      <c r="P198" s="296"/>
      <c r="Q198" s="296"/>
    </row>
    <row r="199" spans="1:17" ht="51" x14ac:dyDescent="0.25">
      <c r="A199" s="89" t="s">
        <v>446</v>
      </c>
      <c r="B199" s="287" t="s">
        <v>447</v>
      </c>
      <c r="C199" s="288" t="s">
        <v>448</v>
      </c>
      <c r="D199" s="287" t="s">
        <v>21</v>
      </c>
      <c r="E199" s="287" t="s">
        <v>22</v>
      </c>
      <c r="F199" s="289">
        <v>65.42</v>
      </c>
      <c r="G199" s="289">
        <v>14.3</v>
      </c>
      <c r="H199" s="290">
        <f t="shared" si="47"/>
        <v>18.211050000000004</v>
      </c>
      <c r="I199" s="291">
        <f t="shared" si="48"/>
        <v>1191.3668910000004</v>
      </c>
      <c r="J199" s="292"/>
      <c r="K199" s="293">
        <f t="shared" si="42"/>
        <v>0</v>
      </c>
      <c r="L199" s="291"/>
      <c r="M199" s="293">
        <f t="shared" si="43"/>
        <v>0</v>
      </c>
      <c r="N199" s="293">
        <f t="shared" si="44"/>
        <v>0</v>
      </c>
      <c r="O199" s="294">
        <f t="shared" si="45"/>
        <v>0</v>
      </c>
      <c r="P199" s="296"/>
      <c r="Q199" s="296"/>
    </row>
    <row r="200" spans="1:17" ht="38.25" x14ac:dyDescent="0.25">
      <c r="A200" s="89" t="s">
        <v>449</v>
      </c>
      <c r="B200" s="287" t="s">
        <v>450</v>
      </c>
      <c r="C200" s="288" t="s">
        <v>451</v>
      </c>
      <c r="D200" s="287" t="s">
        <v>21</v>
      </c>
      <c r="E200" s="287" t="s">
        <v>22</v>
      </c>
      <c r="F200" s="289">
        <v>38.299999999999997</v>
      </c>
      <c r="G200" s="289">
        <v>10.55</v>
      </c>
      <c r="H200" s="290">
        <f t="shared" si="47"/>
        <v>13.435425000000002</v>
      </c>
      <c r="I200" s="291">
        <f t="shared" si="48"/>
        <v>514.57677750000005</v>
      </c>
      <c r="J200" s="292"/>
      <c r="K200" s="293">
        <f t="shared" si="42"/>
        <v>0</v>
      </c>
      <c r="L200" s="291"/>
      <c r="M200" s="293">
        <f t="shared" si="43"/>
        <v>0</v>
      </c>
      <c r="N200" s="293">
        <f t="shared" si="44"/>
        <v>0</v>
      </c>
      <c r="O200" s="294">
        <f t="shared" si="45"/>
        <v>0</v>
      </c>
      <c r="P200" s="296"/>
      <c r="Q200" s="296"/>
    </row>
    <row r="201" spans="1:17" ht="51" x14ac:dyDescent="0.25">
      <c r="A201" s="89" t="s">
        <v>452</v>
      </c>
      <c r="B201" s="287" t="s">
        <v>453</v>
      </c>
      <c r="C201" s="288" t="s">
        <v>454</v>
      </c>
      <c r="D201" s="287" t="s">
        <v>21</v>
      </c>
      <c r="E201" s="287" t="s">
        <v>22</v>
      </c>
      <c r="F201" s="289">
        <v>30</v>
      </c>
      <c r="G201" s="289">
        <v>20.3</v>
      </c>
      <c r="H201" s="290">
        <f t="shared" si="47"/>
        <v>25.852050000000002</v>
      </c>
      <c r="I201" s="291">
        <f t="shared" si="48"/>
        <v>775.56150000000002</v>
      </c>
      <c r="J201" s="292"/>
      <c r="K201" s="293">
        <f t="shared" si="42"/>
        <v>0</v>
      </c>
      <c r="L201" s="291"/>
      <c r="M201" s="293">
        <f t="shared" si="43"/>
        <v>0</v>
      </c>
      <c r="N201" s="293">
        <f t="shared" si="44"/>
        <v>0</v>
      </c>
      <c r="O201" s="294">
        <f t="shared" si="45"/>
        <v>0</v>
      </c>
      <c r="P201" s="296"/>
      <c r="Q201" s="296"/>
    </row>
    <row r="202" spans="1:17" ht="51" x14ac:dyDescent="0.25">
      <c r="A202" s="89" t="s">
        <v>455</v>
      </c>
      <c r="B202" s="287" t="s">
        <v>456</v>
      </c>
      <c r="C202" s="288" t="s">
        <v>457</v>
      </c>
      <c r="D202" s="287" t="s">
        <v>21</v>
      </c>
      <c r="E202" s="287" t="s">
        <v>117</v>
      </c>
      <c r="F202" s="289">
        <v>10</v>
      </c>
      <c r="G202" s="289">
        <v>329.84</v>
      </c>
      <c r="H202" s="290">
        <f t="shared" si="47"/>
        <v>420.05124000000001</v>
      </c>
      <c r="I202" s="291">
        <f t="shared" si="48"/>
        <v>4200.5123999999996</v>
      </c>
      <c r="J202" s="292"/>
      <c r="K202" s="293">
        <f t="shared" si="42"/>
        <v>0</v>
      </c>
      <c r="L202" s="291"/>
      <c r="M202" s="293">
        <f t="shared" si="43"/>
        <v>0</v>
      </c>
      <c r="N202" s="293">
        <f t="shared" si="44"/>
        <v>0</v>
      </c>
      <c r="O202" s="294">
        <f t="shared" si="45"/>
        <v>0</v>
      </c>
      <c r="P202" s="296"/>
      <c r="Q202" s="296"/>
    </row>
    <row r="203" spans="1:17" ht="25.5" x14ac:dyDescent="0.25">
      <c r="A203" s="89" t="s">
        <v>458</v>
      </c>
      <c r="B203" s="287" t="s">
        <v>459</v>
      </c>
      <c r="C203" s="288" t="s">
        <v>460</v>
      </c>
      <c r="D203" s="287" t="s">
        <v>21</v>
      </c>
      <c r="E203" s="287" t="s">
        <v>117</v>
      </c>
      <c r="F203" s="289">
        <v>10</v>
      </c>
      <c r="G203" s="289">
        <v>28.68</v>
      </c>
      <c r="H203" s="290">
        <f t="shared" si="47"/>
        <v>36.523980000000002</v>
      </c>
      <c r="I203" s="291">
        <f t="shared" si="48"/>
        <v>365.2398</v>
      </c>
      <c r="J203" s="292"/>
      <c r="K203" s="293">
        <f t="shared" ref="K203:K264" si="49">J203*H203</f>
        <v>0</v>
      </c>
      <c r="L203" s="291"/>
      <c r="M203" s="293">
        <f t="shared" ref="M203:M264" si="50">L203*H203</f>
        <v>0</v>
      </c>
      <c r="N203" s="293">
        <f t="shared" ref="N203:N264" si="51">M203+K203</f>
        <v>0</v>
      </c>
      <c r="O203" s="294">
        <f t="shared" ref="O203:O264" si="52">N203/I203</f>
        <v>0</v>
      </c>
      <c r="P203" s="296"/>
      <c r="Q203" s="296"/>
    </row>
    <row r="204" spans="1:17" ht="25.5" x14ac:dyDescent="0.25">
      <c r="A204" s="89" t="s">
        <v>461</v>
      </c>
      <c r="B204" s="287" t="s">
        <v>462</v>
      </c>
      <c r="C204" s="288" t="s">
        <v>463</v>
      </c>
      <c r="D204" s="287" t="s">
        <v>21</v>
      </c>
      <c r="E204" s="287" t="s">
        <v>117</v>
      </c>
      <c r="F204" s="289">
        <v>10</v>
      </c>
      <c r="G204" s="289">
        <v>86.47</v>
      </c>
      <c r="H204" s="290">
        <f t="shared" si="47"/>
        <v>110.119545</v>
      </c>
      <c r="I204" s="291">
        <f t="shared" si="48"/>
        <v>1101.1954499999999</v>
      </c>
      <c r="J204" s="292"/>
      <c r="K204" s="293">
        <f t="shared" si="49"/>
        <v>0</v>
      </c>
      <c r="L204" s="291"/>
      <c r="M204" s="293">
        <f t="shared" si="50"/>
        <v>0</v>
      </c>
      <c r="N204" s="293">
        <f t="shared" si="51"/>
        <v>0</v>
      </c>
      <c r="O204" s="294">
        <f t="shared" si="52"/>
        <v>0</v>
      </c>
      <c r="P204" s="296"/>
      <c r="Q204" s="296"/>
    </row>
    <row r="205" spans="1:17" ht="38.25" x14ac:dyDescent="0.25">
      <c r="A205" s="89" t="s">
        <v>464</v>
      </c>
      <c r="B205" s="287" t="s">
        <v>465</v>
      </c>
      <c r="C205" s="288" t="s">
        <v>466</v>
      </c>
      <c r="D205" s="287" t="s">
        <v>21</v>
      </c>
      <c r="E205" s="287" t="s">
        <v>117</v>
      </c>
      <c r="F205" s="289">
        <v>2</v>
      </c>
      <c r="G205" s="289">
        <v>6.61</v>
      </c>
      <c r="H205" s="290">
        <f t="shared" si="47"/>
        <v>8.4178350000000002</v>
      </c>
      <c r="I205" s="291">
        <f t="shared" si="48"/>
        <v>16.83567</v>
      </c>
      <c r="J205" s="292"/>
      <c r="K205" s="293">
        <f t="shared" si="49"/>
        <v>0</v>
      </c>
      <c r="L205" s="291"/>
      <c r="M205" s="293">
        <f t="shared" si="50"/>
        <v>0</v>
      </c>
      <c r="N205" s="293">
        <f t="shared" si="51"/>
        <v>0</v>
      </c>
      <c r="O205" s="294">
        <f t="shared" si="52"/>
        <v>0</v>
      </c>
      <c r="P205" s="296"/>
      <c r="Q205" s="296"/>
    </row>
    <row r="206" spans="1:17" ht="38.25" x14ac:dyDescent="0.25">
      <c r="A206" s="89" t="s">
        <v>467</v>
      </c>
      <c r="B206" s="287" t="s">
        <v>468</v>
      </c>
      <c r="C206" s="288" t="s">
        <v>469</v>
      </c>
      <c r="D206" s="287" t="s">
        <v>21</v>
      </c>
      <c r="E206" s="287" t="s">
        <v>117</v>
      </c>
      <c r="F206" s="289">
        <v>3</v>
      </c>
      <c r="G206" s="289">
        <v>451.43</v>
      </c>
      <c r="H206" s="290">
        <f t="shared" si="47"/>
        <v>574.89610500000003</v>
      </c>
      <c r="I206" s="291">
        <f t="shared" si="48"/>
        <v>1724.6883150000001</v>
      </c>
      <c r="J206" s="292"/>
      <c r="K206" s="293">
        <f t="shared" si="49"/>
        <v>0</v>
      </c>
      <c r="L206" s="291"/>
      <c r="M206" s="293">
        <f t="shared" si="50"/>
        <v>0</v>
      </c>
      <c r="N206" s="293">
        <f t="shared" si="51"/>
        <v>0</v>
      </c>
      <c r="O206" s="294">
        <f t="shared" si="52"/>
        <v>0</v>
      </c>
      <c r="P206" s="296"/>
      <c r="Q206" s="296"/>
    </row>
    <row r="207" spans="1:17" ht="25.5" x14ac:dyDescent="0.25">
      <c r="A207" s="89" t="s">
        <v>470</v>
      </c>
      <c r="B207" s="287" t="s">
        <v>471</v>
      </c>
      <c r="C207" s="288" t="s">
        <v>472</v>
      </c>
      <c r="D207" s="287" t="s">
        <v>21</v>
      </c>
      <c r="E207" s="287" t="s">
        <v>117</v>
      </c>
      <c r="F207" s="289">
        <v>4</v>
      </c>
      <c r="G207" s="289">
        <v>20.2</v>
      </c>
      <c r="H207" s="290">
        <f t="shared" si="47"/>
        <v>25.724700000000002</v>
      </c>
      <c r="I207" s="291">
        <f t="shared" si="48"/>
        <v>102.89880000000001</v>
      </c>
      <c r="J207" s="292"/>
      <c r="K207" s="293">
        <f t="shared" si="49"/>
        <v>0</v>
      </c>
      <c r="L207" s="291"/>
      <c r="M207" s="293">
        <f t="shared" si="50"/>
        <v>0</v>
      </c>
      <c r="N207" s="293">
        <f t="shared" si="51"/>
        <v>0</v>
      </c>
      <c r="O207" s="294">
        <f t="shared" si="52"/>
        <v>0</v>
      </c>
      <c r="P207" s="296"/>
      <c r="Q207" s="296"/>
    </row>
    <row r="208" spans="1:17" ht="51" x14ac:dyDescent="0.25">
      <c r="A208" s="89" t="s">
        <v>473</v>
      </c>
      <c r="B208" s="287" t="s">
        <v>474</v>
      </c>
      <c r="C208" s="288" t="s">
        <v>475</v>
      </c>
      <c r="D208" s="287" t="s">
        <v>21</v>
      </c>
      <c r="E208" s="287" t="s">
        <v>117</v>
      </c>
      <c r="F208" s="289">
        <v>1</v>
      </c>
      <c r="G208" s="289">
        <v>136.12</v>
      </c>
      <c r="H208" s="290">
        <f t="shared" si="47"/>
        <v>173.34882000000002</v>
      </c>
      <c r="I208" s="291">
        <f t="shared" si="48"/>
        <v>173.34882000000002</v>
      </c>
      <c r="J208" s="292"/>
      <c r="K208" s="293">
        <f t="shared" si="49"/>
        <v>0</v>
      </c>
      <c r="L208" s="291"/>
      <c r="M208" s="293">
        <f t="shared" si="50"/>
        <v>0</v>
      </c>
      <c r="N208" s="293">
        <f t="shared" si="51"/>
        <v>0</v>
      </c>
      <c r="O208" s="294">
        <f t="shared" si="52"/>
        <v>0</v>
      </c>
      <c r="P208" s="296"/>
      <c r="Q208" s="296"/>
    </row>
    <row r="209" spans="1:17" ht="51" x14ac:dyDescent="0.25">
      <c r="A209" s="89" t="s">
        <v>476</v>
      </c>
      <c r="B209" s="287" t="s">
        <v>477</v>
      </c>
      <c r="C209" s="288" t="s">
        <v>478</v>
      </c>
      <c r="D209" s="287" t="s">
        <v>21</v>
      </c>
      <c r="E209" s="287" t="s">
        <v>117</v>
      </c>
      <c r="F209" s="289">
        <v>4</v>
      </c>
      <c r="G209" s="289">
        <v>187.71</v>
      </c>
      <c r="H209" s="290">
        <f t="shared" si="47"/>
        <v>239.04868500000003</v>
      </c>
      <c r="I209" s="291">
        <f t="shared" si="48"/>
        <v>956.19474000000014</v>
      </c>
      <c r="J209" s="292"/>
      <c r="K209" s="293">
        <f t="shared" si="49"/>
        <v>0</v>
      </c>
      <c r="L209" s="291"/>
      <c r="M209" s="293">
        <f t="shared" si="50"/>
        <v>0</v>
      </c>
      <c r="N209" s="293">
        <f t="shared" si="51"/>
        <v>0</v>
      </c>
      <c r="O209" s="294">
        <f t="shared" si="52"/>
        <v>0</v>
      </c>
      <c r="P209" s="296"/>
      <c r="Q209" s="296"/>
    </row>
    <row r="210" spans="1:17" ht="38.25" x14ac:dyDescent="0.25">
      <c r="A210" s="89" t="s">
        <v>479</v>
      </c>
      <c r="B210" s="287" t="s">
        <v>480</v>
      </c>
      <c r="C210" s="288" t="s">
        <v>481</v>
      </c>
      <c r="D210" s="287" t="s">
        <v>21</v>
      </c>
      <c r="E210" s="287" t="s">
        <v>117</v>
      </c>
      <c r="F210" s="289">
        <v>4</v>
      </c>
      <c r="G210" s="289">
        <v>64.790000000000006</v>
      </c>
      <c r="H210" s="290">
        <f t="shared" si="47"/>
        <v>82.510065000000012</v>
      </c>
      <c r="I210" s="291">
        <f t="shared" si="48"/>
        <v>330.04026000000005</v>
      </c>
      <c r="J210" s="292"/>
      <c r="K210" s="293">
        <f t="shared" si="49"/>
        <v>0</v>
      </c>
      <c r="L210" s="291"/>
      <c r="M210" s="293">
        <f t="shared" si="50"/>
        <v>0</v>
      </c>
      <c r="N210" s="293">
        <f t="shared" si="51"/>
        <v>0</v>
      </c>
      <c r="O210" s="294">
        <f t="shared" si="52"/>
        <v>0</v>
      </c>
      <c r="P210" s="296"/>
      <c r="Q210" s="296"/>
    </row>
    <row r="211" spans="1:17" ht="51" x14ac:dyDescent="0.25">
      <c r="A211" s="89" t="s">
        <v>482</v>
      </c>
      <c r="B211" s="287" t="s">
        <v>483</v>
      </c>
      <c r="C211" s="288" t="s">
        <v>484</v>
      </c>
      <c r="D211" s="287" t="s">
        <v>21</v>
      </c>
      <c r="E211" s="287" t="s">
        <v>117</v>
      </c>
      <c r="F211" s="289">
        <v>8</v>
      </c>
      <c r="G211" s="289">
        <v>148.03</v>
      </c>
      <c r="H211" s="290">
        <f t="shared" si="47"/>
        <v>188.51620500000001</v>
      </c>
      <c r="I211" s="291">
        <f t="shared" si="48"/>
        <v>1508.1296400000001</v>
      </c>
      <c r="J211" s="292"/>
      <c r="K211" s="293">
        <f t="shared" si="49"/>
        <v>0</v>
      </c>
      <c r="L211" s="291"/>
      <c r="M211" s="293">
        <f t="shared" si="50"/>
        <v>0</v>
      </c>
      <c r="N211" s="293">
        <f t="shared" si="51"/>
        <v>0</v>
      </c>
      <c r="O211" s="294">
        <f t="shared" si="52"/>
        <v>0</v>
      </c>
      <c r="P211" s="296"/>
      <c r="Q211" s="296"/>
    </row>
    <row r="212" spans="1:17" ht="38.25" x14ac:dyDescent="0.25">
      <c r="A212" s="89" t="s">
        <v>485</v>
      </c>
      <c r="B212" s="287" t="s">
        <v>486</v>
      </c>
      <c r="C212" s="288" t="s">
        <v>487</v>
      </c>
      <c r="D212" s="287" t="s">
        <v>21</v>
      </c>
      <c r="E212" s="287" t="s">
        <v>117</v>
      </c>
      <c r="F212" s="289">
        <v>8</v>
      </c>
      <c r="G212" s="289">
        <v>55.37</v>
      </c>
      <c r="H212" s="290">
        <f t="shared" si="47"/>
        <v>70.513694999999998</v>
      </c>
      <c r="I212" s="291">
        <f t="shared" si="48"/>
        <v>564.10955999999999</v>
      </c>
      <c r="J212" s="292"/>
      <c r="K212" s="293">
        <f t="shared" si="49"/>
        <v>0</v>
      </c>
      <c r="L212" s="291"/>
      <c r="M212" s="293">
        <f t="shared" si="50"/>
        <v>0</v>
      </c>
      <c r="N212" s="293">
        <f t="shared" si="51"/>
        <v>0</v>
      </c>
      <c r="O212" s="294">
        <f t="shared" si="52"/>
        <v>0</v>
      </c>
      <c r="P212" s="296"/>
      <c r="Q212" s="296"/>
    </row>
    <row r="213" spans="1:17" ht="38.25" x14ac:dyDescent="0.25">
      <c r="A213" s="89" t="s">
        <v>488</v>
      </c>
      <c r="B213" s="287" t="s">
        <v>489</v>
      </c>
      <c r="C213" s="288" t="s">
        <v>490</v>
      </c>
      <c r="D213" s="287" t="s">
        <v>21</v>
      </c>
      <c r="E213" s="287" t="s">
        <v>117</v>
      </c>
      <c r="F213" s="289">
        <v>1</v>
      </c>
      <c r="G213" s="289">
        <v>26.81</v>
      </c>
      <c r="H213" s="290">
        <f t="shared" si="47"/>
        <v>34.142535000000002</v>
      </c>
      <c r="I213" s="291">
        <f t="shared" si="48"/>
        <v>34.142535000000002</v>
      </c>
      <c r="J213" s="292"/>
      <c r="K213" s="293">
        <f t="shared" si="49"/>
        <v>0</v>
      </c>
      <c r="L213" s="291"/>
      <c r="M213" s="293">
        <f t="shared" si="50"/>
        <v>0</v>
      </c>
      <c r="N213" s="293">
        <f t="shared" si="51"/>
        <v>0</v>
      </c>
      <c r="O213" s="294">
        <f t="shared" si="52"/>
        <v>0</v>
      </c>
      <c r="P213" s="296"/>
      <c r="Q213" s="296"/>
    </row>
    <row r="214" spans="1:17" ht="38.25" x14ac:dyDescent="0.25">
      <c r="A214" s="89" t="s">
        <v>491</v>
      </c>
      <c r="B214" s="287" t="s">
        <v>492</v>
      </c>
      <c r="C214" s="288" t="s">
        <v>493</v>
      </c>
      <c r="D214" s="287" t="s">
        <v>21</v>
      </c>
      <c r="E214" s="287" t="s">
        <v>117</v>
      </c>
      <c r="F214" s="289">
        <v>2</v>
      </c>
      <c r="G214" s="289">
        <v>190.7</v>
      </c>
      <c r="H214" s="290">
        <f t="shared" si="47"/>
        <v>242.85645</v>
      </c>
      <c r="I214" s="291">
        <f t="shared" si="48"/>
        <v>485.71289999999999</v>
      </c>
      <c r="J214" s="292"/>
      <c r="K214" s="293">
        <f t="shared" si="49"/>
        <v>0</v>
      </c>
      <c r="L214" s="291"/>
      <c r="M214" s="293">
        <f t="shared" si="50"/>
        <v>0</v>
      </c>
      <c r="N214" s="293">
        <f t="shared" si="51"/>
        <v>0</v>
      </c>
      <c r="O214" s="294">
        <f t="shared" si="52"/>
        <v>0</v>
      </c>
      <c r="P214" s="296"/>
      <c r="Q214" s="296"/>
    </row>
    <row r="215" spans="1:17" ht="38.25" x14ac:dyDescent="0.25">
      <c r="A215" s="89" t="s">
        <v>494</v>
      </c>
      <c r="B215" s="287" t="s">
        <v>495</v>
      </c>
      <c r="C215" s="288" t="s">
        <v>496</v>
      </c>
      <c r="D215" s="287" t="s">
        <v>21</v>
      </c>
      <c r="E215" s="287" t="s">
        <v>117</v>
      </c>
      <c r="F215" s="289">
        <v>8</v>
      </c>
      <c r="G215" s="289">
        <v>177.5</v>
      </c>
      <c r="H215" s="290">
        <f t="shared" si="47"/>
        <v>226.04625000000001</v>
      </c>
      <c r="I215" s="291">
        <f t="shared" si="48"/>
        <v>1808.3700000000001</v>
      </c>
      <c r="J215" s="292"/>
      <c r="K215" s="293">
        <f t="shared" si="49"/>
        <v>0</v>
      </c>
      <c r="L215" s="291"/>
      <c r="M215" s="293">
        <f t="shared" si="50"/>
        <v>0</v>
      </c>
      <c r="N215" s="293">
        <f t="shared" si="51"/>
        <v>0</v>
      </c>
      <c r="O215" s="294">
        <f t="shared" si="52"/>
        <v>0</v>
      </c>
      <c r="P215" s="296"/>
      <c r="Q215" s="296"/>
    </row>
    <row r="216" spans="1:17" ht="76.5" x14ac:dyDescent="0.25">
      <c r="A216" s="89" t="s">
        <v>497</v>
      </c>
      <c r="B216" s="287" t="s">
        <v>498</v>
      </c>
      <c r="C216" s="288" t="s">
        <v>499</v>
      </c>
      <c r="D216" s="287" t="s">
        <v>21</v>
      </c>
      <c r="E216" s="287" t="s">
        <v>117</v>
      </c>
      <c r="F216" s="289">
        <v>2</v>
      </c>
      <c r="G216" s="289">
        <v>165.39</v>
      </c>
      <c r="H216" s="290">
        <f t="shared" si="47"/>
        <v>210.624165</v>
      </c>
      <c r="I216" s="291">
        <f t="shared" si="48"/>
        <v>421.24833000000001</v>
      </c>
      <c r="J216" s="292"/>
      <c r="K216" s="293">
        <f t="shared" si="49"/>
        <v>0</v>
      </c>
      <c r="L216" s="291"/>
      <c r="M216" s="293">
        <f t="shared" si="50"/>
        <v>0</v>
      </c>
      <c r="N216" s="293">
        <f t="shared" si="51"/>
        <v>0</v>
      </c>
      <c r="O216" s="294">
        <f t="shared" si="52"/>
        <v>0</v>
      </c>
      <c r="P216" s="296"/>
      <c r="Q216" s="296"/>
    </row>
    <row r="217" spans="1:17" ht="25.5" x14ac:dyDescent="0.25">
      <c r="A217" s="89" t="s">
        <v>500</v>
      </c>
      <c r="B217" s="287" t="s">
        <v>501</v>
      </c>
      <c r="C217" s="288" t="s">
        <v>502</v>
      </c>
      <c r="D217" s="287" t="s">
        <v>21</v>
      </c>
      <c r="E217" s="287" t="s">
        <v>117</v>
      </c>
      <c r="F217" s="289">
        <v>10</v>
      </c>
      <c r="G217" s="289">
        <v>22.08</v>
      </c>
      <c r="H217" s="290">
        <f t="shared" si="47"/>
        <v>28.118880000000001</v>
      </c>
      <c r="I217" s="291">
        <f t="shared" si="48"/>
        <v>281.18880000000001</v>
      </c>
      <c r="J217" s="292"/>
      <c r="K217" s="293">
        <f t="shared" si="49"/>
        <v>0</v>
      </c>
      <c r="L217" s="291"/>
      <c r="M217" s="293">
        <f t="shared" si="50"/>
        <v>0</v>
      </c>
      <c r="N217" s="293">
        <f t="shared" si="51"/>
        <v>0</v>
      </c>
      <c r="O217" s="294">
        <f t="shared" si="52"/>
        <v>0</v>
      </c>
      <c r="P217" s="296"/>
      <c r="Q217" s="296"/>
    </row>
    <row r="218" spans="1:17" ht="25.5" x14ac:dyDescent="0.25">
      <c r="A218" s="89" t="s">
        <v>503</v>
      </c>
      <c r="B218" s="287" t="s">
        <v>504</v>
      </c>
      <c r="C218" s="288" t="s">
        <v>505</v>
      </c>
      <c r="D218" s="287" t="s">
        <v>21</v>
      </c>
      <c r="E218" s="287" t="s">
        <v>117</v>
      </c>
      <c r="F218" s="289">
        <v>2</v>
      </c>
      <c r="G218" s="289">
        <v>117.18</v>
      </c>
      <c r="H218" s="290">
        <f t="shared" si="47"/>
        <v>149.22873000000001</v>
      </c>
      <c r="I218" s="291">
        <f t="shared" si="48"/>
        <v>298.45746000000003</v>
      </c>
      <c r="J218" s="292"/>
      <c r="K218" s="293">
        <f t="shared" si="49"/>
        <v>0</v>
      </c>
      <c r="L218" s="291"/>
      <c r="M218" s="293">
        <f t="shared" si="50"/>
        <v>0</v>
      </c>
      <c r="N218" s="293">
        <f t="shared" si="51"/>
        <v>0</v>
      </c>
      <c r="O218" s="294">
        <f t="shared" si="52"/>
        <v>0</v>
      </c>
      <c r="P218" s="296"/>
      <c r="Q218" s="296"/>
    </row>
    <row r="219" spans="1:17" ht="25.5" x14ac:dyDescent="0.25">
      <c r="A219" s="89" t="s">
        <v>506</v>
      </c>
      <c r="B219" s="287" t="s">
        <v>507</v>
      </c>
      <c r="C219" s="288" t="s">
        <v>508</v>
      </c>
      <c r="D219" s="287" t="s">
        <v>21</v>
      </c>
      <c r="E219" s="287" t="s">
        <v>117</v>
      </c>
      <c r="F219" s="289">
        <v>1</v>
      </c>
      <c r="G219" s="289">
        <v>84.73</v>
      </c>
      <c r="H219" s="290">
        <f t="shared" si="47"/>
        <v>107.90365500000001</v>
      </c>
      <c r="I219" s="291">
        <f t="shared" si="48"/>
        <v>107.90365500000001</v>
      </c>
      <c r="J219" s="292"/>
      <c r="K219" s="293">
        <f t="shared" si="49"/>
        <v>0</v>
      </c>
      <c r="L219" s="291"/>
      <c r="M219" s="293">
        <f t="shared" si="50"/>
        <v>0</v>
      </c>
      <c r="N219" s="293">
        <f t="shared" si="51"/>
        <v>0</v>
      </c>
      <c r="O219" s="294">
        <f t="shared" si="52"/>
        <v>0</v>
      </c>
      <c r="P219" s="296"/>
      <c r="Q219" s="296"/>
    </row>
    <row r="220" spans="1:17" ht="25.5" x14ac:dyDescent="0.25">
      <c r="A220" s="89" t="s">
        <v>509</v>
      </c>
      <c r="B220" s="287" t="s">
        <v>510</v>
      </c>
      <c r="C220" s="288" t="s">
        <v>511</v>
      </c>
      <c r="D220" s="287" t="s">
        <v>21</v>
      </c>
      <c r="E220" s="287" t="s">
        <v>117</v>
      </c>
      <c r="F220" s="289">
        <v>1</v>
      </c>
      <c r="G220" s="289">
        <v>28.98</v>
      </c>
      <c r="H220" s="290">
        <f t="shared" si="47"/>
        <v>36.906030000000001</v>
      </c>
      <c r="I220" s="291">
        <f t="shared" si="48"/>
        <v>36.906030000000001</v>
      </c>
      <c r="J220" s="292"/>
      <c r="K220" s="293">
        <f t="shared" si="49"/>
        <v>0</v>
      </c>
      <c r="L220" s="291"/>
      <c r="M220" s="293">
        <f t="shared" si="50"/>
        <v>0</v>
      </c>
      <c r="N220" s="293">
        <f t="shared" si="51"/>
        <v>0</v>
      </c>
      <c r="O220" s="294">
        <f t="shared" si="52"/>
        <v>0</v>
      </c>
      <c r="P220" s="296"/>
      <c r="Q220" s="296"/>
    </row>
    <row r="221" spans="1:17" ht="25.5" x14ac:dyDescent="0.25">
      <c r="A221" s="89" t="s">
        <v>512</v>
      </c>
      <c r="B221" s="287" t="s">
        <v>513</v>
      </c>
      <c r="C221" s="288" t="s">
        <v>514</v>
      </c>
      <c r="D221" s="287" t="s">
        <v>21</v>
      </c>
      <c r="E221" s="287" t="s">
        <v>117</v>
      </c>
      <c r="F221" s="289">
        <v>13</v>
      </c>
      <c r="G221" s="289">
        <v>31.62</v>
      </c>
      <c r="H221" s="290">
        <f t="shared" si="47"/>
        <v>40.268070000000002</v>
      </c>
      <c r="I221" s="291">
        <f t="shared" si="48"/>
        <v>523.48491000000001</v>
      </c>
      <c r="J221" s="292"/>
      <c r="K221" s="293">
        <f t="shared" si="49"/>
        <v>0</v>
      </c>
      <c r="L221" s="291"/>
      <c r="M221" s="293">
        <f t="shared" si="50"/>
        <v>0</v>
      </c>
      <c r="N221" s="293">
        <f t="shared" si="51"/>
        <v>0</v>
      </c>
      <c r="O221" s="294">
        <f t="shared" si="52"/>
        <v>0</v>
      </c>
      <c r="P221" s="296"/>
      <c r="Q221" s="296"/>
    </row>
    <row r="222" spans="1:17" ht="51" x14ac:dyDescent="0.25">
      <c r="A222" s="89" t="s">
        <v>515</v>
      </c>
      <c r="B222" s="287" t="s">
        <v>516</v>
      </c>
      <c r="C222" s="288" t="s">
        <v>517</v>
      </c>
      <c r="D222" s="287" t="s">
        <v>21</v>
      </c>
      <c r="E222" s="287" t="s">
        <v>117</v>
      </c>
      <c r="F222" s="289">
        <v>2</v>
      </c>
      <c r="G222" s="289">
        <v>71.67</v>
      </c>
      <c r="H222" s="290">
        <f t="shared" si="47"/>
        <v>91.27174500000001</v>
      </c>
      <c r="I222" s="291">
        <f t="shared" si="48"/>
        <v>182.54349000000002</v>
      </c>
      <c r="J222" s="292"/>
      <c r="K222" s="293">
        <f t="shared" si="49"/>
        <v>0</v>
      </c>
      <c r="L222" s="291"/>
      <c r="M222" s="293">
        <f t="shared" si="50"/>
        <v>0</v>
      </c>
      <c r="N222" s="293">
        <f t="shared" si="51"/>
        <v>0</v>
      </c>
      <c r="O222" s="294">
        <f t="shared" si="52"/>
        <v>0</v>
      </c>
      <c r="P222" s="296"/>
      <c r="Q222" s="296"/>
    </row>
    <row r="223" spans="1:17" ht="38.25" x14ac:dyDescent="0.25">
      <c r="A223" s="89" t="s">
        <v>518</v>
      </c>
      <c r="B223" s="287" t="s">
        <v>519</v>
      </c>
      <c r="C223" s="288" t="s">
        <v>520</v>
      </c>
      <c r="D223" s="287" t="s">
        <v>21</v>
      </c>
      <c r="E223" s="287" t="s">
        <v>117</v>
      </c>
      <c r="F223" s="289">
        <v>20</v>
      </c>
      <c r="G223" s="289">
        <v>27.64</v>
      </c>
      <c r="H223" s="290">
        <f t="shared" si="47"/>
        <v>35.199540000000006</v>
      </c>
      <c r="I223" s="291">
        <f t="shared" si="48"/>
        <v>703.99080000000015</v>
      </c>
      <c r="J223" s="292"/>
      <c r="K223" s="293">
        <f t="shared" si="49"/>
        <v>0</v>
      </c>
      <c r="L223" s="291"/>
      <c r="M223" s="293">
        <f t="shared" si="50"/>
        <v>0</v>
      </c>
      <c r="N223" s="293">
        <f t="shared" si="51"/>
        <v>0</v>
      </c>
      <c r="O223" s="294">
        <f t="shared" si="52"/>
        <v>0</v>
      </c>
      <c r="P223" s="296"/>
      <c r="Q223" s="296"/>
    </row>
    <row r="224" spans="1:17" ht="51" x14ac:dyDescent="0.25">
      <c r="A224" s="89" t="s">
        <v>521</v>
      </c>
      <c r="B224" s="287" t="s">
        <v>522</v>
      </c>
      <c r="C224" s="288" t="s">
        <v>523</v>
      </c>
      <c r="D224" s="287" t="s">
        <v>21</v>
      </c>
      <c r="E224" s="287" t="s">
        <v>117</v>
      </c>
      <c r="F224" s="289">
        <v>12</v>
      </c>
      <c r="G224" s="289">
        <v>5.69</v>
      </c>
      <c r="H224" s="290">
        <f t="shared" si="47"/>
        <v>7.2462150000000012</v>
      </c>
      <c r="I224" s="291">
        <f t="shared" si="48"/>
        <v>86.954580000000021</v>
      </c>
      <c r="J224" s="292"/>
      <c r="K224" s="293">
        <f t="shared" si="49"/>
        <v>0</v>
      </c>
      <c r="L224" s="291"/>
      <c r="M224" s="293">
        <f t="shared" si="50"/>
        <v>0</v>
      </c>
      <c r="N224" s="293">
        <f t="shared" si="51"/>
        <v>0</v>
      </c>
      <c r="O224" s="294">
        <f t="shared" si="52"/>
        <v>0</v>
      </c>
      <c r="P224" s="296"/>
      <c r="Q224" s="296"/>
    </row>
    <row r="225" spans="1:17" ht="51" x14ac:dyDescent="0.25">
      <c r="A225" s="89" t="s">
        <v>524</v>
      </c>
      <c r="B225" s="287" t="s">
        <v>525</v>
      </c>
      <c r="C225" s="288" t="s">
        <v>526</v>
      </c>
      <c r="D225" s="287" t="s">
        <v>21</v>
      </c>
      <c r="E225" s="287" t="s">
        <v>117</v>
      </c>
      <c r="F225" s="289">
        <v>5</v>
      </c>
      <c r="G225" s="289">
        <v>14.24</v>
      </c>
      <c r="H225" s="290">
        <f t="shared" si="47"/>
        <v>18.134640000000001</v>
      </c>
      <c r="I225" s="291">
        <f t="shared" si="48"/>
        <v>90.673200000000008</v>
      </c>
      <c r="J225" s="292"/>
      <c r="K225" s="293">
        <f t="shared" si="49"/>
        <v>0</v>
      </c>
      <c r="L225" s="291"/>
      <c r="M225" s="293">
        <f t="shared" si="50"/>
        <v>0</v>
      </c>
      <c r="N225" s="293">
        <f t="shared" si="51"/>
        <v>0</v>
      </c>
      <c r="O225" s="294">
        <f t="shared" si="52"/>
        <v>0</v>
      </c>
      <c r="P225" s="296"/>
      <c r="Q225" s="296"/>
    </row>
    <row r="226" spans="1:17" ht="51" x14ac:dyDescent="0.25">
      <c r="A226" s="89" t="s">
        <v>527</v>
      </c>
      <c r="B226" s="287" t="s">
        <v>528</v>
      </c>
      <c r="C226" s="288" t="s">
        <v>529</v>
      </c>
      <c r="D226" s="287" t="s">
        <v>21</v>
      </c>
      <c r="E226" s="287" t="s">
        <v>117</v>
      </c>
      <c r="F226" s="289">
        <v>36</v>
      </c>
      <c r="G226" s="289">
        <v>7.4</v>
      </c>
      <c r="H226" s="290">
        <f t="shared" si="47"/>
        <v>9.4239000000000015</v>
      </c>
      <c r="I226" s="291">
        <f t="shared" si="48"/>
        <v>339.26040000000006</v>
      </c>
      <c r="J226" s="292"/>
      <c r="K226" s="293">
        <f t="shared" si="49"/>
        <v>0</v>
      </c>
      <c r="L226" s="291"/>
      <c r="M226" s="293">
        <f t="shared" si="50"/>
        <v>0</v>
      </c>
      <c r="N226" s="293">
        <f t="shared" si="51"/>
        <v>0</v>
      </c>
      <c r="O226" s="294">
        <f t="shared" si="52"/>
        <v>0</v>
      </c>
      <c r="P226" s="296"/>
      <c r="Q226" s="296"/>
    </row>
    <row r="227" spans="1:17" ht="51" x14ac:dyDescent="0.25">
      <c r="A227" s="89" t="s">
        <v>530</v>
      </c>
      <c r="B227" s="287" t="s">
        <v>531</v>
      </c>
      <c r="C227" s="288" t="s">
        <v>532</v>
      </c>
      <c r="D227" s="287" t="s">
        <v>21</v>
      </c>
      <c r="E227" s="287" t="s">
        <v>117</v>
      </c>
      <c r="F227" s="289">
        <v>14</v>
      </c>
      <c r="G227" s="289">
        <v>5.12</v>
      </c>
      <c r="H227" s="290">
        <f t="shared" si="47"/>
        <v>6.5203200000000008</v>
      </c>
      <c r="I227" s="291">
        <f t="shared" si="48"/>
        <v>91.284480000000016</v>
      </c>
      <c r="J227" s="292"/>
      <c r="K227" s="293">
        <f t="shared" si="49"/>
        <v>0</v>
      </c>
      <c r="L227" s="291"/>
      <c r="M227" s="293">
        <f t="shared" si="50"/>
        <v>0</v>
      </c>
      <c r="N227" s="293">
        <f t="shared" si="51"/>
        <v>0</v>
      </c>
      <c r="O227" s="294">
        <f t="shared" si="52"/>
        <v>0</v>
      </c>
      <c r="P227" s="296"/>
      <c r="Q227" s="296"/>
    </row>
    <row r="228" spans="1:17" ht="51" x14ac:dyDescent="0.25">
      <c r="A228" s="89" t="s">
        <v>533</v>
      </c>
      <c r="B228" s="287" t="s">
        <v>534</v>
      </c>
      <c r="C228" s="288" t="s">
        <v>535</v>
      </c>
      <c r="D228" s="287" t="s">
        <v>21</v>
      </c>
      <c r="E228" s="287" t="s">
        <v>117</v>
      </c>
      <c r="F228" s="289">
        <v>10</v>
      </c>
      <c r="G228" s="289">
        <v>18.22</v>
      </c>
      <c r="H228" s="290">
        <f t="shared" si="47"/>
        <v>23.20317</v>
      </c>
      <c r="I228" s="291">
        <f t="shared" si="48"/>
        <v>232.0317</v>
      </c>
      <c r="J228" s="292"/>
      <c r="K228" s="293">
        <f t="shared" si="49"/>
        <v>0</v>
      </c>
      <c r="L228" s="291"/>
      <c r="M228" s="293">
        <f t="shared" si="50"/>
        <v>0</v>
      </c>
      <c r="N228" s="293">
        <f t="shared" si="51"/>
        <v>0</v>
      </c>
      <c r="O228" s="294">
        <f t="shared" si="52"/>
        <v>0</v>
      </c>
      <c r="P228" s="296"/>
      <c r="Q228" s="296"/>
    </row>
    <row r="229" spans="1:17" ht="51" x14ac:dyDescent="0.25">
      <c r="A229" s="89" t="s">
        <v>536</v>
      </c>
      <c r="B229" s="287" t="s">
        <v>537</v>
      </c>
      <c r="C229" s="288" t="s">
        <v>538</v>
      </c>
      <c r="D229" s="287" t="s">
        <v>21</v>
      </c>
      <c r="E229" s="287" t="s">
        <v>117</v>
      </c>
      <c r="F229" s="289">
        <v>1</v>
      </c>
      <c r="G229" s="289">
        <v>13.18</v>
      </c>
      <c r="H229" s="290">
        <f t="shared" si="47"/>
        <v>16.78473</v>
      </c>
      <c r="I229" s="291">
        <f t="shared" si="48"/>
        <v>16.78473</v>
      </c>
      <c r="J229" s="292"/>
      <c r="K229" s="293">
        <f t="shared" si="49"/>
        <v>0</v>
      </c>
      <c r="L229" s="291"/>
      <c r="M229" s="293">
        <f t="shared" si="50"/>
        <v>0</v>
      </c>
      <c r="N229" s="293">
        <f t="shared" si="51"/>
        <v>0</v>
      </c>
      <c r="O229" s="294">
        <f t="shared" si="52"/>
        <v>0</v>
      </c>
      <c r="P229" s="296"/>
      <c r="Q229" s="296"/>
    </row>
    <row r="230" spans="1:17" ht="25.5" x14ac:dyDescent="0.25">
      <c r="A230" s="89" t="s">
        <v>539</v>
      </c>
      <c r="B230" s="287" t="s">
        <v>540</v>
      </c>
      <c r="C230" s="288" t="s">
        <v>541</v>
      </c>
      <c r="D230" s="287" t="s">
        <v>21</v>
      </c>
      <c r="E230" s="287" t="s">
        <v>117</v>
      </c>
      <c r="F230" s="289">
        <v>8</v>
      </c>
      <c r="G230" s="289">
        <v>15.03</v>
      </c>
      <c r="H230" s="290">
        <f t="shared" si="47"/>
        <v>19.140705000000001</v>
      </c>
      <c r="I230" s="291">
        <f t="shared" si="48"/>
        <v>153.12564</v>
      </c>
      <c r="J230" s="292"/>
      <c r="K230" s="293">
        <f t="shared" si="49"/>
        <v>0</v>
      </c>
      <c r="L230" s="291"/>
      <c r="M230" s="293">
        <f t="shared" si="50"/>
        <v>0</v>
      </c>
      <c r="N230" s="293">
        <f t="shared" si="51"/>
        <v>0</v>
      </c>
      <c r="O230" s="294">
        <f t="shared" si="52"/>
        <v>0</v>
      </c>
      <c r="P230" s="296"/>
      <c r="Q230" s="296"/>
    </row>
    <row r="231" spans="1:17" ht="25.5" x14ac:dyDescent="0.25">
      <c r="A231" s="89" t="s">
        <v>542</v>
      </c>
      <c r="B231" s="287" t="s">
        <v>543</v>
      </c>
      <c r="C231" s="288" t="s">
        <v>544</v>
      </c>
      <c r="D231" s="287" t="s">
        <v>21</v>
      </c>
      <c r="E231" s="287" t="s">
        <v>117</v>
      </c>
      <c r="F231" s="289">
        <v>1</v>
      </c>
      <c r="G231" s="289">
        <v>21.66</v>
      </c>
      <c r="H231" s="290">
        <f t="shared" si="47"/>
        <v>27.584010000000003</v>
      </c>
      <c r="I231" s="291">
        <f t="shared" si="48"/>
        <v>27.584010000000003</v>
      </c>
      <c r="J231" s="292"/>
      <c r="K231" s="293">
        <f t="shared" si="49"/>
        <v>0</v>
      </c>
      <c r="L231" s="291"/>
      <c r="M231" s="293">
        <f t="shared" si="50"/>
        <v>0</v>
      </c>
      <c r="N231" s="293">
        <f t="shared" si="51"/>
        <v>0</v>
      </c>
      <c r="O231" s="294">
        <f t="shared" si="52"/>
        <v>0</v>
      </c>
      <c r="P231" s="296"/>
      <c r="Q231" s="296"/>
    </row>
    <row r="232" spans="1:17" ht="63.75" x14ac:dyDescent="0.25">
      <c r="A232" s="89" t="s">
        <v>545</v>
      </c>
      <c r="B232" s="287" t="s">
        <v>546</v>
      </c>
      <c r="C232" s="288" t="s">
        <v>547</v>
      </c>
      <c r="D232" s="287" t="s">
        <v>21</v>
      </c>
      <c r="E232" s="287" t="s">
        <v>117</v>
      </c>
      <c r="F232" s="289">
        <v>5</v>
      </c>
      <c r="G232" s="289">
        <v>35.950000000000003</v>
      </c>
      <c r="H232" s="290">
        <f t="shared" si="47"/>
        <v>45.782325000000007</v>
      </c>
      <c r="I232" s="291">
        <f t="shared" si="48"/>
        <v>228.91162500000004</v>
      </c>
      <c r="J232" s="292"/>
      <c r="K232" s="293">
        <f t="shared" si="49"/>
        <v>0</v>
      </c>
      <c r="L232" s="291"/>
      <c r="M232" s="293">
        <f t="shared" si="50"/>
        <v>0</v>
      </c>
      <c r="N232" s="293">
        <f t="shared" si="51"/>
        <v>0</v>
      </c>
      <c r="O232" s="294">
        <f t="shared" si="52"/>
        <v>0</v>
      </c>
      <c r="P232" s="296"/>
      <c r="Q232" s="296"/>
    </row>
    <row r="233" spans="1:17" ht="51" x14ac:dyDescent="0.25">
      <c r="A233" s="89" t="s">
        <v>548</v>
      </c>
      <c r="B233" s="287" t="s">
        <v>549</v>
      </c>
      <c r="C233" s="288" t="s">
        <v>550</v>
      </c>
      <c r="D233" s="287" t="s">
        <v>21</v>
      </c>
      <c r="E233" s="287" t="s">
        <v>117</v>
      </c>
      <c r="F233" s="289">
        <v>20</v>
      </c>
      <c r="G233" s="289">
        <v>5.17</v>
      </c>
      <c r="H233" s="290">
        <f t="shared" si="47"/>
        <v>6.5839950000000007</v>
      </c>
      <c r="I233" s="291">
        <f t="shared" si="48"/>
        <v>131.6799</v>
      </c>
      <c r="J233" s="292"/>
      <c r="K233" s="293">
        <f t="shared" si="49"/>
        <v>0</v>
      </c>
      <c r="L233" s="291"/>
      <c r="M233" s="293">
        <f t="shared" si="50"/>
        <v>0</v>
      </c>
      <c r="N233" s="293">
        <f t="shared" si="51"/>
        <v>0</v>
      </c>
      <c r="O233" s="294">
        <f t="shared" si="52"/>
        <v>0</v>
      </c>
      <c r="P233" s="296"/>
      <c r="Q233" s="296"/>
    </row>
    <row r="234" spans="1:17" ht="51" x14ac:dyDescent="0.25">
      <c r="A234" s="89" t="s">
        <v>551</v>
      </c>
      <c r="B234" s="287" t="s">
        <v>552</v>
      </c>
      <c r="C234" s="288" t="s">
        <v>553</v>
      </c>
      <c r="D234" s="287" t="s">
        <v>21</v>
      </c>
      <c r="E234" s="287" t="s">
        <v>117</v>
      </c>
      <c r="F234" s="289">
        <v>4</v>
      </c>
      <c r="G234" s="289">
        <v>9.14</v>
      </c>
      <c r="H234" s="290">
        <f t="shared" si="47"/>
        <v>11.639790000000001</v>
      </c>
      <c r="I234" s="291">
        <f t="shared" si="48"/>
        <v>46.559160000000006</v>
      </c>
      <c r="J234" s="292"/>
      <c r="K234" s="293">
        <f t="shared" si="49"/>
        <v>0</v>
      </c>
      <c r="L234" s="291"/>
      <c r="M234" s="293">
        <f t="shared" si="50"/>
        <v>0</v>
      </c>
      <c r="N234" s="293">
        <f t="shared" si="51"/>
        <v>0</v>
      </c>
      <c r="O234" s="294">
        <f t="shared" si="52"/>
        <v>0</v>
      </c>
      <c r="P234" s="296"/>
      <c r="Q234" s="296"/>
    </row>
    <row r="235" spans="1:17" ht="51" x14ac:dyDescent="0.25">
      <c r="A235" s="89" t="s">
        <v>554</v>
      </c>
      <c r="B235" s="287" t="s">
        <v>555</v>
      </c>
      <c r="C235" s="288" t="s">
        <v>556</v>
      </c>
      <c r="D235" s="287" t="s">
        <v>21</v>
      </c>
      <c r="E235" s="287" t="s">
        <v>117</v>
      </c>
      <c r="F235" s="289">
        <v>17</v>
      </c>
      <c r="G235" s="289">
        <v>13.97</v>
      </c>
      <c r="H235" s="290">
        <f t="shared" si="47"/>
        <v>17.790795000000003</v>
      </c>
      <c r="I235" s="291">
        <f t="shared" si="48"/>
        <v>302.44351500000005</v>
      </c>
      <c r="J235" s="292"/>
      <c r="K235" s="293">
        <f t="shared" si="49"/>
        <v>0</v>
      </c>
      <c r="L235" s="291"/>
      <c r="M235" s="293">
        <f t="shared" si="50"/>
        <v>0</v>
      </c>
      <c r="N235" s="293">
        <f t="shared" si="51"/>
        <v>0</v>
      </c>
      <c r="O235" s="294">
        <f t="shared" si="52"/>
        <v>0</v>
      </c>
      <c r="P235" s="296"/>
      <c r="Q235" s="296"/>
    </row>
    <row r="236" spans="1:17" ht="51" x14ac:dyDescent="0.25">
      <c r="A236" s="89" t="s">
        <v>557</v>
      </c>
      <c r="B236" s="287" t="s">
        <v>558</v>
      </c>
      <c r="C236" s="288" t="s">
        <v>559</v>
      </c>
      <c r="D236" s="287" t="s">
        <v>21</v>
      </c>
      <c r="E236" s="287" t="s">
        <v>117</v>
      </c>
      <c r="F236" s="289">
        <v>11</v>
      </c>
      <c r="G236" s="289">
        <v>11.55</v>
      </c>
      <c r="H236" s="290">
        <f t="shared" si="47"/>
        <v>14.708925000000002</v>
      </c>
      <c r="I236" s="291">
        <f t="shared" si="48"/>
        <v>161.79817500000001</v>
      </c>
      <c r="J236" s="292"/>
      <c r="K236" s="293">
        <f t="shared" si="49"/>
        <v>0</v>
      </c>
      <c r="L236" s="291"/>
      <c r="M236" s="293">
        <f t="shared" si="50"/>
        <v>0</v>
      </c>
      <c r="N236" s="293">
        <f t="shared" si="51"/>
        <v>0</v>
      </c>
      <c r="O236" s="294">
        <f t="shared" si="52"/>
        <v>0</v>
      </c>
      <c r="P236" s="296"/>
      <c r="Q236" s="296"/>
    </row>
    <row r="237" spans="1:17" ht="25.5" x14ac:dyDescent="0.25">
      <c r="A237" s="89" t="s">
        <v>560</v>
      </c>
      <c r="B237" s="287" t="s">
        <v>561</v>
      </c>
      <c r="C237" s="288" t="s">
        <v>562</v>
      </c>
      <c r="D237" s="287" t="s">
        <v>21</v>
      </c>
      <c r="E237" s="287" t="s">
        <v>117</v>
      </c>
      <c r="F237" s="289">
        <v>1</v>
      </c>
      <c r="G237" s="289">
        <v>12.86</v>
      </c>
      <c r="H237" s="290">
        <f t="shared" si="47"/>
        <v>16.377210000000002</v>
      </c>
      <c r="I237" s="291">
        <f t="shared" si="48"/>
        <v>16.377210000000002</v>
      </c>
      <c r="J237" s="292"/>
      <c r="K237" s="293">
        <f t="shared" si="49"/>
        <v>0</v>
      </c>
      <c r="L237" s="291"/>
      <c r="M237" s="293">
        <f t="shared" si="50"/>
        <v>0</v>
      </c>
      <c r="N237" s="293">
        <f t="shared" si="51"/>
        <v>0</v>
      </c>
      <c r="O237" s="294">
        <f t="shared" si="52"/>
        <v>0</v>
      </c>
      <c r="P237" s="296"/>
      <c r="Q237" s="296"/>
    </row>
    <row r="238" spans="1:17" ht="25.5" x14ac:dyDescent="0.25">
      <c r="A238" s="89" t="s">
        <v>563</v>
      </c>
      <c r="B238" s="287" t="s">
        <v>564</v>
      </c>
      <c r="C238" s="288" t="s">
        <v>565</v>
      </c>
      <c r="D238" s="287" t="s">
        <v>21</v>
      </c>
      <c r="E238" s="287" t="s">
        <v>117</v>
      </c>
      <c r="F238" s="289">
        <v>4</v>
      </c>
      <c r="G238" s="289">
        <v>14.75</v>
      </c>
      <c r="H238" s="290">
        <f t="shared" si="47"/>
        <v>18.784125</v>
      </c>
      <c r="I238" s="291">
        <f t="shared" si="48"/>
        <v>75.136499999999998</v>
      </c>
      <c r="J238" s="292"/>
      <c r="K238" s="293">
        <f t="shared" si="49"/>
        <v>0</v>
      </c>
      <c r="L238" s="291"/>
      <c r="M238" s="293">
        <f t="shared" si="50"/>
        <v>0</v>
      </c>
      <c r="N238" s="293">
        <f t="shared" si="51"/>
        <v>0</v>
      </c>
      <c r="O238" s="294">
        <f t="shared" si="52"/>
        <v>0</v>
      </c>
      <c r="P238" s="296"/>
      <c r="Q238" s="296"/>
    </row>
    <row r="239" spans="1:17" x14ac:dyDescent="0.25">
      <c r="A239" s="89"/>
      <c r="B239" s="297"/>
      <c r="C239" s="298"/>
      <c r="D239" s="297"/>
      <c r="E239" s="297"/>
      <c r="F239" s="299"/>
      <c r="G239" s="299"/>
      <c r="H239" s="300"/>
      <c r="I239" s="301">
        <f>SUM(I179:I238)</f>
        <v>30647.858192099982</v>
      </c>
      <c r="J239" s="301">
        <f t="shared" ref="J239:K239" si="53">SUM(J179:J238)</f>
        <v>0</v>
      </c>
      <c r="K239" s="302">
        <f t="shared" si="53"/>
        <v>0</v>
      </c>
      <c r="L239" s="301"/>
      <c r="M239" s="293">
        <f t="shared" si="50"/>
        <v>0</v>
      </c>
      <c r="N239" s="293">
        <f t="shared" si="51"/>
        <v>0</v>
      </c>
      <c r="O239" s="294">
        <f t="shared" si="52"/>
        <v>0</v>
      </c>
      <c r="P239" s="296"/>
      <c r="Q239" s="296"/>
    </row>
    <row r="240" spans="1:17" s="230" customFormat="1" x14ac:dyDescent="0.25">
      <c r="A240" s="89"/>
      <c r="B240" s="303"/>
      <c r="C240" s="304"/>
      <c r="D240" s="287"/>
      <c r="E240" s="287"/>
      <c r="F240" s="289"/>
      <c r="G240" s="289"/>
      <c r="H240" s="290"/>
      <c r="I240" s="305"/>
      <c r="J240" s="306"/>
      <c r="K240" s="293">
        <f t="shared" si="49"/>
        <v>0</v>
      </c>
      <c r="L240" s="305"/>
      <c r="M240" s="293">
        <f t="shared" si="50"/>
        <v>0</v>
      </c>
      <c r="N240" s="293">
        <f t="shared" si="51"/>
        <v>0</v>
      </c>
      <c r="O240" s="294"/>
      <c r="P240" s="296"/>
      <c r="Q240" s="296"/>
    </row>
    <row r="241" spans="1:18" ht="20.100000000000001" customHeight="1" x14ac:dyDescent="0.25">
      <c r="A241" s="307" t="s">
        <v>566</v>
      </c>
      <c r="B241" s="308" t="s">
        <v>567</v>
      </c>
      <c r="C241" s="309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94"/>
      <c r="P241" s="296"/>
      <c r="Q241" s="296"/>
    </row>
    <row r="242" spans="1:18" ht="25.5" x14ac:dyDescent="0.25">
      <c r="A242" s="89" t="s">
        <v>568</v>
      </c>
      <c r="B242" s="287" t="s">
        <v>569</v>
      </c>
      <c r="C242" s="288" t="s">
        <v>570</v>
      </c>
      <c r="D242" s="287" t="s">
        <v>21</v>
      </c>
      <c r="E242" s="287" t="s">
        <v>69</v>
      </c>
      <c r="F242" s="289">
        <v>2197.91</v>
      </c>
      <c r="G242" s="289">
        <v>2.1800000000000002</v>
      </c>
      <c r="H242" s="290">
        <f t="shared" ref="H242:H250" si="54">G242*$Q$10</f>
        <v>2.7762300000000004</v>
      </c>
      <c r="I242" s="291">
        <f t="shared" ref="I242:I250" si="55">H242*F242</f>
        <v>6101.9036793000005</v>
      </c>
      <c r="J242" s="292"/>
      <c r="K242" s="293">
        <f t="shared" si="49"/>
        <v>0</v>
      </c>
      <c r="L242" s="291"/>
      <c r="M242" s="293">
        <f t="shared" si="50"/>
        <v>0</v>
      </c>
      <c r="N242" s="293">
        <f t="shared" si="51"/>
        <v>0</v>
      </c>
      <c r="O242" s="294">
        <f t="shared" si="52"/>
        <v>0</v>
      </c>
      <c r="P242" s="296"/>
      <c r="Q242" s="296"/>
    </row>
    <row r="243" spans="1:18" ht="25.5" x14ac:dyDescent="0.25">
      <c r="A243" s="89" t="s">
        <v>571</v>
      </c>
      <c r="B243" s="287" t="s">
        <v>572</v>
      </c>
      <c r="C243" s="288" t="s">
        <v>573</v>
      </c>
      <c r="D243" s="287" t="s">
        <v>21</v>
      </c>
      <c r="E243" s="287" t="s">
        <v>69</v>
      </c>
      <c r="F243" s="289">
        <v>653.14</v>
      </c>
      <c r="G243" s="289">
        <v>1.89</v>
      </c>
      <c r="H243" s="290">
        <f t="shared" si="54"/>
        <v>2.4069150000000001</v>
      </c>
      <c r="I243" s="291">
        <f t="shared" si="55"/>
        <v>1572.0524631000001</v>
      </c>
      <c r="J243" s="292"/>
      <c r="K243" s="293">
        <f t="shared" si="49"/>
        <v>0</v>
      </c>
      <c r="L243" s="291"/>
      <c r="M243" s="293">
        <f t="shared" si="50"/>
        <v>0</v>
      </c>
      <c r="N243" s="293">
        <f t="shared" si="51"/>
        <v>0</v>
      </c>
      <c r="O243" s="294">
        <f t="shared" si="52"/>
        <v>0</v>
      </c>
      <c r="P243" s="296"/>
      <c r="Q243" s="296"/>
    </row>
    <row r="244" spans="1:18" ht="25.5" x14ac:dyDescent="0.25">
      <c r="A244" s="89" t="s">
        <v>574</v>
      </c>
      <c r="B244" s="287" t="s">
        <v>575</v>
      </c>
      <c r="C244" s="288" t="s">
        <v>576</v>
      </c>
      <c r="D244" s="287" t="s">
        <v>21</v>
      </c>
      <c r="E244" s="287" t="s">
        <v>69</v>
      </c>
      <c r="F244" s="289">
        <v>653.14</v>
      </c>
      <c r="G244" s="289">
        <v>13.66</v>
      </c>
      <c r="H244" s="290">
        <f t="shared" si="54"/>
        <v>17.39601</v>
      </c>
      <c r="I244" s="291">
        <f t="shared" si="55"/>
        <v>11362.029971399999</v>
      </c>
      <c r="J244" s="292"/>
      <c r="K244" s="293">
        <f t="shared" si="49"/>
        <v>0</v>
      </c>
      <c r="L244" s="291"/>
      <c r="M244" s="293">
        <f t="shared" si="50"/>
        <v>0</v>
      </c>
      <c r="N244" s="293">
        <f t="shared" si="51"/>
        <v>0</v>
      </c>
      <c r="O244" s="294">
        <f t="shared" si="52"/>
        <v>0</v>
      </c>
      <c r="P244" s="296"/>
      <c r="Q244" s="296"/>
    </row>
    <row r="245" spans="1:18" ht="39.75" customHeight="1" x14ac:dyDescent="0.25">
      <c r="A245" s="89" t="s">
        <v>577</v>
      </c>
      <c r="B245" s="287" t="s">
        <v>578</v>
      </c>
      <c r="C245" s="288" t="s">
        <v>579</v>
      </c>
      <c r="D245" s="287" t="s">
        <v>12</v>
      </c>
      <c r="E245" s="287" t="s">
        <v>13</v>
      </c>
      <c r="F245" s="289">
        <v>1933.7</v>
      </c>
      <c r="G245" s="289">
        <v>13.49</v>
      </c>
      <c r="H245" s="290">
        <f t="shared" si="54"/>
        <v>17.179515000000002</v>
      </c>
      <c r="I245" s="291">
        <f t="shared" si="55"/>
        <v>33220.028155500004</v>
      </c>
      <c r="J245" s="292"/>
      <c r="K245" s="293">
        <f t="shared" si="49"/>
        <v>0</v>
      </c>
      <c r="L245" s="291"/>
      <c r="M245" s="293">
        <f t="shared" si="50"/>
        <v>0</v>
      </c>
      <c r="N245" s="293">
        <f t="shared" si="51"/>
        <v>0</v>
      </c>
      <c r="O245" s="294">
        <f t="shared" si="52"/>
        <v>0</v>
      </c>
      <c r="P245" s="296"/>
      <c r="Q245" s="296"/>
    </row>
    <row r="246" spans="1:18" ht="38.25" x14ac:dyDescent="0.25">
      <c r="A246" s="89" t="s">
        <v>580</v>
      </c>
      <c r="B246" s="287" t="s">
        <v>581</v>
      </c>
      <c r="C246" s="288" t="s">
        <v>582</v>
      </c>
      <c r="D246" s="287" t="s">
        <v>21</v>
      </c>
      <c r="E246" s="287" t="s">
        <v>69</v>
      </c>
      <c r="F246" s="289">
        <v>2197.91</v>
      </c>
      <c r="G246" s="289">
        <v>9.89</v>
      </c>
      <c r="H246" s="290">
        <f t="shared" si="54"/>
        <v>12.594915000000002</v>
      </c>
      <c r="I246" s="291">
        <f t="shared" si="55"/>
        <v>27682.489627650004</v>
      </c>
      <c r="J246" s="292"/>
      <c r="K246" s="293">
        <f t="shared" si="49"/>
        <v>0</v>
      </c>
      <c r="L246" s="291"/>
      <c r="M246" s="293">
        <f t="shared" si="50"/>
        <v>0</v>
      </c>
      <c r="N246" s="293">
        <f t="shared" si="51"/>
        <v>0</v>
      </c>
      <c r="O246" s="294">
        <f t="shared" si="52"/>
        <v>0</v>
      </c>
      <c r="P246" s="296"/>
      <c r="Q246" s="296"/>
    </row>
    <row r="247" spans="1:18" ht="25.5" x14ac:dyDescent="0.25">
      <c r="A247" s="89" t="s">
        <v>583</v>
      </c>
      <c r="B247" s="287" t="s">
        <v>584</v>
      </c>
      <c r="C247" s="288" t="s">
        <v>585</v>
      </c>
      <c r="D247" s="287" t="s">
        <v>21</v>
      </c>
      <c r="E247" s="287" t="s">
        <v>69</v>
      </c>
      <c r="F247" s="289">
        <v>653.14</v>
      </c>
      <c r="G247" s="289">
        <v>11.23</v>
      </c>
      <c r="H247" s="290">
        <f t="shared" si="54"/>
        <v>14.301405000000001</v>
      </c>
      <c r="I247" s="291">
        <f t="shared" si="55"/>
        <v>9340.8196617000012</v>
      </c>
      <c r="J247" s="292"/>
      <c r="K247" s="293">
        <f t="shared" si="49"/>
        <v>0</v>
      </c>
      <c r="L247" s="291"/>
      <c r="M247" s="293">
        <f t="shared" si="50"/>
        <v>0</v>
      </c>
      <c r="N247" s="293">
        <f t="shared" si="51"/>
        <v>0</v>
      </c>
      <c r="O247" s="294">
        <f t="shared" si="52"/>
        <v>0</v>
      </c>
      <c r="P247" s="296"/>
      <c r="Q247" s="296"/>
    </row>
    <row r="248" spans="1:18" ht="38.25" x14ac:dyDescent="0.25">
      <c r="A248" s="89" t="s">
        <v>586</v>
      </c>
      <c r="B248" s="287" t="s">
        <v>587</v>
      </c>
      <c r="C248" s="288" t="s">
        <v>588</v>
      </c>
      <c r="D248" s="287" t="s">
        <v>21</v>
      </c>
      <c r="E248" s="287" t="s">
        <v>69</v>
      </c>
      <c r="F248" s="289">
        <v>69.72</v>
      </c>
      <c r="G248" s="289">
        <v>9.9700000000000006</v>
      </c>
      <c r="H248" s="290">
        <f t="shared" si="54"/>
        <v>12.696795000000002</v>
      </c>
      <c r="I248" s="291">
        <f t="shared" si="55"/>
        <v>885.2205474000001</v>
      </c>
      <c r="J248" s="292"/>
      <c r="K248" s="293">
        <f t="shared" si="49"/>
        <v>0</v>
      </c>
      <c r="L248" s="291"/>
      <c r="M248" s="293">
        <f t="shared" si="50"/>
        <v>0</v>
      </c>
      <c r="N248" s="293">
        <f t="shared" si="51"/>
        <v>0</v>
      </c>
      <c r="O248" s="294">
        <f t="shared" si="52"/>
        <v>0</v>
      </c>
      <c r="P248" s="296"/>
      <c r="Q248" s="296"/>
    </row>
    <row r="249" spans="1:18" ht="63.75" x14ac:dyDescent="0.25">
      <c r="A249" s="89" t="s">
        <v>589</v>
      </c>
      <c r="B249" s="287" t="s">
        <v>590</v>
      </c>
      <c r="C249" s="288" t="s">
        <v>591</v>
      </c>
      <c r="D249" s="287" t="s">
        <v>21</v>
      </c>
      <c r="E249" s="287" t="s">
        <v>69</v>
      </c>
      <c r="F249" s="289">
        <v>64.91</v>
      </c>
      <c r="G249" s="289">
        <v>8.27</v>
      </c>
      <c r="H249" s="290">
        <f t="shared" si="54"/>
        <v>10.531845000000001</v>
      </c>
      <c r="I249" s="291">
        <f t="shared" si="55"/>
        <v>683.62205895</v>
      </c>
      <c r="J249" s="292"/>
      <c r="K249" s="293">
        <f t="shared" si="49"/>
        <v>0</v>
      </c>
      <c r="L249" s="291"/>
      <c r="M249" s="293">
        <f t="shared" si="50"/>
        <v>0</v>
      </c>
      <c r="N249" s="293">
        <f t="shared" si="51"/>
        <v>0</v>
      </c>
      <c r="O249" s="294">
        <f t="shared" si="52"/>
        <v>0</v>
      </c>
      <c r="P249" s="296"/>
      <c r="Q249" s="296"/>
    </row>
    <row r="250" spans="1:18" ht="51" x14ac:dyDescent="0.25">
      <c r="A250" s="89" t="s">
        <v>592</v>
      </c>
      <c r="B250" s="287" t="s">
        <v>593</v>
      </c>
      <c r="C250" s="288" t="s">
        <v>594</v>
      </c>
      <c r="D250" s="287" t="s">
        <v>21</v>
      </c>
      <c r="E250" s="287" t="s">
        <v>69</v>
      </c>
      <c r="F250" s="289">
        <v>64.91</v>
      </c>
      <c r="G250" s="289">
        <v>6.5</v>
      </c>
      <c r="H250" s="290">
        <f t="shared" si="54"/>
        <v>8.2777500000000011</v>
      </c>
      <c r="I250" s="291">
        <f t="shared" si="55"/>
        <v>537.30875250000008</v>
      </c>
      <c r="J250" s="292"/>
      <c r="K250" s="293">
        <f t="shared" si="49"/>
        <v>0</v>
      </c>
      <c r="L250" s="291"/>
      <c r="M250" s="293">
        <f t="shared" si="50"/>
        <v>0</v>
      </c>
      <c r="N250" s="293">
        <f t="shared" si="51"/>
        <v>0</v>
      </c>
      <c r="O250" s="294">
        <f t="shared" si="52"/>
        <v>0</v>
      </c>
      <c r="P250" s="296"/>
      <c r="Q250" s="296"/>
    </row>
    <row r="251" spans="1:18" x14ac:dyDescent="0.25">
      <c r="A251" s="89"/>
      <c r="B251" s="297"/>
      <c r="C251" s="298"/>
      <c r="D251" s="297"/>
      <c r="E251" s="297"/>
      <c r="F251" s="299"/>
      <c r="G251" s="299"/>
      <c r="H251" s="300"/>
      <c r="I251" s="301">
        <f>SUM(I242:I250)</f>
        <v>91385.474917500003</v>
      </c>
      <c r="J251" s="301">
        <f t="shared" ref="J251:K251" si="56">SUM(J242:J250)</f>
        <v>0</v>
      </c>
      <c r="K251" s="302">
        <f t="shared" si="56"/>
        <v>0</v>
      </c>
      <c r="L251" s="301"/>
      <c r="M251" s="293">
        <f t="shared" si="50"/>
        <v>0</v>
      </c>
      <c r="N251" s="293">
        <f t="shared" si="51"/>
        <v>0</v>
      </c>
      <c r="O251" s="294">
        <f t="shared" si="52"/>
        <v>0</v>
      </c>
      <c r="P251" s="296"/>
      <c r="Q251" s="296"/>
    </row>
    <row r="252" spans="1:18" s="230" customFormat="1" x14ac:dyDescent="0.25">
      <c r="A252" s="89"/>
      <c r="B252" s="303"/>
      <c r="C252" s="304"/>
      <c r="D252" s="287"/>
      <c r="E252" s="287"/>
      <c r="F252" s="289"/>
      <c r="G252" s="289"/>
      <c r="H252" s="290"/>
      <c r="I252" s="305"/>
      <c r="J252" s="306"/>
      <c r="K252" s="293">
        <f t="shared" si="49"/>
        <v>0</v>
      </c>
      <c r="L252" s="305"/>
      <c r="M252" s="293">
        <f t="shared" si="50"/>
        <v>0</v>
      </c>
      <c r="N252" s="293">
        <f t="shared" si="51"/>
        <v>0</v>
      </c>
      <c r="O252" s="294"/>
      <c r="P252" s="296"/>
      <c r="Q252" s="296"/>
    </row>
    <row r="253" spans="1:18" ht="20.100000000000001" customHeight="1" x14ac:dyDescent="0.25">
      <c r="A253" s="307" t="s">
        <v>595</v>
      </c>
      <c r="B253" s="308" t="s">
        <v>596</v>
      </c>
      <c r="C253" s="309"/>
      <c r="D253" s="281"/>
      <c r="E253" s="281"/>
      <c r="F253" s="281"/>
      <c r="G253" s="281"/>
      <c r="H253" s="281"/>
      <c r="I253" s="281"/>
      <c r="J253" s="281"/>
      <c r="K253" s="281"/>
      <c r="L253" s="281"/>
      <c r="M253" s="281"/>
      <c r="N253" s="281"/>
      <c r="O253" s="294"/>
      <c r="P253" s="296"/>
      <c r="Q253" s="296"/>
    </row>
    <row r="254" spans="1:18" x14ac:dyDescent="0.25">
      <c r="A254" s="89" t="s">
        <v>597</v>
      </c>
      <c r="B254" s="287" t="s">
        <v>598</v>
      </c>
      <c r="C254" s="288" t="s">
        <v>599</v>
      </c>
      <c r="D254" s="287" t="s">
        <v>12</v>
      </c>
      <c r="E254" s="287" t="s">
        <v>13</v>
      </c>
      <c r="F254" s="289">
        <v>1046.48</v>
      </c>
      <c r="G254" s="289">
        <v>1.86</v>
      </c>
      <c r="H254" s="290">
        <f>G254*$Q$10</f>
        <v>2.3687100000000001</v>
      </c>
      <c r="I254" s="291">
        <f t="shared" ref="I254:I264" si="57">H254*F254</f>
        <v>2478.8076408000002</v>
      </c>
      <c r="J254" s="292"/>
      <c r="K254" s="293">
        <f t="shared" si="49"/>
        <v>0</v>
      </c>
      <c r="L254" s="291"/>
      <c r="M254" s="293">
        <f t="shared" si="50"/>
        <v>0</v>
      </c>
      <c r="N254" s="293">
        <f t="shared" si="51"/>
        <v>0</v>
      </c>
      <c r="O254" s="294">
        <f t="shared" si="52"/>
        <v>0</v>
      </c>
      <c r="P254" s="296"/>
      <c r="Q254" s="296"/>
    </row>
    <row r="255" spans="1:18" x14ac:dyDescent="0.25">
      <c r="A255" s="89" t="s">
        <v>600</v>
      </c>
      <c r="B255" s="287" t="s">
        <v>601</v>
      </c>
      <c r="C255" s="288" t="s">
        <v>602</v>
      </c>
      <c r="D255" s="287" t="s">
        <v>12</v>
      </c>
      <c r="E255" s="287" t="s">
        <v>133</v>
      </c>
      <c r="F255" s="289">
        <v>7</v>
      </c>
      <c r="G255" s="289">
        <v>466.47</v>
      </c>
      <c r="H255" s="290">
        <f>G255*$Q$10</f>
        <v>594.04954500000008</v>
      </c>
      <c r="I255" s="291">
        <f t="shared" si="57"/>
        <v>4158.3468150000008</v>
      </c>
      <c r="J255" s="292"/>
      <c r="K255" s="293">
        <f t="shared" si="49"/>
        <v>0</v>
      </c>
      <c r="L255" s="291"/>
      <c r="M255" s="293">
        <f t="shared" si="50"/>
        <v>0</v>
      </c>
      <c r="N255" s="293">
        <f t="shared" si="51"/>
        <v>0</v>
      </c>
      <c r="O255" s="294">
        <f t="shared" si="52"/>
        <v>0</v>
      </c>
      <c r="P255" s="296"/>
      <c r="Q255" s="296"/>
    </row>
    <row r="256" spans="1:18" s="314" customFormat="1" ht="76.5" x14ac:dyDescent="0.25">
      <c r="A256" s="89" t="s">
        <v>808</v>
      </c>
      <c r="B256" s="310">
        <v>87503</v>
      </c>
      <c r="C256" s="318" t="s">
        <v>68</v>
      </c>
      <c r="D256" s="310" t="s">
        <v>21</v>
      </c>
      <c r="E256" s="310" t="s">
        <v>69</v>
      </c>
      <c r="F256" s="312">
        <v>26.54</v>
      </c>
      <c r="G256" s="312">
        <v>52.58</v>
      </c>
      <c r="H256" s="313">
        <f t="shared" ref="H256:H264" si="58">G256*$Q$10*$R$7</f>
        <v>58.255748099999998</v>
      </c>
      <c r="I256" s="291">
        <f t="shared" si="57"/>
        <v>1546.107554574</v>
      </c>
      <c r="J256" s="292"/>
      <c r="K256" s="293">
        <f t="shared" si="49"/>
        <v>0</v>
      </c>
      <c r="L256" s="291"/>
      <c r="M256" s="293">
        <f t="shared" si="50"/>
        <v>0</v>
      </c>
      <c r="N256" s="293">
        <f t="shared" si="51"/>
        <v>0</v>
      </c>
      <c r="O256" s="294">
        <f t="shared" si="52"/>
        <v>0</v>
      </c>
      <c r="P256" s="296"/>
      <c r="Q256" s="296"/>
      <c r="R256" s="230"/>
    </row>
    <row r="257" spans="1:18" s="314" customFormat="1" ht="38.25" x14ac:dyDescent="0.25">
      <c r="A257" s="89" t="s">
        <v>809</v>
      </c>
      <c r="B257" s="310">
        <v>94319</v>
      </c>
      <c r="C257" s="318" t="s">
        <v>30</v>
      </c>
      <c r="D257" s="310" t="s">
        <v>21</v>
      </c>
      <c r="E257" s="310" t="s">
        <v>31</v>
      </c>
      <c r="F257" s="312">
        <v>30.48</v>
      </c>
      <c r="G257" s="312">
        <v>30.08</v>
      </c>
      <c r="H257" s="313">
        <f t="shared" si="58"/>
        <v>33.3269856</v>
      </c>
      <c r="I257" s="291">
        <f t="shared" si="57"/>
        <v>1015.8065210880001</v>
      </c>
      <c r="J257" s="292"/>
      <c r="K257" s="293">
        <f t="shared" si="49"/>
        <v>0</v>
      </c>
      <c r="L257" s="291"/>
      <c r="M257" s="293">
        <f t="shared" si="50"/>
        <v>0</v>
      </c>
      <c r="N257" s="293">
        <f t="shared" si="51"/>
        <v>0</v>
      </c>
      <c r="O257" s="294">
        <f t="shared" si="52"/>
        <v>0</v>
      </c>
      <c r="P257" s="296"/>
      <c r="Q257" s="296"/>
      <c r="R257" s="230"/>
    </row>
    <row r="258" spans="1:18" s="314" customFormat="1" ht="60" x14ac:dyDescent="0.25">
      <c r="A258" s="89" t="s">
        <v>810</v>
      </c>
      <c r="B258" s="310">
        <v>94992</v>
      </c>
      <c r="C258" s="315" t="s">
        <v>811</v>
      </c>
      <c r="D258" s="310" t="s">
        <v>21</v>
      </c>
      <c r="E258" s="310" t="s">
        <v>69</v>
      </c>
      <c r="F258" s="312">
        <v>40.64</v>
      </c>
      <c r="G258" s="312">
        <v>65.216600999999997</v>
      </c>
      <c r="H258" s="313">
        <f t="shared" si="58"/>
        <v>72.25640699494501</v>
      </c>
      <c r="I258" s="291">
        <f t="shared" si="57"/>
        <v>2936.500380274565</v>
      </c>
      <c r="J258" s="292"/>
      <c r="K258" s="293">
        <f t="shared" si="49"/>
        <v>0</v>
      </c>
      <c r="L258" s="291"/>
      <c r="M258" s="293">
        <f t="shared" si="50"/>
        <v>0</v>
      </c>
      <c r="N258" s="293">
        <f t="shared" si="51"/>
        <v>0</v>
      </c>
      <c r="O258" s="294">
        <f t="shared" si="52"/>
        <v>0</v>
      </c>
      <c r="P258" s="296"/>
      <c r="Q258" s="296"/>
      <c r="R258" s="230"/>
    </row>
    <row r="259" spans="1:18" s="314" customFormat="1" ht="63.75" x14ac:dyDescent="0.25">
      <c r="A259" s="89" t="s">
        <v>812</v>
      </c>
      <c r="B259" s="310">
        <v>87632</v>
      </c>
      <c r="C259" s="318" t="s">
        <v>153</v>
      </c>
      <c r="D259" s="310" t="s">
        <v>21</v>
      </c>
      <c r="E259" s="310" t="s">
        <v>69</v>
      </c>
      <c r="F259" s="312">
        <v>40.64</v>
      </c>
      <c r="G259" s="312">
        <v>27.26</v>
      </c>
      <c r="H259" s="313">
        <f t="shared" si="58"/>
        <v>30.202580700000006</v>
      </c>
      <c r="I259" s="291">
        <f t="shared" si="57"/>
        <v>1227.4328796480002</v>
      </c>
      <c r="J259" s="292"/>
      <c r="K259" s="293">
        <f t="shared" si="49"/>
        <v>0</v>
      </c>
      <c r="L259" s="291"/>
      <c r="M259" s="293">
        <f t="shared" si="50"/>
        <v>0</v>
      </c>
      <c r="N259" s="293">
        <f t="shared" si="51"/>
        <v>0</v>
      </c>
      <c r="O259" s="294">
        <f t="shared" si="52"/>
        <v>0</v>
      </c>
      <c r="P259" s="296"/>
      <c r="Q259" s="296"/>
      <c r="R259" s="230"/>
    </row>
    <row r="260" spans="1:18" s="314" customFormat="1" ht="51" x14ac:dyDescent="0.25">
      <c r="A260" s="89" t="s">
        <v>813</v>
      </c>
      <c r="B260" s="310">
        <v>87879</v>
      </c>
      <c r="C260" s="318" t="s">
        <v>173</v>
      </c>
      <c r="D260" s="310" t="s">
        <v>21</v>
      </c>
      <c r="E260" s="310" t="s">
        <v>69</v>
      </c>
      <c r="F260" s="312">
        <v>18.989999999999998</v>
      </c>
      <c r="G260" s="312">
        <v>2.64</v>
      </c>
      <c r="H260" s="313">
        <f t="shared" si="58"/>
        <v>2.9249748000000002</v>
      </c>
      <c r="I260" s="291">
        <f t="shared" si="57"/>
        <v>55.545271452000001</v>
      </c>
      <c r="J260" s="292"/>
      <c r="K260" s="293">
        <f t="shared" si="49"/>
        <v>0</v>
      </c>
      <c r="L260" s="291"/>
      <c r="M260" s="293">
        <f t="shared" si="50"/>
        <v>0</v>
      </c>
      <c r="N260" s="293">
        <f t="shared" si="51"/>
        <v>0</v>
      </c>
      <c r="O260" s="294">
        <f t="shared" si="52"/>
        <v>0</v>
      </c>
      <c r="P260" s="296"/>
      <c r="Q260" s="296"/>
      <c r="R260" s="230"/>
    </row>
    <row r="261" spans="1:18" s="314" customFormat="1" ht="76.5" x14ac:dyDescent="0.25">
      <c r="A261" s="89" t="s">
        <v>814</v>
      </c>
      <c r="B261" s="310">
        <v>87547</v>
      </c>
      <c r="C261" s="318" t="s">
        <v>176</v>
      </c>
      <c r="D261" s="310" t="s">
        <v>21</v>
      </c>
      <c r="E261" s="310" t="s">
        <v>69</v>
      </c>
      <c r="F261" s="312">
        <v>18.989999999999998</v>
      </c>
      <c r="G261" s="312">
        <v>14.42</v>
      </c>
      <c r="H261" s="313">
        <f t="shared" si="58"/>
        <v>15.976566900000002</v>
      </c>
      <c r="I261" s="291">
        <f t="shared" si="57"/>
        <v>303.39500543100002</v>
      </c>
      <c r="J261" s="292"/>
      <c r="K261" s="293">
        <f t="shared" si="49"/>
        <v>0</v>
      </c>
      <c r="L261" s="291"/>
      <c r="M261" s="293">
        <f t="shared" si="50"/>
        <v>0</v>
      </c>
      <c r="N261" s="293">
        <f t="shared" si="51"/>
        <v>0</v>
      </c>
      <c r="O261" s="294">
        <f t="shared" si="52"/>
        <v>0</v>
      </c>
      <c r="P261" s="296"/>
      <c r="Q261" s="296"/>
      <c r="R261" s="230"/>
    </row>
    <row r="262" spans="1:18" s="314" customFormat="1" ht="45.75" customHeight="1" x14ac:dyDescent="0.25">
      <c r="A262" s="89" t="s">
        <v>815</v>
      </c>
      <c r="B262" s="310" t="s">
        <v>578</v>
      </c>
      <c r="C262" s="318" t="s">
        <v>579</v>
      </c>
      <c r="D262" s="310" t="s">
        <v>12</v>
      </c>
      <c r="E262" s="310" t="s">
        <v>13</v>
      </c>
      <c r="F262" s="312">
        <v>18.989999999999998</v>
      </c>
      <c r="G262" s="312">
        <v>13.49</v>
      </c>
      <c r="H262" s="313">
        <f t="shared" si="58"/>
        <v>14.946178050000002</v>
      </c>
      <c r="I262" s="291">
        <f t="shared" si="57"/>
        <v>283.82792116950003</v>
      </c>
      <c r="J262" s="292"/>
      <c r="K262" s="293">
        <f t="shared" si="49"/>
        <v>0</v>
      </c>
      <c r="L262" s="291"/>
      <c r="M262" s="293">
        <f t="shared" si="50"/>
        <v>0</v>
      </c>
      <c r="N262" s="293">
        <f t="shared" si="51"/>
        <v>0</v>
      </c>
      <c r="O262" s="294">
        <f t="shared" si="52"/>
        <v>0</v>
      </c>
      <c r="P262" s="296"/>
      <c r="Q262" s="296"/>
      <c r="R262" s="230"/>
    </row>
    <row r="263" spans="1:18" s="314" customFormat="1" ht="25.5" x14ac:dyDescent="0.25">
      <c r="A263" s="89" t="s">
        <v>816</v>
      </c>
      <c r="B263" s="310">
        <v>88485</v>
      </c>
      <c r="C263" s="318" t="s">
        <v>573</v>
      </c>
      <c r="D263" s="310" t="s">
        <v>21</v>
      </c>
      <c r="E263" s="310" t="s">
        <v>69</v>
      </c>
      <c r="F263" s="312">
        <v>18.989999999999998</v>
      </c>
      <c r="G263" s="312">
        <v>1.89</v>
      </c>
      <c r="H263" s="313">
        <f t="shared" si="58"/>
        <v>2.09401605</v>
      </c>
      <c r="I263" s="291">
        <f t="shared" si="57"/>
        <v>39.765364789499998</v>
      </c>
      <c r="J263" s="292"/>
      <c r="K263" s="293">
        <f t="shared" si="49"/>
        <v>0</v>
      </c>
      <c r="L263" s="291"/>
      <c r="M263" s="293">
        <f t="shared" si="50"/>
        <v>0</v>
      </c>
      <c r="N263" s="293">
        <f t="shared" si="51"/>
        <v>0</v>
      </c>
      <c r="O263" s="294">
        <f t="shared" si="52"/>
        <v>0</v>
      </c>
      <c r="P263" s="296"/>
      <c r="Q263" s="296"/>
      <c r="R263" s="230"/>
    </row>
    <row r="264" spans="1:18" s="314" customFormat="1" ht="38.25" x14ac:dyDescent="0.25">
      <c r="A264" s="89" t="s">
        <v>817</v>
      </c>
      <c r="B264" s="310">
        <v>88489</v>
      </c>
      <c r="C264" s="318" t="s">
        <v>582</v>
      </c>
      <c r="D264" s="310" t="s">
        <v>21</v>
      </c>
      <c r="E264" s="310" t="s">
        <v>69</v>
      </c>
      <c r="F264" s="312">
        <v>18.989999999999998</v>
      </c>
      <c r="G264" s="312">
        <v>9.89</v>
      </c>
      <c r="H264" s="313">
        <f t="shared" si="58"/>
        <v>10.957576050000002</v>
      </c>
      <c r="I264" s="291">
        <f t="shared" si="57"/>
        <v>208.08436918950002</v>
      </c>
      <c r="J264" s="292"/>
      <c r="K264" s="293">
        <f t="shared" si="49"/>
        <v>0</v>
      </c>
      <c r="L264" s="291"/>
      <c r="M264" s="293">
        <f t="shared" si="50"/>
        <v>0</v>
      </c>
      <c r="N264" s="293">
        <f t="shared" si="51"/>
        <v>0</v>
      </c>
      <c r="O264" s="294">
        <f t="shared" si="52"/>
        <v>0</v>
      </c>
      <c r="P264" s="296"/>
      <c r="Q264" s="296"/>
      <c r="R264" s="230"/>
    </row>
    <row r="265" spans="1:18" s="230" customFormat="1" x14ac:dyDescent="0.25">
      <c r="A265" s="89"/>
      <c r="B265" s="287"/>
      <c r="C265" s="288"/>
      <c r="D265" s="287"/>
      <c r="E265" s="287"/>
      <c r="F265" s="289"/>
      <c r="G265" s="289"/>
      <c r="H265" s="290"/>
      <c r="I265" s="291"/>
      <c r="J265" s="292"/>
      <c r="K265" s="293"/>
      <c r="L265" s="291"/>
      <c r="M265" s="293"/>
      <c r="N265" s="293"/>
      <c r="O265" s="290"/>
      <c r="P265" s="296"/>
      <c r="Q265" s="296"/>
    </row>
    <row r="266" spans="1:18" x14ac:dyDescent="0.25">
      <c r="A266" s="89"/>
      <c r="B266" s="297"/>
      <c r="C266" s="298"/>
      <c r="D266" s="297"/>
      <c r="E266" s="297"/>
      <c r="F266" s="299"/>
      <c r="G266" s="299"/>
      <c r="H266" s="300"/>
      <c r="I266" s="301">
        <f>SUM(I254:I264)</f>
        <v>14253.619723416068</v>
      </c>
      <c r="J266" s="322"/>
      <c r="K266" s="302">
        <f>SUM(K254:K264)</f>
        <v>0</v>
      </c>
      <c r="L266" s="301"/>
      <c r="M266" s="302">
        <f>SUM(M254:M265)</f>
        <v>0</v>
      </c>
      <c r="N266" s="302"/>
      <c r="O266" s="323"/>
      <c r="P266" s="324"/>
      <c r="Q266" s="296"/>
      <c r="R266" s="325"/>
    </row>
    <row r="267" spans="1:18" ht="19.5" thickBot="1" x14ac:dyDescent="0.35">
      <c r="A267" s="326"/>
      <c r="B267" s="327"/>
      <c r="C267" s="327"/>
      <c r="D267" s="327"/>
      <c r="E267" s="327"/>
      <c r="F267" s="327"/>
      <c r="G267" s="327"/>
      <c r="H267" s="328"/>
      <c r="I267" s="329"/>
      <c r="J267" s="330"/>
      <c r="K267" s="331"/>
      <c r="L267" s="332"/>
      <c r="M267" s="333"/>
      <c r="N267" s="333"/>
      <c r="O267" s="332"/>
      <c r="P267" s="334"/>
      <c r="Q267" s="296"/>
    </row>
    <row r="268" spans="1:18" ht="19.5" thickBot="1" x14ac:dyDescent="0.35">
      <c r="A268" s="335"/>
      <c r="B268" s="336"/>
      <c r="C268" s="336"/>
      <c r="D268" s="336"/>
      <c r="E268" s="336"/>
      <c r="F268" s="336"/>
      <c r="G268" s="336"/>
      <c r="H268" s="337"/>
      <c r="I268" s="338">
        <f>SUM(I9:I266)/2</f>
        <v>1388200.1251413394</v>
      </c>
      <c r="J268" s="339"/>
      <c r="K268" s="340">
        <f>SUM(K9:K266)/2</f>
        <v>734122.57828981499</v>
      </c>
      <c r="L268" s="340"/>
      <c r="M268" s="341">
        <f>SUM(M9:M266)/2</f>
        <v>141494.39653072003</v>
      </c>
      <c r="N268" s="341">
        <f>SUM(N9:N266)/2</f>
        <v>875616.97482053505</v>
      </c>
      <c r="O268" s="342">
        <f>N268/I268</f>
        <v>0.63075702052064309</v>
      </c>
      <c r="P268" s="343"/>
      <c r="Q268" s="296"/>
    </row>
    <row r="269" spans="1:18" ht="38.25" thickBot="1" x14ac:dyDescent="0.35">
      <c r="A269" s="335"/>
      <c r="B269" s="336"/>
      <c r="C269" s="336"/>
      <c r="D269" s="336"/>
      <c r="E269" s="336"/>
      <c r="F269" s="336"/>
      <c r="G269" s="336"/>
      <c r="H269" s="344"/>
      <c r="I269" s="345" t="s">
        <v>856</v>
      </c>
      <c r="J269" s="346"/>
      <c r="K269" s="347" t="s">
        <v>857</v>
      </c>
      <c r="L269" s="348"/>
      <c r="M269" s="349" t="s">
        <v>858</v>
      </c>
      <c r="N269" s="350" t="s">
        <v>859</v>
      </c>
      <c r="O269" s="351"/>
      <c r="P269" s="351"/>
      <c r="Q269" s="296"/>
    </row>
    <row r="270" spans="1:18" ht="15" customHeight="1" thickBot="1" x14ac:dyDescent="0.35">
      <c r="A270" s="335"/>
      <c r="B270" s="336"/>
      <c r="C270" s="336"/>
      <c r="D270" s="336"/>
      <c r="E270" s="336"/>
      <c r="F270" s="336"/>
      <c r="G270" s="336"/>
      <c r="M270" s="355">
        <f>M268/I268</f>
        <v>0.10192651186824651</v>
      </c>
      <c r="Q270" s="296"/>
    </row>
    <row r="271" spans="1:18" x14ac:dyDescent="0.25">
      <c r="M271" s="356"/>
      <c r="Q271" s="296"/>
    </row>
    <row r="272" spans="1:18" ht="21" x14ac:dyDescent="0.35">
      <c r="C272" s="359" t="s">
        <v>860</v>
      </c>
      <c r="M272" s="356"/>
      <c r="N272" s="356">
        <f>M268+K268</f>
        <v>875616.97482053505</v>
      </c>
      <c r="Q272" s="296"/>
    </row>
    <row r="273" spans="2:17" ht="21" x14ac:dyDescent="0.25">
      <c r="C273" s="360" t="s">
        <v>861</v>
      </c>
      <c r="M273" s="356"/>
      <c r="Q273" s="296"/>
    </row>
    <row r="274" spans="2:17" ht="21" x14ac:dyDescent="0.25">
      <c r="C274" s="361" t="s">
        <v>862</v>
      </c>
      <c r="M274" s="356"/>
      <c r="Q274" s="296"/>
    </row>
    <row r="275" spans="2:17" x14ac:dyDescent="0.25">
      <c r="M275" s="356"/>
      <c r="Q275" s="296"/>
    </row>
    <row r="276" spans="2:17" x14ac:dyDescent="0.25">
      <c r="M276" s="356"/>
      <c r="Q276" s="296"/>
    </row>
    <row r="277" spans="2:17" ht="28.5" x14ac:dyDescent="0.25">
      <c r="B277" t="s">
        <v>863</v>
      </c>
      <c r="C277" s="362"/>
      <c r="M277" s="356"/>
      <c r="Q277" s="296"/>
    </row>
    <row r="278" spans="2:17" x14ac:dyDescent="0.25">
      <c r="M278" s="356"/>
      <c r="Q278" s="296"/>
    </row>
    <row r="279" spans="2:17" x14ac:dyDescent="0.25">
      <c r="M279" s="356"/>
      <c r="Q279" s="296"/>
    </row>
    <row r="280" spans="2:17" x14ac:dyDescent="0.25">
      <c r="M280" s="356"/>
      <c r="Q280" s="296"/>
    </row>
    <row r="281" spans="2:17" x14ac:dyDescent="0.25">
      <c r="C281" t="s">
        <v>864</v>
      </c>
      <c r="M281" s="356"/>
      <c r="Q281" s="296"/>
    </row>
    <row r="282" spans="2:17" x14ac:dyDescent="0.25">
      <c r="C282" t="s">
        <v>865</v>
      </c>
      <c r="M282" s="356"/>
      <c r="Q282" s="296"/>
    </row>
    <row r="283" spans="2:17" x14ac:dyDescent="0.25">
      <c r="M283" s="356"/>
      <c r="Q283" s="296"/>
    </row>
    <row r="284" spans="2:17" x14ac:dyDescent="0.25">
      <c r="M284" s="356"/>
      <c r="Q284" s="296"/>
    </row>
    <row r="285" spans="2:17" x14ac:dyDescent="0.25">
      <c r="M285" s="356"/>
      <c r="Q285" s="296"/>
    </row>
    <row r="286" spans="2:17" x14ac:dyDescent="0.25">
      <c r="M286" s="356"/>
      <c r="Q286" s="296"/>
    </row>
    <row r="287" spans="2:17" x14ac:dyDescent="0.25">
      <c r="M287" s="356"/>
      <c r="Q287" s="296"/>
    </row>
    <row r="288" spans="2:17" x14ac:dyDescent="0.25">
      <c r="M288" s="356"/>
      <c r="Q288" s="296"/>
    </row>
    <row r="289" spans="13:17" x14ac:dyDescent="0.25">
      <c r="M289" s="356"/>
      <c r="Q289" s="296"/>
    </row>
    <row r="290" spans="13:17" x14ac:dyDescent="0.25">
      <c r="M290" s="356"/>
      <c r="Q290" s="296"/>
    </row>
    <row r="291" spans="13:17" x14ac:dyDescent="0.25">
      <c r="M291" s="356"/>
      <c r="Q291" s="296"/>
    </row>
    <row r="292" spans="13:17" x14ac:dyDescent="0.25">
      <c r="M292" s="356"/>
      <c r="Q292" s="296"/>
    </row>
    <row r="293" spans="13:17" x14ac:dyDescent="0.25">
      <c r="M293" s="356"/>
      <c r="Q293" s="296"/>
    </row>
    <row r="294" spans="13:17" x14ac:dyDescent="0.25">
      <c r="M294" s="356"/>
      <c r="Q294" s="296"/>
    </row>
    <row r="295" spans="13:17" x14ac:dyDescent="0.25">
      <c r="M295" s="356"/>
      <c r="Q295" s="296"/>
    </row>
    <row r="296" spans="13:17" x14ac:dyDescent="0.25">
      <c r="M296" s="356"/>
      <c r="Q296" s="296"/>
    </row>
    <row r="297" spans="13:17" x14ac:dyDescent="0.25">
      <c r="M297" s="356"/>
      <c r="Q297" s="296"/>
    </row>
    <row r="298" spans="13:17" x14ac:dyDescent="0.25">
      <c r="M298" s="356"/>
      <c r="Q298" s="296"/>
    </row>
    <row r="299" spans="13:17" x14ac:dyDescent="0.25">
      <c r="M299" s="356"/>
      <c r="Q299" s="296"/>
    </row>
    <row r="300" spans="13:17" x14ac:dyDescent="0.25">
      <c r="M300" s="356"/>
      <c r="Q300" s="296"/>
    </row>
    <row r="301" spans="13:17" x14ac:dyDescent="0.25">
      <c r="M301" s="356"/>
      <c r="Q301" s="296"/>
    </row>
    <row r="302" spans="13:17" x14ac:dyDescent="0.25">
      <c r="M302" s="356"/>
      <c r="Q302" s="296"/>
    </row>
    <row r="303" spans="13:17" x14ac:dyDescent="0.25">
      <c r="M303" s="356"/>
      <c r="Q303" s="296"/>
    </row>
    <row r="304" spans="13:17" x14ac:dyDescent="0.25">
      <c r="M304" s="356"/>
      <c r="Q304" s="296"/>
    </row>
    <row r="305" spans="13:17" x14ac:dyDescent="0.25">
      <c r="M305" s="356"/>
      <c r="Q305" s="296"/>
    </row>
    <row r="306" spans="13:17" x14ac:dyDescent="0.25">
      <c r="M306" s="356"/>
      <c r="Q306" s="296"/>
    </row>
    <row r="307" spans="13:17" x14ac:dyDescent="0.25">
      <c r="M307" s="356"/>
      <c r="Q307" s="296"/>
    </row>
    <row r="308" spans="13:17" x14ac:dyDescent="0.25">
      <c r="M308" s="356"/>
      <c r="Q308" s="296"/>
    </row>
    <row r="309" spans="13:17" x14ac:dyDescent="0.25">
      <c r="M309" s="356"/>
      <c r="Q309" s="296"/>
    </row>
    <row r="310" spans="13:17" x14ac:dyDescent="0.25">
      <c r="M310" s="356"/>
      <c r="Q310" s="296"/>
    </row>
    <row r="311" spans="13:17" x14ac:dyDescent="0.25">
      <c r="M311" s="356"/>
      <c r="Q311" s="296"/>
    </row>
    <row r="312" spans="13:17" x14ac:dyDescent="0.25">
      <c r="M312" s="356"/>
      <c r="Q312" s="296"/>
    </row>
    <row r="313" spans="13:17" x14ac:dyDescent="0.25">
      <c r="M313" s="356"/>
      <c r="Q313" s="296"/>
    </row>
    <row r="314" spans="13:17" x14ac:dyDescent="0.25">
      <c r="M314" s="356"/>
      <c r="Q314" s="296"/>
    </row>
    <row r="315" spans="13:17" x14ac:dyDescent="0.25">
      <c r="M315" s="356"/>
      <c r="Q315" s="296"/>
    </row>
    <row r="316" spans="13:17" x14ac:dyDescent="0.25">
      <c r="M316" s="356"/>
      <c r="Q316" s="296"/>
    </row>
    <row r="317" spans="13:17" x14ac:dyDescent="0.25">
      <c r="M317" s="356"/>
      <c r="Q317" s="296"/>
    </row>
    <row r="318" spans="13:17" x14ac:dyDescent="0.25">
      <c r="M318" s="356"/>
      <c r="Q318" s="296"/>
    </row>
    <row r="319" spans="13:17" x14ac:dyDescent="0.25">
      <c r="M319" s="356"/>
      <c r="Q319" s="296"/>
    </row>
    <row r="320" spans="13:17" x14ac:dyDescent="0.25">
      <c r="M320" s="356"/>
      <c r="Q320" s="296"/>
    </row>
    <row r="321" spans="13:17" x14ac:dyDescent="0.25">
      <c r="M321" s="356"/>
      <c r="Q321" s="296"/>
    </row>
    <row r="322" spans="13:17" x14ac:dyDescent="0.25">
      <c r="M322" s="356"/>
      <c r="Q322" s="296"/>
    </row>
    <row r="323" spans="13:17" x14ac:dyDescent="0.25">
      <c r="M323" s="356"/>
      <c r="Q323" s="296"/>
    </row>
    <row r="324" spans="13:17" x14ac:dyDescent="0.25">
      <c r="M324" s="356"/>
      <c r="Q324" s="296"/>
    </row>
    <row r="325" spans="13:17" x14ac:dyDescent="0.25">
      <c r="M325" s="356"/>
      <c r="Q325" s="296"/>
    </row>
    <row r="326" spans="13:17" x14ac:dyDescent="0.25">
      <c r="M326" s="356"/>
      <c r="Q326" s="296"/>
    </row>
    <row r="327" spans="13:17" x14ac:dyDescent="0.25">
      <c r="M327" s="356"/>
      <c r="Q327" s="296"/>
    </row>
    <row r="328" spans="13:17" x14ac:dyDescent="0.25">
      <c r="M328" s="356"/>
      <c r="Q328" s="296"/>
    </row>
    <row r="329" spans="13:17" x14ac:dyDescent="0.25">
      <c r="M329" s="356"/>
      <c r="Q329" s="296"/>
    </row>
    <row r="330" spans="13:17" x14ac:dyDescent="0.25">
      <c r="M330" s="356"/>
      <c r="Q330" s="296"/>
    </row>
    <row r="331" spans="13:17" x14ac:dyDescent="0.25">
      <c r="M331" s="356"/>
      <c r="Q331" s="296"/>
    </row>
    <row r="332" spans="13:17" x14ac:dyDescent="0.25">
      <c r="M332" s="356"/>
      <c r="Q332" s="296"/>
    </row>
    <row r="333" spans="13:17" x14ac:dyDescent="0.25">
      <c r="M333" s="356"/>
      <c r="Q333" s="296"/>
    </row>
    <row r="334" spans="13:17" x14ac:dyDescent="0.25">
      <c r="M334" s="356"/>
      <c r="Q334" s="296"/>
    </row>
    <row r="335" spans="13:17" x14ac:dyDescent="0.25">
      <c r="M335" s="356"/>
      <c r="Q335" s="296"/>
    </row>
    <row r="336" spans="13:17" x14ac:dyDescent="0.25">
      <c r="M336" s="356"/>
      <c r="Q336" s="296"/>
    </row>
    <row r="337" spans="13:17" x14ac:dyDescent="0.25">
      <c r="M337" s="356"/>
      <c r="Q337" s="296"/>
    </row>
    <row r="338" spans="13:17" x14ac:dyDescent="0.25">
      <c r="M338" s="356"/>
      <c r="Q338" s="296"/>
    </row>
    <row r="339" spans="13:17" x14ac:dyDescent="0.25">
      <c r="M339" s="356"/>
      <c r="Q339" s="296"/>
    </row>
    <row r="340" spans="13:17" x14ac:dyDescent="0.25">
      <c r="M340" s="356"/>
      <c r="Q340" s="296"/>
    </row>
    <row r="341" spans="13:17" x14ac:dyDescent="0.25">
      <c r="M341" s="356"/>
      <c r="Q341" s="296"/>
    </row>
    <row r="342" spans="13:17" x14ac:dyDescent="0.25">
      <c r="M342" s="356"/>
      <c r="Q342" s="296"/>
    </row>
    <row r="343" spans="13:17" x14ac:dyDescent="0.25">
      <c r="M343" s="356"/>
      <c r="Q343" s="296"/>
    </row>
    <row r="344" spans="13:17" x14ac:dyDescent="0.25">
      <c r="M344" s="356"/>
      <c r="Q344" s="296"/>
    </row>
    <row r="345" spans="13:17" x14ac:dyDescent="0.25">
      <c r="M345" s="356"/>
      <c r="Q345" s="296"/>
    </row>
    <row r="346" spans="13:17" x14ac:dyDescent="0.25">
      <c r="M346" s="356"/>
      <c r="Q346" s="296"/>
    </row>
    <row r="347" spans="13:17" x14ac:dyDescent="0.25">
      <c r="M347" s="356"/>
      <c r="Q347" s="296"/>
    </row>
    <row r="348" spans="13:17" x14ac:dyDescent="0.25">
      <c r="M348" s="356"/>
      <c r="Q348" s="296"/>
    </row>
    <row r="349" spans="13:17" x14ac:dyDescent="0.25">
      <c r="M349" s="356"/>
      <c r="Q349" s="296"/>
    </row>
    <row r="350" spans="13:17" x14ac:dyDescent="0.25">
      <c r="M350" s="356"/>
      <c r="Q350" s="296"/>
    </row>
    <row r="351" spans="13:17" x14ac:dyDescent="0.25">
      <c r="M351" s="356"/>
      <c r="Q351" s="296"/>
    </row>
    <row r="352" spans="13:17" x14ac:dyDescent="0.25">
      <c r="M352" s="356"/>
      <c r="Q352" s="296"/>
    </row>
    <row r="353" spans="13:17" x14ac:dyDescent="0.25">
      <c r="M353" s="356"/>
      <c r="Q353" s="296"/>
    </row>
    <row r="354" spans="13:17" x14ac:dyDescent="0.25">
      <c r="M354" s="356"/>
      <c r="Q354" s="296"/>
    </row>
    <row r="355" spans="13:17" x14ac:dyDescent="0.25">
      <c r="M355" s="356"/>
      <c r="Q355" s="296"/>
    </row>
    <row r="356" spans="13:17" x14ac:dyDescent="0.25">
      <c r="M356" s="356"/>
      <c r="Q356" s="296"/>
    </row>
    <row r="357" spans="13:17" x14ac:dyDescent="0.25">
      <c r="M357" s="356"/>
      <c r="Q357" s="296"/>
    </row>
    <row r="358" spans="13:17" x14ac:dyDescent="0.25">
      <c r="M358" s="356"/>
      <c r="Q358" s="296"/>
    </row>
    <row r="359" spans="13:17" x14ac:dyDescent="0.25">
      <c r="M359" s="356"/>
      <c r="Q359" s="296"/>
    </row>
    <row r="360" spans="13:17" x14ac:dyDescent="0.25">
      <c r="M360" s="356"/>
      <c r="Q360" s="296"/>
    </row>
    <row r="361" spans="13:17" x14ac:dyDescent="0.25">
      <c r="M361" s="356"/>
      <c r="Q361" s="296"/>
    </row>
    <row r="362" spans="13:17" x14ac:dyDescent="0.25">
      <c r="M362" s="356"/>
      <c r="Q362" s="296"/>
    </row>
    <row r="363" spans="13:17" x14ac:dyDescent="0.25">
      <c r="M363" s="356"/>
      <c r="Q363" s="296"/>
    </row>
    <row r="364" spans="13:17" x14ac:dyDescent="0.25">
      <c r="M364" s="356"/>
      <c r="Q364" s="296"/>
    </row>
    <row r="365" spans="13:17" x14ac:dyDescent="0.25">
      <c r="M365" s="356"/>
      <c r="Q365" s="296"/>
    </row>
    <row r="366" spans="13:17" x14ac:dyDescent="0.25">
      <c r="M366" s="356"/>
      <c r="Q366" s="296"/>
    </row>
    <row r="367" spans="13:17" x14ac:dyDescent="0.25">
      <c r="M367" s="356"/>
      <c r="Q367" s="296"/>
    </row>
    <row r="368" spans="13:17" x14ac:dyDescent="0.25">
      <c r="M368" s="356"/>
      <c r="Q368" s="296"/>
    </row>
    <row r="369" spans="13:17" x14ac:dyDescent="0.25">
      <c r="M369" s="356"/>
      <c r="Q369" s="296"/>
    </row>
    <row r="370" spans="13:17" x14ac:dyDescent="0.25">
      <c r="M370" s="356"/>
      <c r="Q370" s="296"/>
    </row>
    <row r="371" spans="13:17" x14ac:dyDescent="0.25">
      <c r="M371" s="356"/>
      <c r="Q371" s="296"/>
    </row>
    <row r="372" spans="13:17" x14ac:dyDescent="0.25">
      <c r="M372" s="356"/>
      <c r="Q372" s="296"/>
    </row>
    <row r="373" spans="13:17" x14ac:dyDescent="0.25">
      <c r="M373" s="356"/>
      <c r="Q373" s="296"/>
    </row>
    <row r="374" spans="13:17" x14ac:dyDescent="0.25">
      <c r="M374" s="356"/>
      <c r="Q374" s="296"/>
    </row>
    <row r="375" spans="13:17" x14ac:dyDescent="0.25">
      <c r="M375" s="356"/>
      <c r="Q375" s="296"/>
    </row>
    <row r="376" spans="13:17" x14ac:dyDescent="0.25">
      <c r="M376" s="356"/>
      <c r="Q376" s="296"/>
    </row>
    <row r="377" spans="13:17" x14ac:dyDescent="0.25">
      <c r="M377" s="356"/>
      <c r="Q377" s="296"/>
    </row>
    <row r="378" spans="13:17" x14ac:dyDescent="0.25">
      <c r="M378" s="356"/>
      <c r="Q378" s="296"/>
    </row>
    <row r="379" spans="13:17" x14ac:dyDescent="0.25">
      <c r="M379" s="356"/>
      <c r="Q379" s="296"/>
    </row>
    <row r="380" spans="13:17" x14ac:dyDescent="0.25">
      <c r="M380" s="356"/>
      <c r="Q380" s="296"/>
    </row>
    <row r="381" spans="13:17" x14ac:dyDescent="0.25">
      <c r="M381" s="356"/>
      <c r="Q381" s="296"/>
    </row>
    <row r="382" spans="13:17" x14ac:dyDescent="0.25">
      <c r="M382" s="356"/>
      <c r="Q382" s="296"/>
    </row>
    <row r="383" spans="13:17" x14ac:dyDescent="0.25">
      <c r="M383" s="356"/>
      <c r="Q383" s="296"/>
    </row>
    <row r="384" spans="13:17" x14ac:dyDescent="0.25">
      <c r="M384" s="356"/>
      <c r="Q384" s="296"/>
    </row>
    <row r="385" spans="13:17" x14ac:dyDescent="0.25">
      <c r="M385" s="356"/>
      <c r="Q385" s="296"/>
    </row>
    <row r="386" spans="13:17" x14ac:dyDescent="0.25">
      <c r="M386" s="356"/>
      <c r="Q386" s="296"/>
    </row>
    <row r="387" spans="13:17" x14ac:dyDescent="0.25">
      <c r="M387" s="356"/>
      <c r="Q387" s="296"/>
    </row>
    <row r="388" spans="13:17" x14ac:dyDescent="0.25">
      <c r="M388" s="356"/>
      <c r="Q388" s="296"/>
    </row>
    <row r="389" spans="13:17" x14ac:dyDescent="0.25">
      <c r="M389" s="356"/>
      <c r="Q389" s="296"/>
    </row>
    <row r="390" spans="13:17" x14ac:dyDescent="0.25">
      <c r="M390" s="356"/>
      <c r="Q390" s="296"/>
    </row>
    <row r="391" spans="13:17" x14ac:dyDescent="0.25">
      <c r="M391" s="356"/>
      <c r="Q391" s="296"/>
    </row>
    <row r="392" spans="13:17" x14ac:dyDescent="0.25">
      <c r="M392" s="356"/>
      <c r="Q392" s="296"/>
    </row>
    <row r="393" spans="13:17" x14ac:dyDescent="0.25">
      <c r="M393" s="356"/>
      <c r="Q393" s="296"/>
    </row>
    <row r="394" spans="13:17" x14ac:dyDescent="0.25">
      <c r="M394" s="356"/>
      <c r="Q394" s="296"/>
    </row>
    <row r="395" spans="13:17" x14ac:dyDescent="0.25">
      <c r="M395" s="356"/>
      <c r="Q395" s="296"/>
    </row>
    <row r="396" spans="13:17" x14ac:dyDescent="0.25">
      <c r="M396" s="356"/>
      <c r="Q396" s="296"/>
    </row>
    <row r="397" spans="13:17" x14ac:dyDescent="0.25">
      <c r="M397" s="356"/>
      <c r="Q397" s="296"/>
    </row>
    <row r="398" spans="13:17" x14ac:dyDescent="0.25">
      <c r="M398" s="356"/>
      <c r="Q398" s="296"/>
    </row>
    <row r="399" spans="13:17" x14ac:dyDescent="0.25">
      <c r="M399" s="356"/>
      <c r="Q399" s="296"/>
    </row>
    <row r="400" spans="13:17" x14ac:dyDescent="0.25">
      <c r="M400" s="356"/>
      <c r="Q400" s="296"/>
    </row>
    <row r="401" spans="13:17" x14ac:dyDescent="0.25">
      <c r="M401" s="356"/>
      <c r="Q401" s="296"/>
    </row>
    <row r="402" spans="13:17" x14ac:dyDescent="0.25">
      <c r="M402" s="356"/>
      <c r="Q402" s="296"/>
    </row>
    <row r="403" spans="13:17" x14ac:dyDescent="0.25">
      <c r="M403" s="356"/>
    </row>
    <row r="404" spans="13:17" x14ac:dyDescent="0.25">
      <c r="M404" s="356"/>
    </row>
    <row r="405" spans="13:17" x14ac:dyDescent="0.25">
      <c r="M405" s="356"/>
    </row>
    <row r="406" spans="13:17" x14ac:dyDescent="0.25">
      <c r="M406" s="356"/>
    </row>
    <row r="407" spans="13:17" x14ac:dyDescent="0.25">
      <c r="M407" s="356"/>
    </row>
    <row r="408" spans="13:17" x14ac:dyDescent="0.25">
      <c r="M408" s="356"/>
    </row>
    <row r="409" spans="13:17" x14ac:dyDescent="0.25">
      <c r="M409" s="356"/>
    </row>
    <row r="410" spans="13:17" x14ac:dyDescent="0.25">
      <c r="M410" s="356"/>
    </row>
    <row r="411" spans="13:17" x14ac:dyDescent="0.25">
      <c r="M411" s="356"/>
    </row>
    <row r="412" spans="13:17" x14ac:dyDescent="0.25">
      <c r="M412" s="356"/>
    </row>
    <row r="413" spans="13:17" x14ac:dyDescent="0.25">
      <c r="M413" s="356"/>
    </row>
    <row r="414" spans="13:17" x14ac:dyDescent="0.25">
      <c r="M414" s="356"/>
    </row>
    <row r="415" spans="13:17" x14ac:dyDescent="0.25">
      <c r="M415" s="356"/>
    </row>
    <row r="416" spans="13:17" x14ac:dyDescent="0.25">
      <c r="M416" s="356"/>
    </row>
    <row r="417" spans="13:13" x14ac:dyDescent="0.25">
      <c r="M417" s="356"/>
    </row>
    <row r="418" spans="13:13" x14ac:dyDescent="0.25">
      <c r="M418" s="356"/>
    </row>
    <row r="419" spans="13:13" x14ac:dyDescent="0.25">
      <c r="M419" s="356"/>
    </row>
    <row r="420" spans="13:13" x14ac:dyDescent="0.25">
      <c r="M420" s="356"/>
    </row>
    <row r="421" spans="13:13" x14ac:dyDescent="0.25">
      <c r="M421" s="356"/>
    </row>
    <row r="422" spans="13:13" x14ac:dyDescent="0.25">
      <c r="M422" s="356"/>
    </row>
    <row r="423" spans="13:13" x14ac:dyDescent="0.25">
      <c r="M423" s="356"/>
    </row>
    <row r="424" spans="13:13" x14ac:dyDescent="0.25">
      <c r="M424" s="356"/>
    </row>
    <row r="425" spans="13:13" x14ac:dyDescent="0.25">
      <c r="M425" s="356"/>
    </row>
    <row r="426" spans="13:13" x14ac:dyDescent="0.25">
      <c r="M426" s="356"/>
    </row>
    <row r="427" spans="13:13" x14ac:dyDescent="0.25">
      <c r="M427" s="356"/>
    </row>
    <row r="428" spans="13:13" x14ac:dyDescent="0.25">
      <c r="M428" s="356"/>
    </row>
    <row r="429" spans="13:13" x14ac:dyDescent="0.25">
      <c r="M429" s="356"/>
    </row>
    <row r="430" spans="13:13" x14ac:dyDescent="0.25">
      <c r="M430" s="356"/>
    </row>
    <row r="431" spans="13:13" x14ac:dyDescent="0.25">
      <c r="M431" s="356"/>
    </row>
    <row r="432" spans="13:13" x14ac:dyDescent="0.25">
      <c r="M432" s="356"/>
    </row>
    <row r="433" spans="13:13" x14ac:dyDescent="0.25">
      <c r="M433" s="356"/>
    </row>
    <row r="434" spans="13:13" x14ac:dyDescent="0.25">
      <c r="M434" s="356"/>
    </row>
    <row r="435" spans="13:13" x14ac:dyDescent="0.25">
      <c r="M435" s="356"/>
    </row>
    <row r="436" spans="13:13" x14ac:dyDescent="0.25">
      <c r="M436" s="356"/>
    </row>
    <row r="437" spans="13:13" x14ac:dyDescent="0.25">
      <c r="M437" s="356"/>
    </row>
    <row r="438" spans="13:13" x14ac:dyDescent="0.25">
      <c r="M438" s="356"/>
    </row>
    <row r="439" spans="13:13" x14ac:dyDescent="0.25">
      <c r="M439" s="356"/>
    </row>
    <row r="440" spans="13:13" x14ac:dyDescent="0.25">
      <c r="M440" s="356"/>
    </row>
    <row r="441" spans="13:13" x14ac:dyDescent="0.25">
      <c r="M441" s="356"/>
    </row>
    <row r="442" spans="13:13" x14ac:dyDescent="0.25">
      <c r="M442" s="356"/>
    </row>
  </sheetData>
  <mergeCells count="27">
    <mergeCell ref="B120:C120"/>
    <mergeCell ref="B128:C128"/>
    <mergeCell ref="B178:C178"/>
    <mergeCell ref="B241:C241"/>
    <mergeCell ref="B253:C253"/>
    <mergeCell ref="B57:C57"/>
    <mergeCell ref="B66:C66"/>
    <mergeCell ref="B79:C79"/>
    <mergeCell ref="B91:C91"/>
    <mergeCell ref="B99:C99"/>
    <mergeCell ref="B116:C116"/>
    <mergeCell ref="A8:M8"/>
    <mergeCell ref="B9:C9"/>
    <mergeCell ref="B16:C16"/>
    <mergeCell ref="B26:C26"/>
    <mergeCell ref="B38:C38"/>
    <mergeCell ref="B45:C45"/>
    <mergeCell ref="A1:C3"/>
    <mergeCell ref="D1:P2"/>
    <mergeCell ref="D3:P3"/>
    <mergeCell ref="A4:P5"/>
    <mergeCell ref="A6:A7"/>
    <mergeCell ref="B6:B7"/>
    <mergeCell ref="C6:C7"/>
    <mergeCell ref="D6:D7"/>
    <mergeCell ref="E6:E7"/>
    <mergeCell ref="F6:P6"/>
  </mergeCells>
  <conditionalFormatting sqref="L7:L13 L27:L35 L15 L39:L42 L46:L56 L67:L76 L100:L126 L269:L1048576 L17:L23 L58:L63 L80:L88 L92:L96 L254:L267 L242:L252 L179:L240 L129:L177">
    <cfRule type="cellIs" dxfId="14" priority="3" operator="greaterThan">
      <formula>0</formula>
    </cfRule>
  </conditionalFormatting>
  <conditionalFormatting sqref="M7:M15 M17:M23 M27:M36 M39:M43 M46:M56 M58:M64 M67:M77 M80:M89 M92:M97 M100:M126 M254:M1048576 M242:M252 M179:M240 M129:M177">
    <cfRule type="cellIs" dxfId="13" priority="2" operator="greaterThan">
      <formula>0</formula>
    </cfRule>
  </conditionalFormatting>
  <conditionalFormatting sqref="O10:P12 O17:O36 O39:O97 O100:O264 O13:O15">
    <cfRule type="cellIs" dxfId="12" priority="1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28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outlinePr summaryBelow="0"/>
    <pageSetUpPr fitToPage="1"/>
  </sheetPr>
  <dimension ref="A1:R277"/>
  <sheetViews>
    <sheetView view="pageBreakPreview" zoomScale="66" zoomScaleNormal="100" zoomScaleSheetLayoutView="66" workbookViewId="0">
      <pane xSplit="1" ySplit="7" topLeftCell="D242" activePane="bottomRight" state="frozen"/>
      <selection pane="topRight" activeCell="B1" sqref="B1"/>
      <selection pane="bottomLeft" activeCell="A8" sqref="A8"/>
      <selection pane="bottomRight" activeCell="O254" sqref="O254"/>
    </sheetView>
  </sheetViews>
  <sheetFormatPr defaultRowHeight="15" x14ac:dyDescent="0.25"/>
  <cols>
    <col min="1" max="1" width="7.42578125" customWidth="1"/>
    <col min="2" max="2" width="10.5703125" bestFit="1" customWidth="1"/>
    <col min="3" max="3" width="69.28515625" style="375" customWidth="1"/>
    <col min="4" max="4" width="10.42578125" bestFit="1" customWidth="1"/>
    <col min="5" max="5" width="6.7109375" bestFit="1" customWidth="1"/>
    <col min="6" max="7" width="16" bestFit="1" customWidth="1"/>
    <col min="8" max="8" width="21.42578125" bestFit="1" customWidth="1"/>
    <col min="9" max="9" width="20.140625" bestFit="1" customWidth="1"/>
    <col min="10" max="10" width="15.7109375" bestFit="1" customWidth="1"/>
    <col min="11" max="11" width="15.140625" bestFit="1" customWidth="1"/>
    <col min="12" max="12" width="15.7109375" bestFit="1" customWidth="1"/>
    <col min="13" max="13" width="21.28515625" customWidth="1"/>
    <col min="14" max="14" width="21.5703125" bestFit="1" customWidth="1"/>
    <col min="15" max="15" width="22" bestFit="1" customWidth="1"/>
    <col min="16" max="16" width="21.85546875" bestFit="1" customWidth="1"/>
    <col min="17" max="17" width="9.140625" style="378"/>
    <col min="18" max="18" width="12.42578125" customWidth="1"/>
  </cols>
  <sheetData>
    <row r="1" spans="1:18" ht="15" customHeight="1" x14ac:dyDescent="0.25">
      <c r="A1" s="105" t="s">
        <v>611</v>
      </c>
      <c r="B1" s="106"/>
      <c r="C1" s="106"/>
      <c r="D1" s="109" t="s">
        <v>610</v>
      </c>
      <c r="E1" s="109"/>
      <c r="F1" s="109"/>
      <c r="G1" s="109"/>
      <c r="H1" s="109"/>
      <c r="I1" s="109"/>
      <c r="J1" s="109"/>
      <c r="K1" s="109"/>
      <c r="L1" s="109"/>
      <c r="M1" s="109"/>
      <c r="N1" s="119" t="s">
        <v>826</v>
      </c>
      <c r="O1" s="119"/>
      <c r="P1" s="120"/>
    </row>
    <row r="2" spans="1:18" x14ac:dyDescent="0.25">
      <c r="A2" s="107"/>
      <c r="B2" s="108"/>
      <c r="C2" s="108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21"/>
      <c r="O2" s="121"/>
      <c r="P2" s="122"/>
    </row>
    <row r="3" spans="1:18" ht="27" customHeight="1" x14ac:dyDescent="0.25">
      <c r="A3" s="107"/>
      <c r="B3" s="108"/>
      <c r="C3" s="108"/>
      <c r="D3" s="135" t="s">
        <v>613</v>
      </c>
      <c r="E3" s="135"/>
      <c r="F3" s="135"/>
      <c r="G3" s="135"/>
      <c r="H3" s="135"/>
      <c r="I3" s="135"/>
      <c r="J3" s="135"/>
      <c r="K3" s="135"/>
      <c r="L3" s="135"/>
      <c r="M3" s="135"/>
      <c r="N3" s="123" t="s">
        <v>825</v>
      </c>
      <c r="O3" s="123"/>
      <c r="P3" s="124"/>
    </row>
    <row r="4" spans="1:18" ht="10.5" customHeight="1" x14ac:dyDescent="0.25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25">
        <f>N250</f>
        <v>41473.370740500002</v>
      </c>
      <c r="O4" s="125"/>
      <c r="P4" s="126"/>
    </row>
    <row r="5" spans="1:18" ht="10.5" customHeight="1" x14ac:dyDescent="0.25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25"/>
      <c r="O5" s="125"/>
      <c r="P5" s="126"/>
    </row>
    <row r="6" spans="1:18" ht="18" customHeight="1" x14ac:dyDescent="0.25">
      <c r="A6" s="138" t="s">
        <v>0</v>
      </c>
      <c r="B6" s="139" t="s">
        <v>1</v>
      </c>
      <c r="C6" s="370" t="s">
        <v>2</v>
      </c>
      <c r="D6" s="139" t="s">
        <v>3</v>
      </c>
      <c r="E6" s="139" t="s">
        <v>4</v>
      </c>
      <c r="F6" s="127" t="s">
        <v>603</v>
      </c>
      <c r="G6" s="127"/>
      <c r="H6" s="127"/>
      <c r="I6" s="127"/>
      <c r="J6" s="127" t="s">
        <v>606</v>
      </c>
      <c r="K6" s="127"/>
      <c r="L6" s="127"/>
      <c r="M6" s="127" t="s">
        <v>607</v>
      </c>
      <c r="N6" s="127"/>
      <c r="O6" s="127"/>
      <c r="P6" s="128"/>
      <c r="R6" s="377">
        <v>1.2735000000000001</v>
      </c>
    </row>
    <row r="7" spans="1:18" ht="37.5" customHeight="1" x14ac:dyDescent="0.25">
      <c r="A7" s="138"/>
      <c r="B7" s="139"/>
      <c r="C7" s="370"/>
      <c r="D7" s="139"/>
      <c r="E7" s="139"/>
      <c r="F7" s="33" t="s">
        <v>5</v>
      </c>
      <c r="G7" s="1" t="s">
        <v>6</v>
      </c>
      <c r="H7" s="1" t="s">
        <v>624</v>
      </c>
      <c r="I7" s="1" t="s">
        <v>7</v>
      </c>
      <c r="J7" s="33" t="s">
        <v>604</v>
      </c>
      <c r="K7" s="1" t="s">
        <v>605</v>
      </c>
      <c r="L7" s="1" t="s">
        <v>608</v>
      </c>
      <c r="M7" s="33" t="s">
        <v>604</v>
      </c>
      <c r="N7" s="1" t="s">
        <v>605</v>
      </c>
      <c r="O7" s="1" t="s">
        <v>608</v>
      </c>
      <c r="P7" s="34" t="s">
        <v>609</v>
      </c>
    </row>
    <row r="8" spans="1:18" x14ac:dyDescent="0.25">
      <c r="A8" s="35">
        <v>1</v>
      </c>
      <c r="B8" s="117" t="s">
        <v>8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8"/>
    </row>
    <row r="9" spans="1:18" x14ac:dyDescent="0.25">
      <c r="A9" s="36" t="s">
        <v>9</v>
      </c>
      <c r="B9" s="2" t="s">
        <v>10</v>
      </c>
      <c r="C9" s="371" t="s">
        <v>11</v>
      </c>
      <c r="D9" s="2" t="s">
        <v>12</v>
      </c>
      <c r="E9" s="2" t="s">
        <v>13</v>
      </c>
      <c r="F9" s="9">
        <v>6</v>
      </c>
      <c r="G9" s="10">
        <f>288.89</f>
        <v>288.89</v>
      </c>
      <c r="H9" s="10">
        <f>G9*$R$6</f>
        <v>367.90141499999999</v>
      </c>
      <c r="I9" s="11">
        <f>F9*H9</f>
        <v>2207.4084899999998</v>
      </c>
      <c r="J9" s="364">
        <f>'BM-07_ACUMULADO'!L10+'BM-07_ACUMULADO'!J10</f>
        <v>6</v>
      </c>
      <c r="K9" s="32">
        <f>'MEMORIA BM 08'!E11</f>
        <v>0</v>
      </c>
      <c r="L9" s="5">
        <f>K9+J9</f>
        <v>6</v>
      </c>
      <c r="M9" s="80">
        <f>J9*H9</f>
        <v>2207.4084899999998</v>
      </c>
      <c r="N9" s="80">
        <f>H9*K9</f>
        <v>0</v>
      </c>
      <c r="O9" s="6">
        <f>N9+M9</f>
        <v>2207.4084899999998</v>
      </c>
      <c r="P9" s="37">
        <f>I9-O9</f>
        <v>0</v>
      </c>
      <c r="Q9" s="379">
        <f t="shared" ref="Q9:Q36" si="0">O9/I9</f>
        <v>1</v>
      </c>
    </row>
    <row r="10" spans="1:18" ht="25.5" x14ac:dyDescent="0.25">
      <c r="A10" s="36" t="s">
        <v>14</v>
      </c>
      <c r="B10" s="2" t="s">
        <v>15</v>
      </c>
      <c r="C10" s="371" t="s">
        <v>16</v>
      </c>
      <c r="D10" s="2" t="s">
        <v>12</v>
      </c>
      <c r="E10" s="2" t="s">
        <v>17</v>
      </c>
      <c r="F10" s="9">
        <v>1</v>
      </c>
      <c r="G10" s="10">
        <f>12298.86</f>
        <v>12298.86</v>
      </c>
      <c r="H10" s="10">
        <f>G10*$R$6</f>
        <v>15662.598210000002</v>
      </c>
      <c r="I10" s="11">
        <f>F10*H10</f>
        <v>15662.598210000002</v>
      </c>
      <c r="J10" s="364">
        <f>'BM-07_ACUMULADO'!L11+'BM-07_ACUMULADO'!J11</f>
        <v>1</v>
      </c>
      <c r="K10" s="32">
        <f>'MEMORIA BM 08'!E12</f>
        <v>0</v>
      </c>
      <c r="L10" s="5">
        <f>K10+J10</f>
        <v>1</v>
      </c>
      <c r="M10" s="80">
        <f>J10*H10</f>
        <v>15662.598210000002</v>
      </c>
      <c r="N10" s="80">
        <f>H10*K10</f>
        <v>0</v>
      </c>
      <c r="O10" s="6">
        <f>N10+M10</f>
        <v>15662.598210000002</v>
      </c>
      <c r="P10" s="37">
        <f>I10-O10</f>
        <v>0</v>
      </c>
      <c r="Q10" s="379">
        <f t="shared" si="0"/>
        <v>1</v>
      </c>
    </row>
    <row r="11" spans="1:18" ht="25.5" x14ac:dyDescent="0.25">
      <c r="A11" s="36" t="s">
        <v>18</v>
      </c>
      <c r="B11" s="2" t="s">
        <v>19</v>
      </c>
      <c r="C11" s="371" t="s">
        <v>20</v>
      </c>
      <c r="D11" s="2" t="s">
        <v>21</v>
      </c>
      <c r="E11" s="2" t="s">
        <v>22</v>
      </c>
      <c r="F11" s="9">
        <v>160.1</v>
      </c>
      <c r="G11" s="10">
        <f>41.08</f>
        <v>41.08</v>
      </c>
      <c r="H11" s="10">
        <f>G11*$R$6</f>
        <v>52.315379999999998</v>
      </c>
      <c r="I11" s="11">
        <f>F11*H11</f>
        <v>8375.6923379999989</v>
      </c>
      <c r="J11" s="364">
        <f>'BM-07_ACUMULADO'!L12+'BM-07_ACUMULADO'!J12</f>
        <v>152</v>
      </c>
      <c r="K11" s="32">
        <f>'MEMORIA BM 08'!E13</f>
        <v>0</v>
      </c>
      <c r="L11" s="5">
        <f>K11+J11</f>
        <v>152</v>
      </c>
      <c r="M11" s="80">
        <f>J11*H11</f>
        <v>7951.9377599999998</v>
      </c>
      <c r="N11" s="80">
        <f>H11*K11</f>
        <v>0</v>
      </c>
      <c r="O11" s="6">
        <f>N11+M11</f>
        <v>7951.9377599999998</v>
      </c>
      <c r="P11" s="37">
        <f>I11-O11</f>
        <v>423.75457799999913</v>
      </c>
      <c r="Q11" s="379">
        <f t="shared" si="0"/>
        <v>0.94940662086196137</v>
      </c>
    </row>
    <row r="12" spans="1:18" ht="25.5" x14ac:dyDescent="0.25">
      <c r="A12" s="36" t="s">
        <v>23</v>
      </c>
      <c r="B12" s="2" t="s">
        <v>24</v>
      </c>
      <c r="C12" s="371" t="s">
        <v>25</v>
      </c>
      <c r="D12" s="2" t="s">
        <v>12</v>
      </c>
      <c r="E12" s="2" t="s">
        <v>17</v>
      </c>
      <c r="F12" s="9">
        <v>1</v>
      </c>
      <c r="G12" s="10">
        <f>2055.31</f>
        <v>2055.31</v>
      </c>
      <c r="H12" s="10">
        <f>G12*$R$6</f>
        <v>2617.437285</v>
      </c>
      <c r="I12" s="11">
        <f>F12*H12</f>
        <v>2617.437285</v>
      </c>
      <c r="J12" s="364">
        <f>'BM-07_ACUMULADO'!L13+'BM-07_ACUMULADO'!J13</f>
        <v>1</v>
      </c>
      <c r="K12" s="32">
        <f>'MEMORIA BM 08'!E14</f>
        <v>0</v>
      </c>
      <c r="L12" s="5">
        <f>K12+J12</f>
        <v>1</v>
      </c>
      <c r="M12" s="80">
        <f>J12*H12</f>
        <v>2617.437285</v>
      </c>
      <c r="N12" s="80">
        <f>H12*K12</f>
        <v>0</v>
      </c>
      <c r="O12" s="6">
        <f>N12+M12</f>
        <v>2617.437285</v>
      </c>
      <c r="P12" s="37">
        <f>I12-O12</f>
        <v>0</v>
      </c>
      <c r="Q12" s="379">
        <f t="shared" si="0"/>
        <v>1</v>
      </c>
    </row>
    <row r="13" spans="1:18" s="4" customFormat="1" x14ac:dyDescent="0.25">
      <c r="A13" s="38"/>
      <c r="B13" s="3"/>
      <c r="C13" s="372"/>
      <c r="D13" s="3"/>
      <c r="E13" s="3"/>
      <c r="F13" s="12"/>
      <c r="G13" s="13"/>
      <c r="H13" s="13"/>
      <c r="I13" s="14">
        <f>SUM(I9:I12)</f>
        <v>28863.136322999999</v>
      </c>
      <c r="J13" s="15"/>
      <c r="K13" s="15"/>
      <c r="L13" s="15"/>
      <c r="M13" s="14">
        <f>SUM(M9:M12)</f>
        <v>28439.381745000002</v>
      </c>
      <c r="N13" s="14">
        <f>SUM(N9:N12)</f>
        <v>0</v>
      </c>
      <c r="O13" s="14">
        <f>SUM(O9:O12)</f>
        <v>28439.381745000002</v>
      </c>
      <c r="P13" s="39">
        <f>I13-O13</f>
        <v>423.7545779999964</v>
      </c>
      <c r="Q13" s="379">
        <f t="shared" si="0"/>
        <v>0.98531848468378946</v>
      </c>
    </row>
    <row r="14" spans="1:18" x14ac:dyDescent="0.25">
      <c r="A14" s="35" t="s">
        <v>26</v>
      </c>
      <c r="B14" s="117" t="s">
        <v>27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8"/>
      <c r="Q14" s="379"/>
    </row>
    <row r="15" spans="1:18" ht="25.5" x14ac:dyDescent="0.25">
      <c r="A15" s="36" t="s">
        <v>28</v>
      </c>
      <c r="B15" s="2" t="s">
        <v>29</v>
      </c>
      <c r="C15" s="371" t="s">
        <v>30</v>
      </c>
      <c r="D15" s="2" t="s">
        <v>21</v>
      </c>
      <c r="E15" s="2" t="s">
        <v>31</v>
      </c>
      <c r="F15" s="9">
        <f>477.87+258.8</f>
        <v>736.67000000000007</v>
      </c>
      <c r="G15" s="10">
        <v>30.08</v>
      </c>
      <c r="H15" s="10">
        <f>G15*$R$6</f>
        <v>38.30688</v>
      </c>
      <c r="I15" s="11">
        <f t="shared" ref="I15:I20" si="1">F15*H15</f>
        <v>28219.529289600003</v>
      </c>
      <c r="J15" s="364">
        <f>'BM-07_ACUMULADO'!J17+'BM-07_ACUMULADO'!L17</f>
        <v>736.67000000000007</v>
      </c>
      <c r="K15" s="32">
        <f>'MEMORIA BM 08'!E16</f>
        <v>0</v>
      </c>
      <c r="L15" s="32">
        <f t="shared" ref="L15:L20" si="2">K15+J15</f>
        <v>736.67000000000007</v>
      </c>
      <c r="M15" s="80">
        <f t="shared" ref="M15:M20" si="3">J15*H15</f>
        <v>28219.529289600003</v>
      </c>
      <c r="N15" s="80">
        <f t="shared" ref="N15:N20" si="4">H15*K15</f>
        <v>0</v>
      </c>
      <c r="O15" s="6">
        <f t="shared" ref="O15:O20" si="5">N15+M15</f>
        <v>28219.529289600003</v>
      </c>
      <c r="P15" s="37">
        <f>I15-O15</f>
        <v>0</v>
      </c>
      <c r="Q15" s="379">
        <f t="shared" si="0"/>
        <v>1</v>
      </c>
    </row>
    <row r="16" spans="1:18" ht="25.5" x14ac:dyDescent="0.25">
      <c r="A16" s="36" t="s">
        <v>32</v>
      </c>
      <c r="B16" s="2" t="s">
        <v>33</v>
      </c>
      <c r="C16" s="371" t="s">
        <v>34</v>
      </c>
      <c r="D16" s="2" t="s">
        <v>21</v>
      </c>
      <c r="E16" s="2" t="s">
        <v>31</v>
      </c>
      <c r="F16" s="9">
        <f>139.8+265.35</f>
        <v>405.15000000000003</v>
      </c>
      <c r="G16" s="10">
        <v>63.46</v>
      </c>
      <c r="H16" s="10">
        <f>G16*$R$6</f>
        <v>80.816310000000001</v>
      </c>
      <c r="I16" s="11">
        <f t="shared" si="1"/>
        <v>32742.727996500002</v>
      </c>
      <c r="J16" s="364">
        <f>'BM-07_ACUMULADO'!J18+'BM-07_ACUMULADO'!L18</f>
        <v>405.15000000000003</v>
      </c>
      <c r="K16" s="32">
        <f>'MEMORIA BM 08'!E17</f>
        <v>0</v>
      </c>
      <c r="L16" s="32">
        <f t="shared" si="2"/>
        <v>405.15000000000003</v>
      </c>
      <c r="M16" s="80">
        <f t="shared" si="3"/>
        <v>32742.727996500002</v>
      </c>
      <c r="N16" s="80">
        <f t="shared" si="4"/>
        <v>0</v>
      </c>
      <c r="O16" s="6">
        <f t="shared" si="5"/>
        <v>32742.727996500002</v>
      </c>
      <c r="P16" s="37">
        <f>I16-O16</f>
        <v>0</v>
      </c>
      <c r="Q16" s="379">
        <f t="shared" si="0"/>
        <v>1</v>
      </c>
    </row>
    <row r="17" spans="1:17" ht="25.5" x14ac:dyDescent="0.25">
      <c r="A17" s="36" t="s">
        <v>35</v>
      </c>
      <c r="B17" s="2" t="s">
        <v>29</v>
      </c>
      <c r="C17" s="371" t="s">
        <v>30</v>
      </c>
      <c r="D17" s="2" t="s">
        <v>21</v>
      </c>
      <c r="E17" s="2" t="s">
        <v>31</v>
      </c>
      <c r="F17" s="9">
        <v>244.58</v>
      </c>
      <c r="G17" s="10">
        <v>30.08</v>
      </c>
      <c r="H17" s="10">
        <f>G17*$R$6</f>
        <v>38.30688</v>
      </c>
      <c r="I17" s="11">
        <f t="shared" si="1"/>
        <v>9369.096710400001</v>
      </c>
      <c r="J17" s="364">
        <f>'BM-07_ACUMULADO'!J19+'BM-07_ACUMULADO'!L19</f>
        <v>244.58</v>
      </c>
      <c r="K17" s="32">
        <f>'MEMORIA BM 08'!E18</f>
        <v>0</v>
      </c>
      <c r="L17" s="32">
        <f t="shared" si="2"/>
        <v>244.58</v>
      </c>
      <c r="M17" s="80">
        <f t="shared" si="3"/>
        <v>9369.096710400001</v>
      </c>
      <c r="N17" s="80">
        <f t="shared" si="4"/>
        <v>0</v>
      </c>
      <c r="O17" s="6">
        <f t="shared" si="5"/>
        <v>9369.096710400001</v>
      </c>
      <c r="P17" s="37">
        <f>I17-O17</f>
        <v>0</v>
      </c>
      <c r="Q17" s="379">
        <f t="shared" si="0"/>
        <v>1</v>
      </c>
    </row>
    <row r="18" spans="1:17" ht="63.75" x14ac:dyDescent="0.25">
      <c r="A18" s="36" t="s">
        <v>789</v>
      </c>
      <c r="B18" s="87">
        <v>102326</v>
      </c>
      <c r="C18" s="373" t="s">
        <v>792</v>
      </c>
      <c r="D18" s="2" t="s">
        <v>21</v>
      </c>
      <c r="E18" s="2" t="s">
        <v>31</v>
      </c>
      <c r="F18" s="9">
        <v>57.32</v>
      </c>
      <c r="G18" s="85">
        <v>6.3197429999999999</v>
      </c>
      <c r="H18" s="86">
        <v>7</v>
      </c>
      <c r="I18" s="11">
        <f t="shared" si="1"/>
        <v>401.24</v>
      </c>
      <c r="J18" s="364">
        <f>'BM-07_ACUMULADO'!J20+'BM-07_ACUMULADO'!L20</f>
        <v>57.32</v>
      </c>
      <c r="K18" s="32">
        <f>'MEMORIA BM 08'!E19</f>
        <v>0</v>
      </c>
      <c r="L18" s="32">
        <f t="shared" si="2"/>
        <v>57.32</v>
      </c>
      <c r="M18" s="80">
        <f t="shared" si="3"/>
        <v>401.24</v>
      </c>
      <c r="N18" s="80">
        <f t="shared" si="4"/>
        <v>0</v>
      </c>
      <c r="O18" s="6">
        <f t="shared" si="5"/>
        <v>401.24</v>
      </c>
      <c r="P18" s="37">
        <f>I18-O18</f>
        <v>0</v>
      </c>
      <c r="Q18" s="379">
        <f t="shared" si="0"/>
        <v>1</v>
      </c>
    </row>
    <row r="19" spans="1:17" x14ac:dyDescent="0.25">
      <c r="A19" s="36" t="s">
        <v>790</v>
      </c>
      <c r="B19" s="87">
        <v>9898</v>
      </c>
      <c r="C19" s="373" t="s">
        <v>793</v>
      </c>
      <c r="D19" s="2" t="s">
        <v>12</v>
      </c>
      <c r="E19" s="2" t="s">
        <v>31</v>
      </c>
      <c r="F19" s="9">
        <v>531.84</v>
      </c>
      <c r="G19" s="85">
        <v>7.8406770000000003</v>
      </c>
      <c r="H19" s="86">
        <v>8.69</v>
      </c>
      <c r="I19" s="11">
        <f t="shared" si="1"/>
        <v>4621.6895999999997</v>
      </c>
      <c r="J19" s="364">
        <f>'BM-07_ACUMULADO'!J21+'BM-07_ACUMULADO'!L21</f>
        <v>531.84</v>
      </c>
      <c r="K19" s="32">
        <f>'MEMORIA BM 08'!E20</f>
        <v>0</v>
      </c>
      <c r="L19" s="32">
        <f t="shared" si="2"/>
        <v>531.84</v>
      </c>
      <c r="M19" s="80">
        <f t="shared" si="3"/>
        <v>4621.6895999999997</v>
      </c>
      <c r="N19" s="80">
        <f>H19*K19</f>
        <v>0</v>
      </c>
      <c r="O19" s="6">
        <f t="shared" si="5"/>
        <v>4621.6895999999997</v>
      </c>
      <c r="P19" s="37">
        <f>I19-O19</f>
        <v>0</v>
      </c>
      <c r="Q19" s="379">
        <f t="shared" si="0"/>
        <v>1</v>
      </c>
    </row>
    <row r="20" spans="1:17" x14ac:dyDescent="0.25">
      <c r="A20" s="36" t="s">
        <v>791</v>
      </c>
      <c r="B20" s="87" t="s">
        <v>795</v>
      </c>
      <c r="C20" s="373" t="s">
        <v>794</v>
      </c>
      <c r="D20" s="2" t="s">
        <v>261</v>
      </c>
      <c r="E20" s="2" t="s">
        <v>22</v>
      </c>
      <c r="F20" s="9">
        <v>30.23</v>
      </c>
      <c r="G20" s="85">
        <v>47.655932</v>
      </c>
      <c r="H20" s="86">
        <v>52.8</v>
      </c>
      <c r="I20" s="11">
        <f t="shared" si="1"/>
        <v>1596.144</v>
      </c>
      <c r="J20" s="364">
        <f>'BM-07_ACUMULADO'!J22+'BM-07_ACUMULADO'!L22</f>
        <v>30.23</v>
      </c>
      <c r="K20" s="32">
        <f>'MEMORIA BM 08'!E21</f>
        <v>0</v>
      </c>
      <c r="L20" s="32">
        <f t="shared" si="2"/>
        <v>30.23</v>
      </c>
      <c r="M20" s="80">
        <f t="shared" si="3"/>
        <v>1596.144</v>
      </c>
      <c r="N20" s="80">
        <f t="shared" si="4"/>
        <v>0</v>
      </c>
      <c r="O20" s="6">
        <f t="shared" si="5"/>
        <v>1596.144</v>
      </c>
      <c r="P20" s="37" t="s">
        <v>796</v>
      </c>
      <c r="Q20" s="379">
        <f t="shared" si="0"/>
        <v>1</v>
      </c>
    </row>
    <row r="21" spans="1:17" x14ac:dyDescent="0.25">
      <c r="A21" s="38"/>
      <c r="B21" s="3"/>
      <c r="C21" s="372"/>
      <c r="D21" s="3"/>
      <c r="E21" s="3"/>
      <c r="F21" s="12"/>
      <c r="G21" s="13"/>
      <c r="H21" s="13"/>
      <c r="I21" s="14">
        <f>SUM(I15:I20)</f>
        <v>76950.427596500012</v>
      </c>
      <c r="J21" s="15"/>
      <c r="K21" s="15"/>
      <c r="L21" s="15"/>
      <c r="M21" s="14">
        <f>SUM(M15:M20)</f>
        <v>76950.427596500012</v>
      </c>
      <c r="N21" s="14">
        <f>SUM(N15:N20)</f>
        <v>0</v>
      </c>
      <c r="O21" s="14">
        <f>SUM(O15:O20)</f>
        <v>76950.427596500012</v>
      </c>
      <c r="P21" s="39">
        <f>I21-O21</f>
        <v>0</v>
      </c>
      <c r="Q21" s="379">
        <f t="shared" si="0"/>
        <v>1</v>
      </c>
    </row>
    <row r="22" spans="1:17" x14ac:dyDescent="0.25">
      <c r="A22" s="35" t="s">
        <v>36</v>
      </c>
      <c r="B22" s="117" t="s">
        <v>37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8"/>
      <c r="Q22" s="379"/>
    </row>
    <row r="23" spans="1:17" ht="38.25" x14ac:dyDescent="0.25">
      <c r="A23" s="36" t="s">
        <v>38</v>
      </c>
      <c r="B23" s="2" t="s">
        <v>39</v>
      </c>
      <c r="C23" s="371" t="s">
        <v>40</v>
      </c>
      <c r="D23" s="2" t="s">
        <v>21</v>
      </c>
      <c r="E23" s="2" t="s">
        <v>31</v>
      </c>
      <c r="F23" s="9">
        <f>5.42+25.36</f>
        <v>30.78</v>
      </c>
      <c r="G23" s="10">
        <v>242.41</v>
      </c>
      <c r="H23" s="10">
        <f>G23*$R$6</f>
        <v>308.709135</v>
      </c>
      <c r="I23" s="11">
        <f>F23*H23</f>
        <v>9502.0671753000006</v>
      </c>
      <c r="J23" s="364">
        <f>'BM-07_ACUMULADO'!L27+'BM-07_ACUMULADO'!J27</f>
        <v>30.78</v>
      </c>
      <c r="K23" s="32">
        <f>'MEMORIA BM 08'!E23</f>
        <v>0</v>
      </c>
      <c r="L23" s="32">
        <f>K23+J23</f>
        <v>30.78</v>
      </c>
      <c r="M23" s="80">
        <f>J23*H23</f>
        <v>9502.0671753000006</v>
      </c>
      <c r="N23" s="80">
        <f>H23*K23</f>
        <v>0</v>
      </c>
      <c r="O23" s="6">
        <f>N23+M23</f>
        <v>9502.0671753000006</v>
      </c>
      <c r="P23" s="37">
        <f>I23-O23</f>
        <v>0</v>
      </c>
      <c r="Q23" s="379">
        <f t="shared" si="0"/>
        <v>1</v>
      </c>
    </row>
    <row r="24" spans="1:17" x14ac:dyDescent="0.25">
      <c r="A24" s="36" t="s">
        <v>41</v>
      </c>
      <c r="B24" s="2" t="s">
        <v>42</v>
      </c>
      <c r="C24" s="371" t="s">
        <v>43</v>
      </c>
      <c r="D24" s="2" t="s">
        <v>12</v>
      </c>
      <c r="E24" s="2" t="s">
        <v>44</v>
      </c>
      <c r="F24" s="9">
        <f>476.29+37.84</f>
        <v>514.13</v>
      </c>
      <c r="G24" s="10">
        <v>58.96</v>
      </c>
      <c r="H24" s="10">
        <f>G24*$R$6</f>
        <v>75.085560000000001</v>
      </c>
      <c r="I24" s="11">
        <f t="shared" ref="I24:I31" si="6">F24*H24</f>
        <v>38603.738962800002</v>
      </c>
      <c r="J24" s="364">
        <f>'BM-07_ACUMULADO'!L28+'BM-07_ACUMULADO'!J28</f>
        <v>514.13</v>
      </c>
      <c r="K24" s="32">
        <f>'MEMORIA BM 08'!E24</f>
        <v>0</v>
      </c>
      <c r="L24" s="32">
        <f t="shared" ref="L24:L31" si="7">K24+J24</f>
        <v>514.13</v>
      </c>
      <c r="M24" s="80">
        <f t="shared" ref="M24:M31" si="8">J24*H24</f>
        <v>38603.738962800002</v>
      </c>
      <c r="N24" s="80">
        <f t="shared" ref="N24:N31" si="9">H24*K24</f>
        <v>0</v>
      </c>
      <c r="O24" s="6">
        <f t="shared" ref="O24:O31" si="10">N24+M24</f>
        <v>38603.738962800002</v>
      </c>
      <c r="P24" s="37">
        <f t="shared" ref="P24:P32" si="11">I24-O24</f>
        <v>0</v>
      </c>
      <c r="Q24" s="379">
        <f t="shared" si="0"/>
        <v>1</v>
      </c>
    </row>
    <row r="25" spans="1:17" ht="25.5" x14ac:dyDescent="0.25">
      <c r="A25" s="36" t="s">
        <v>45</v>
      </c>
      <c r="B25" s="2" t="s">
        <v>46</v>
      </c>
      <c r="C25" s="371" t="s">
        <v>47</v>
      </c>
      <c r="D25" s="2" t="s">
        <v>21</v>
      </c>
      <c r="E25" s="2" t="s">
        <v>48</v>
      </c>
      <c r="F25" s="9">
        <v>11.12</v>
      </c>
      <c r="G25" s="10">
        <v>15.84</v>
      </c>
      <c r="H25" s="10">
        <f>G25*$R$6</f>
        <v>20.172240000000002</v>
      </c>
      <c r="I25" s="11">
        <f t="shared" si="6"/>
        <v>224.3153088</v>
      </c>
      <c r="J25" s="364">
        <f>'BM-07_ACUMULADO'!L29+'BM-07_ACUMULADO'!J29</f>
        <v>0</v>
      </c>
      <c r="K25" s="32">
        <f>'MEMORIA BM 08'!E25</f>
        <v>0</v>
      </c>
      <c r="L25" s="31">
        <f t="shared" si="7"/>
        <v>0</v>
      </c>
      <c r="M25" s="80">
        <f t="shared" si="8"/>
        <v>0</v>
      </c>
      <c r="N25" s="80">
        <f t="shared" si="9"/>
        <v>0</v>
      </c>
      <c r="O25" s="6">
        <f t="shared" si="10"/>
        <v>0</v>
      </c>
      <c r="P25" s="37">
        <f t="shared" si="11"/>
        <v>224.3153088</v>
      </c>
      <c r="Q25" s="379">
        <f t="shared" si="0"/>
        <v>0</v>
      </c>
    </row>
    <row r="26" spans="1:17" ht="25.5" x14ac:dyDescent="0.25">
      <c r="A26" s="36" t="s">
        <v>49</v>
      </c>
      <c r="B26" s="2" t="s">
        <v>50</v>
      </c>
      <c r="C26" s="371" t="s">
        <v>51</v>
      </c>
      <c r="D26" s="2" t="s">
        <v>21</v>
      </c>
      <c r="E26" s="2" t="s">
        <v>48</v>
      </c>
      <c r="F26" s="9">
        <f>2763.11+117.92</f>
        <v>2881.03</v>
      </c>
      <c r="G26" s="10">
        <v>13.6</v>
      </c>
      <c r="H26" s="10">
        <f>G26*$R$6</f>
        <v>17.319600000000001</v>
      </c>
      <c r="I26" s="11">
        <f t="shared" si="6"/>
        <v>49898.287188000009</v>
      </c>
      <c r="J26" s="364">
        <f>'BM-07_ACUMULADO'!L30+'BM-07_ACUMULADO'!J30</f>
        <v>2881.03</v>
      </c>
      <c r="K26" s="32">
        <f>'MEMORIA BM 08'!E26</f>
        <v>0</v>
      </c>
      <c r="L26" s="32">
        <f t="shared" si="7"/>
        <v>2881.03</v>
      </c>
      <c r="M26" s="80">
        <f t="shared" si="8"/>
        <v>49898.287188000009</v>
      </c>
      <c r="N26" s="80">
        <f t="shared" si="9"/>
        <v>0</v>
      </c>
      <c r="O26" s="6">
        <f t="shared" si="10"/>
        <v>49898.287188000009</v>
      </c>
      <c r="P26" s="37">
        <f t="shared" si="11"/>
        <v>0</v>
      </c>
      <c r="Q26" s="379">
        <f t="shared" si="0"/>
        <v>1</v>
      </c>
    </row>
    <row r="27" spans="1:17" ht="25.5" x14ac:dyDescent="0.25">
      <c r="A27" s="36" t="s">
        <v>52</v>
      </c>
      <c r="B27" s="2" t="s">
        <v>53</v>
      </c>
      <c r="C27" s="371" t="s">
        <v>54</v>
      </c>
      <c r="D27" s="2" t="s">
        <v>21</v>
      </c>
      <c r="E27" s="2" t="s">
        <v>48</v>
      </c>
      <c r="F27" s="9">
        <v>397.04</v>
      </c>
      <c r="G27" s="10">
        <v>11.57</v>
      </c>
      <c r="H27" s="10">
        <f>G27*$R$6</f>
        <v>14.734395000000001</v>
      </c>
      <c r="I27" s="11">
        <f t="shared" si="6"/>
        <v>5850.1441908000006</v>
      </c>
      <c r="J27" s="364">
        <f>'BM-07_ACUMULADO'!L31+'BM-07_ACUMULADO'!J31</f>
        <v>0</v>
      </c>
      <c r="K27" s="32">
        <f>'MEMORIA BM 08'!E27</f>
        <v>0</v>
      </c>
      <c r="L27" s="31">
        <f t="shared" si="7"/>
        <v>0</v>
      </c>
      <c r="M27" s="80">
        <f t="shared" si="8"/>
        <v>0</v>
      </c>
      <c r="N27" s="80">
        <f t="shared" si="9"/>
        <v>0</v>
      </c>
      <c r="O27" s="6">
        <f t="shared" si="10"/>
        <v>0</v>
      </c>
      <c r="P27" s="37">
        <f t="shared" si="11"/>
        <v>5850.1441908000006</v>
      </c>
      <c r="Q27" s="379">
        <f t="shared" si="0"/>
        <v>0</v>
      </c>
    </row>
    <row r="28" spans="1:17" ht="25.5" x14ac:dyDescent="0.25">
      <c r="A28" s="36" t="s">
        <v>55</v>
      </c>
      <c r="B28" s="2" t="s">
        <v>56</v>
      </c>
      <c r="C28" s="371" t="s">
        <v>57</v>
      </c>
      <c r="D28" s="2" t="s">
        <v>21</v>
      </c>
      <c r="E28" s="2" t="s">
        <v>48</v>
      </c>
      <c r="F28" s="9">
        <f>437.7+46.84</f>
        <v>484.53999999999996</v>
      </c>
      <c r="G28" s="10">
        <v>16.47</v>
      </c>
      <c r="H28" s="10">
        <f>G28*$R$6</f>
        <v>20.974544999999999</v>
      </c>
      <c r="I28" s="11">
        <f t="shared" si="6"/>
        <v>10163.006034299999</v>
      </c>
      <c r="J28" s="364">
        <f>'BM-07_ACUMULADO'!L32+'BM-07_ACUMULADO'!J32</f>
        <v>484.54</v>
      </c>
      <c r="K28" s="32">
        <f>'MEMORIA BM 08'!E28</f>
        <v>0</v>
      </c>
      <c r="L28" s="31">
        <f t="shared" si="7"/>
        <v>484.54</v>
      </c>
      <c r="M28" s="80">
        <f t="shared" si="8"/>
        <v>10163.0060343</v>
      </c>
      <c r="N28" s="80">
        <f t="shared" si="9"/>
        <v>0</v>
      </c>
      <c r="O28" s="6">
        <f t="shared" si="10"/>
        <v>10163.0060343</v>
      </c>
      <c r="P28" s="37">
        <f t="shared" si="11"/>
        <v>0</v>
      </c>
      <c r="Q28" s="379">
        <f t="shared" si="0"/>
        <v>1.0000000000000002</v>
      </c>
    </row>
    <row r="29" spans="1:17" ht="38.25" x14ac:dyDescent="0.25">
      <c r="A29" s="36" t="s">
        <v>58</v>
      </c>
      <c r="B29" s="2" t="s">
        <v>59</v>
      </c>
      <c r="C29" s="371" t="s">
        <v>60</v>
      </c>
      <c r="D29" s="2" t="s">
        <v>21</v>
      </c>
      <c r="E29" s="2" t="s">
        <v>31</v>
      </c>
      <c r="F29" s="9">
        <f>65.67+2.13</f>
        <v>67.8</v>
      </c>
      <c r="G29" s="10">
        <v>301.79000000000002</v>
      </c>
      <c r="H29" s="10">
        <f>G29*$R$6</f>
        <v>384.32956500000006</v>
      </c>
      <c r="I29" s="11">
        <f t="shared" si="6"/>
        <v>26057.544507000002</v>
      </c>
      <c r="J29" s="364">
        <f>'BM-07_ACUMULADO'!L33+'BM-07_ACUMULADO'!J33</f>
        <v>67.8</v>
      </c>
      <c r="K29" s="32">
        <f>'MEMORIA BM 08'!E29</f>
        <v>0</v>
      </c>
      <c r="L29" s="32">
        <f t="shared" si="7"/>
        <v>67.8</v>
      </c>
      <c r="M29" s="80">
        <f>J29*H29</f>
        <v>26057.544507000002</v>
      </c>
      <c r="N29" s="80">
        <f t="shared" si="9"/>
        <v>0</v>
      </c>
      <c r="O29" s="6">
        <f t="shared" si="10"/>
        <v>26057.544507000002</v>
      </c>
      <c r="P29" s="37">
        <f t="shared" si="11"/>
        <v>0</v>
      </c>
      <c r="Q29" s="379">
        <f t="shared" si="0"/>
        <v>1</v>
      </c>
    </row>
    <row r="30" spans="1:17" ht="25.5" x14ac:dyDescent="0.25">
      <c r="A30" s="36" t="s">
        <v>61</v>
      </c>
      <c r="B30" s="2" t="s">
        <v>62</v>
      </c>
      <c r="C30" s="371" t="s">
        <v>63</v>
      </c>
      <c r="D30" s="2" t="s">
        <v>21</v>
      </c>
      <c r="E30" s="2" t="s">
        <v>31</v>
      </c>
      <c r="F30" s="9">
        <f>65.67+2.13</f>
        <v>67.8</v>
      </c>
      <c r="G30" s="10">
        <v>23.69</v>
      </c>
      <c r="H30" s="10">
        <f>G30*$R$6</f>
        <v>30.169215000000005</v>
      </c>
      <c r="I30" s="11">
        <f t="shared" si="6"/>
        <v>2045.4727770000002</v>
      </c>
      <c r="J30" s="364">
        <f>'BM-07_ACUMULADO'!L34+'BM-07_ACUMULADO'!J34</f>
        <v>67.8</v>
      </c>
      <c r="K30" s="32">
        <f>'MEMORIA BM 08'!E30</f>
        <v>0</v>
      </c>
      <c r="L30" s="32">
        <f t="shared" si="7"/>
        <v>67.8</v>
      </c>
      <c r="M30" s="80">
        <f t="shared" si="8"/>
        <v>2045.4727770000002</v>
      </c>
      <c r="N30" s="80">
        <f t="shared" si="9"/>
        <v>0</v>
      </c>
      <c r="O30" s="6">
        <f t="shared" si="10"/>
        <v>2045.4727770000002</v>
      </c>
      <c r="P30" s="37">
        <f t="shared" si="11"/>
        <v>0</v>
      </c>
      <c r="Q30" s="379">
        <f t="shared" si="0"/>
        <v>1</v>
      </c>
    </row>
    <row r="31" spans="1:17" ht="45" x14ac:dyDescent="0.25">
      <c r="A31" s="36" t="s">
        <v>797</v>
      </c>
      <c r="B31" s="87">
        <v>4953</v>
      </c>
      <c r="C31" s="88" t="s">
        <v>798</v>
      </c>
      <c r="D31" s="87" t="s">
        <v>12</v>
      </c>
      <c r="E31" s="87" t="s">
        <v>69</v>
      </c>
      <c r="F31" s="9">
        <v>289.06</v>
      </c>
      <c r="G31" s="10">
        <v>23.65</v>
      </c>
      <c r="H31" s="10">
        <v>26.21</v>
      </c>
      <c r="I31" s="11">
        <f t="shared" si="6"/>
        <v>7576.2626</v>
      </c>
      <c r="J31" s="364">
        <f>'BM-07_ACUMULADO'!L35+'BM-07_ACUMULADO'!J35</f>
        <v>289.06</v>
      </c>
      <c r="K31" s="32">
        <f>'MEMORIA BM 08'!E31</f>
        <v>0</v>
      </c>
      <c r="L31" s="32">
        <f t="shared" si="7"/>
        <v>289.06</v>
      </c>
      <c r="M31" s="80">
        <f t="shared" si="8"/>
        <v>7576.2626</v>
      </c>
      <c r="N31" s="80">
        <f t="shared" si="9"/>
        <v>0</v>
      </c>
      <c r="O31" s="6">
        <f t="shared" si="10"/>
        <v>7576.2626</v>
      </c>
      <c r="P31" s="37">
        <f t="shared" si="11"/>
        <v>0</v>
      </c>
      <c r="Q31" s="379">
        <f t="shared" si="0"/>
        <v>1</v>
      </c>
    </row>
    <row r="32" spans="1:17" x14ac:dyDescent="0.25">
      <c r="A32" s="38"/>
      <c r="B32" s="3"/>
      <c r="C32" s="372"/>
      <c r="D32" s="3"/>
      <c r="E32" s="3"/>
      <c r="F32" s="12"/>
      <c r="G32" s="13"/>
      <c r="H32" s="13"/>
      <c r="I32" s="14">
        <f>SUM(I23:I31)</f>
        <v>149920.83874399998</v>
      </c>
      <c r="J32" s="15"/>
      <c r="K32" s="15"/>
      <c r="L32" s="15"/>
      <c r="M32" s="14">
        <f>SUM(M23:M31)</f>
        <v>143846.37924439998</v>
      </c>
      <c r="N32" s="14">
        <f>SUM(N23:N31)</f>
        <v>0</v>
      </c>
      <c r="O32" s="14">
        <f>SUM(O23:O31)</f>
        <v>143846.37924439998</v>
      </c>
      <c r="P32" s="39">
        <f t="shared" si="11"/>
        <v>6074.4594995999942</v>
      </c>
      <c r="Q32" s="379">
        <f t="shared" si="0"/>
        <v>0.95948222041385089</v>
      </c>
    </row>
    <row r="33" spans="1:17" x14ac:dyDescent="0.25">
      <c r="A33" s="35" t="s">
        <v>64</v>
      </c>
      <c r="B33" s="117" t="s">
        <v>65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8"/>
      <c r="Q33" s="379"/>
    </row>
    <row r="34" spans="1:17" ht="51" x14ac:dyDescent="0.25">
      <c r="A34" s="36" t="s">
        <v>66</v>
      </c>
      <c r="B34" s="2" t="s">
        <v>67</v>
      </c>
      <c r="C34" s="371" t="s">
        <v>68</v>
      </c>
      <c r="D34" s="2" t="s">
        <v>21</v>
      </c>
      <c r="E34" s="2" t="s">
        <v>69</v>
      </c>
      <c r="F34" s="9">
        <v>1094.53</v>
      </c>
      <c r="G34" s="10">
        <v>52.58</v>
      </c>
      <c r="H34" s="10">
        <f>G34*$R$6</f>
        <v>66.960629999999995</v>
      </c>
      <c r="I34" s="11">
        <f>F34*H34</f>
        <v>73290.418353899993</v>
      </c>
      <c r="J34" s="364">
        <f>'BM-07_ACUMULADO'!L39+'BM-07_ACUMULADO'!J39</f>
        <v>999.78700000000003</v>
      </c>
      <c r="K34" s="32">
        <f>'MEMORIA BM 08'!E33</f>
        <v>0</v>
      </c>
      <c r="L34" s="31">
        <f>K34+J34</f>
        <v>999.78700000000003</v>
      </c>
      <c r="M34" s="80">
        <f>J34*H34</f>
        <v>66946.367385809994</v>
      </c>
      <c r="N34" s="80">
        <f>H34*K34</f>
        <v>0</v>
      </c>
      <c r="O34" s="6">
        <f>N34+M34</f>
        <v>66946.367385809994</v>
      </c>
      <c r="P34" s="37">
        <f>I34-O34</f>
        <v>6344.0509680899995</v>
      </c>
      <c r="Q34" s="379">
        <f t="shared" si="0"/>
        <v>0.91343955853197267</v>
      </c>
    </row>
    <row r="35" spans="1:17" ht="38.25" x14ac:dyDescent="0.25">
      <c r="A35" s="36" t="s">
        <v>70</v>
      </c>
      <c r="B35" s="2" t="s">
        <v>71</v>
      </c>
      <c r="C35" s="371" t="s">
        <v>72</v>
      </c>
      <c r="D35" s="2" t="s">
        <v>21</v>
      </c>
      <c r="E35" s="2" t="s">
        <v>69</v>
      </c>
      <c r="F35" s="9">
        <v>16</v>
      </c>
      <c r="G35" s="10">
        <v>133.55000000000001</v>
      </c>
      <c r="H35" s="10">
        <f>G35*$R$6</f>
        <v>170.07592500000001</v>
      </c>
      <c r="I35" s="11">
        <f>F35*H35</f>
        <v>2721.2148000000002</v>
      </c>
      <c r="J35" s="364">
        <f>'BM-07_ACUMULADO'!L40+'BM-07_ACUMULADO'!J40</f>
        <v>16</v>
      </c>
      <c r="K35" s="32">
        <f>'MEMORIA BM 08'!E34</f>
        <v>0</v>
      </c>
      <c r="L35" s="31">
        <f>K35+J35</f>
        <v>16</v>
      </c>
      <c r="M35" s="80">
        <f>J35*H35</f>
        <v>2721.2148000000002</v>
      </c>
      <c r="N35" s="80">
        <f>H35*K35</f>
        <v>0</v>
      </c>
      <c r="O35" s="6">
        <f>N35+M35</f>
        <v>2721.2148000000002</v>
      </c>
      <c r="P35" s="37">
        <f>I35-O35</f>
        <v>0</v>
      </c>
      <c r="Q35" s="379">
        <f t="shared" si="0"/>
        <v>1</v>
      </c>
    </row>
    <row r="36" spans="1:17" ht="51" x14ac:dyDescent="0.25">
      <c r="A36" s="36" t="s">
        <v>73</v>
      </c>
      <c r="B36" s="2" t="s">
        <v>67</v>
      </c>
      <c r="C36" s="373" t="s">
        <v>68</v>
      </c>
      <c r="D36" s="78" t="s">
        <v>21</v>
      </c>
      <c r="E36" s="78" t="s">
        <v>69</v>
      </c>
      <c r="F36" s="9">
        <v>183</v>
      </c>
      <c r="G36" s="10">
        <v>52.58</v>
      </c>
      <c r="H36" s="10">
        <f>G36*$R$6</f>
        <v>66.960629999999995</v>
      </c>
      <c r="I36" s="11">
        <f>F36*H36</f>
        <v>12253.795289999998</v>
      </c>
      <c r="J36" s="364">
        <f>'BM-07_ACUMULADO'!L41+'BM-07_ACUMULADO'!J41</f>
        <v>167.4</v>
      </c>
      <c r="K36" s="32">
        <f>'MEMORIA BM 08'!E35</f>
        <v>0</v>
      </c>
      <c r="L36" s="31">
        <f>K36+J36</f>
        <v>167.4</v>
      </c>
      <c r="M36" s="80">
        <f>J36*H36</f>
        <v>11209.209461999999</v>
      </c>
      <c r="N36" s="80">
        <f>H36*K36</f>
        <v>0</v>
      </c>
      <c r="O36" s="6">
        <f>N36+M36</f>
        <v>11209.209461999999</v>
      </c>
      <c r="P36" s="37">
        <f>I36-O36</f>
        <v>1044.5858279999993</v>
      </c>
      <c r="Q36" s="379">
        <f t="shared" si="0"/>
        <v>0.9147540983606558</v>
      </c>
    </row>
    <row r="37" spans="1:17" ht="63.75" x14ac:dyDescent="0.25">
      <c r="A37" s="89" t="s">
        <v>799</v>
      </c>
      <c r="B37" s="87">
        <v>89977</v>
      </c>
      <c r="C37" s="91" t="s">
        <v>800</v>
      </c>
      <c r="D37" s="87" t="s">
        <v>21</v>
      </c>
      <c r="E37" s="87" t="s">
        <v>69</v>
      </c>
      <c r="F37" s="9">
        <v>166.07</v>
      </c>
      <c r="G37" s="10">
        <v>101.51</v>
      </c>
      <c r="H37" s="10">
        <v>112.47</v>
      </c>
      <c r="I37" s="11">
        <f>F37*H37</f>
        <v>18677.892899999999</v>
      </c>
      <c r="J37" s="364">
        <f>'BM-07_ACUMULADO'!L42+'BM-07_ACUMULADO'!J42</f>
        <v>0</v>
      </c>
      <c r="K37" s="26">
        <f>'MEMORIA BM 08'!E36</f>
        <v>166.07400000000001</v>
      </c>
      <c r="L37" s="31">
        <f>K37+J37</f>
        <v>166.07400000000001</v>
      </c>
      <c r="M37" s="80">
        <f>J37*H37</f>
        <v>0</v>
      </c>
      <c r="N37" s="7">
        <f>H37*K37</f>
        <v>18678.342780000003</v>
      </c>
      <c r="O37" s="6">
        <f>N37+M37</f>
        <v>18678.342780000003</v>
      </c>
      <c r="P37" s="37">
        <f>I37-O37</f>
        <v>-0.44988000000375905</v>
      </c>
      <c r="Q37" s="379">
        <f t="shared" ref="Q36:Q99" si="12">O37/I37</f>
        <v>1.0000240862286989</v>
      </c>
    </row>
    <row r="38" spans="1:17" x14ac:dyDescent="0.25">
      <c r="A38" s="38"/>
      <c r="B38" s="3"/>
      <c r="C38" s="372"/>
      <c r="D38" s="3"/>
      <c r="E38" s="3"/>
      <c r="F38" s="12"/>
      <c r="G38" s="13"/>
      <c r="H38" s="13"/>
      <c r="I38" s="14">
        <f>SUM(I34:I37)</f>
        <v>106943.3213439</v>
      </c>
      <c r="J38" s="15"/>
      <c r="K38" s="15"/>
      <c r="L38" s="15"/>
      <c r="M38" s="14">
        <f>SUM(M34:M37)</f>
        <v>80876.791647809994</v>
      </c>
      <c r="N38" s="14">
        <f>SUM(N34:N37)</f>
        <v>18678.342780000003</v>
      </c>
      <c r="O38" s="14">
        <f>SUM(O34:O37)</f>
        <v>99555.13442781</v>
      </c>
      <c r="P38" s="39">
        <f>I38-O38</f>
        <v>7388.1869160899951</v>
      </c>
      <c r="Q38" s="379">
        <f t="shared" si="12"/>
        <v>0.93091492929856146</v>
      </c>
    </row>
    <row r="39" spans="1:17" x14ac:dyDescent="0.25">
      <c r="A39" s="35" t="s">
        <v>74</v>
      </c>
      <c r="B39" s="117" t="s">
        <v>75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8"/>
      <c r="Q39" s="379"/>
    </row>
    <row r="40" spans="1:17" ht="25.5" x14ac:dyDescent="0.25">
      <c r="A40" s="36" t="s">
        <v>76</v>
      </c>
      <c r="B40" s="2" t="s">
        <v>77</v>
      </c>
      <c r="C40" s="371" t="s">
        <v>78</v>
      </c>
      <c r="D40" s="2" t="s">
        <v>12</v>
      </c>
      <c r="E40" s="2" t="s">
        <v>13</v>
      </c>
      <c r="F40" s="9">
        <f>774.39+271.32</f>
        <v>1045.71</v>
      </c>
      <c r="G40" s="10">
        <v>49.07</v>
      </c>
      <c r="H40" s="10">
        <f>G40*$R$6</f>
        <v>62.490645000000001</v>
      </c>
      <c r="I40" s="11">
        <f>F40*H40</f>
        <v>65347.092382950003</v>
      </c>
      <c r="J40" s="364">
        <f>'BM-07_ACUMULADO'!L46+'BM-07_ACUMULADO'!J46</f>
        <v>1045.71</v>
      </c>
      <c r="K40" s="32">
        <f>'MEMORIA BM 08'!E38</f>
        <v>0</v>
      </c>
      <c r="L40" s="31">
        <f>K40+J40</f>
        <v>1045.71</v>
      </c>
      <c r="M40" s="80">
        <f>J40*H40</f>
        <v>65347.092382950003</v>
      </c>
      <c r="N40" s="80">
        <f>H40*K40</f>
        <v>0</v>
      </c>
      <c r="O40" s="6">
        <f>N40+M40</f>
        <v>65347.092382950003</v>
      </c>
      <c r="P40" s="37">
        <f>I40-O40</f>
        <v>0</v>
      </c>
      <c r="Q40" s="379">
        <f t="shared" si="12"/>
        <v>1</v>
      </c>
    </row>
    <row r="41" spans="1:17" ht="38.25" x14ac:dyDescent="0.25">
      <c r="A41" s="36" t="s">
        <v>79</v>
      </c>
      <c r="B41" s="2" t="s">
        <v>80</v>
      </c>
      <c r="C41" s="371" t="s">
        <v>81</v>
      </c>
      <c r="D41" s="2" t="s">
        <v>21</v>
      </c>
      <c r="E41" s="2" t="s">
        <v>48</v>
      </c>
      <c r="F41" s="9">
        <v>13.48</v>
      </c>
      <c r="G41" s="10">
        <v>15.87</v>
      </c>
      <c r="H41" s="10">
        <f>G41*$R$6</f>
        <v>20.210445</v>
      </c>
      <c r="I41" s="11">
        <f t="shared" ref="I41:I50" si="13">F41*H41</f>
        <v>272.43679860000003</v>
      </c>
      <c r="J41" s="364">
        <f>'BM-07_ACUMULADO'!L47+'BM-07_ACUMULADO'!J47</f>
        <v>8.0399999999999991</v>
      </c>
      <c r="K41" s="32">
        <f>'MEMORIA BM 08'!E39</f>
        <v>0</v>
      </c>
      <c r="L41" s="31">
        <f t="shared" ref="L41:L50" si="14">K41+J41</f>
        <v>8.0399999999999991</v>
      </c>
      <c r="M41" s="80">
        <f t="shared" ref="M41:M49" si="15">J41*H41</f>
        <v>162.49197779999997</v>
      </c>
      <c r="N41" s="80">
        <f t="shared" ref="N41:N49" si="16">H41*K41</f>
        <v>0</v>
      </c>
      <c r="O41" s="6">
        <f t="shared" ref="O41:O49" si="17">N41+M41</f>
        <v>162.49197779999997</v>
      </c>
      <c r="P41" s="37">
        <f t="shared" ref="P41:P49" si="18">I41-O41</f>
        <v>109.94482080000006</v>
      </c>
      <c r="Q41" s="379">
        <f t="shared" si="12"/>
        <v>0.59643916913946571</v>
      </c>
    </row>
    <row r="42" spans="1:17" ht="38.25" x14ac:dyDescent="0.25">
      <c r="A42" s="36" t="s">
        <v>82</v>
      </c>
      <c r="B42" s="2" t="s">
        <v>83</v>
      </c>
      <c r="C42" s="371" t="s">
        <v>84</v>
      </c>
      <c r="D42" s="2" t="s">
        <v>21</v>
      </c>
      <c r="E42" s="2" t="s">
        <v>48</v>
      </c>
      <c r="F42" s="9">
        <f>2421.11+770.02</f>
        <v>3191.13</v>
      </c>
      <c r="G42" s="10">
        <v>13.56</v>
      </c>
      <c r="H42" s="10">
        <f>G42*$R$6</f>
        <v>17.268660000000001</v>
      </c>
      <c r="I42" s="11">
        <f t="shared" si="13"/>
        <v>55106.538985800005</v>
      </c>
      <c r="J42" s="364">
        <f>'BM-07_ACUMULADO'!L48+'BM-07_ACUMULADO'!J48</f>
        <v>3191.13</v>
      </c>
      <c r="K42" s="32">
        <f>'MEMORIA BM 08'!E40</f>
        <v>0</v>
      </c>
      <c r="L42" s="31">
        <f t="shared" si="14"/>
        <v>3191.13</v>
      </c>
      <c r="M42" s="80">
        <f t="shared" si="15"/>
        <v>55106.538985800005</v>
      </c>
      <c r="N42" s="80">
        <f t="shared" si="16"/>
        <v>0</v>
      </c>
      <c r="O42" s="6">
        <f t="shared" si="17"/>
        <v>55106.538985800005</v>
      </c>
      <c r="P42" s="37">
        <f t="shared" si="18"/>
        <v>0</v>
      </c>
      <c r="Q42" s="379">
        <f t="shared" si="12"/>
        <v>1</v>
      </c>
    </row>
    <row r="43" spans="1:17" ht="38.25" x14ac:dyDescent="0.25">
      <c r="A43" s="36" t="s">
        <v>85</v>
      </c>
      <c r="B43" s="2" t="s">
        <v>86</v>
      </c>
      <c r="C43" s="371" t="s">
        <v>87</v>
      </c>
      <c r="D43" s="2" t="s">
        <v>21</v>
      </c>
      <c r="E43" s="2" t="s">
        <v>48</v>
      </c>
      <c r="F43" s="9">
        <f>632.69+92.45</f>
        <v>725.1400000000001</v>
      </c>
      <c r="G43" s="10">
        <v>11.47</v>
      </c>
      <c r="H43" s="10">
        <f>G43*$R$6</f>
        <v>14.607045000000001</v>
      </c>
      <c r="I43" s="11">
        <f t="shared" si="13"/>
        <v>10592.152611300002</v>
      </c>
      <c r="J43" s="364">
        <f>'BM-07_ACUMULADO'!L49+'BM-07_ACUMULADO'!J49</f>
        <v>724.37</v>
      </c>
      <c r="K43" s="32">
        <f>'MEMORIA BM 08'!E41</f>
        <v>0</v>
      </c>
      <c r="L43" s="31">
        <f t="shared" si="14"/>
        <v>724.37</v>
      </c>
      <c r="M43" s="80">
        <f t="shared" si="15"/>
        <v>10580.905186650001</v>
      </c>
      <c r="N43" s="80">
        <f t="shared" si="16"/>
        <v>0</v>
      </c>
      <c r="O43" s="6">
        <f t="shared" si="17"/>
        <v>10580.905186650001</v>
      </c>
      <c r="P43" s="37">
        <f t="shared" si="18"/>
        <v>11.247424650000539</v>
      </c>
      <c r="Q43" s="379">
        <f t="shared" si="12"/>
        <v>0.99893813608406645</v>
      </c>
    </row>
    <row r="44" spans="1:17" ht="38.25" x14ac:dyDescent="0.25">
      <c r="A44" s="36" t="s">
        <v>88</v>
      </c>
      <c r="B44" s="2" t="s">
        <v>89</v>
      </c>
      <c r="C44" s="371" t="s">
        <v>90</v>
      </c>
      <c r="D44" s="2" t="s">
        <v>21</v>
      </c>
      <c r="E44" s="2" t="s">
        <v>48</v>
      </c>
      <c r="F44" s="9">
        <f>729.34+290.85</f>
        <v>1020.19</v>
      </c>
      <c r="G44" s="10">
        <v>16.5</v>
      </c>
      <c r="H44" s="10">
        <f>G44*$R$6</f>
        <v>21.01275</v>
      </c>
      <c r="I44" s="11">
        <f t="shared" si="13"/>
        <v>21436.997422500001</v>
      </c>
      <c r="J44" s="364">
        <f>'BM-07_ACUMULADO'!L50+'BM-07_ACUMULADO'!J50</f>
        <v>1020.19</v>
      </c>
      <c r="K44" s="32">
        <f>'MEMORIA BM 08'!E42</f>
        <v>0</v>
      </c>
      <c r="L44" s="31">
        <f t="shared" si="14"/>
        <v>1020.19</v>
      </c>
      <c r="M44" s="80">
        <f t="shared" si="15"/>
        <v>21436.997422500001</v>
      </c>
      <c r="N44" s="80">
        <f t="shared" si="16"/>
        <v>0</v>
      </c>
      <c r="O44" s="6">
        <f t="shared" si="17"/>
        <v>21436.997422500001</v>
      </c>
      <c r="P44" s="37">
        <f t="shared" si="18"/>
        <v>0</v>
      </c>
      <c r="Q44" s="379">
        <f t="shared" si="12"/>
        <v>1</v>
      </c>
    </row>
    <row r="45" spans="1:17" ht="38.25" x14ac:dyDescent="0.25">
      <c r="A45" s="36" t="s">
        <v>91</v>
      </c>
      <c r="B45" s="2" t="s">
        <v>92</v>
      </c>
      <c r="C45" s="371" t="s">
        <v>93</v>
      </c>
      <c r="D45" s="2" t="s">
        <v>21</v>
      </c>
      <c r="E45" s="2" t="s">
        <v>31</v>
      </c>
      <c r="F45" s="9">
        <f>39.65+13.25</f>
        <v>52.9</v>
      </c>
      <c r="G45" s="10">
        <v>298.27999999999997</v>
      </c>
      <c r="H45" s="10">
        <f>G45*$R$6</f>
        <v>379.85957999999999</v>
      </c>
      <c r="I45" s="11">
        <f t="shared" si="13"/>
        <v>20094.571781999999</v>
      </c>
      <c r="J45" s="364">
        <f>'BM-07_ACUMULADO'!L51+'BM-07_ACUMULADO'!J51</f>
        <v>52.9</v>
      </c>
      <c r="K45" s="32">
        <f>'MEMORIA BM 08'!E43</f>
        <v>0</v>
      </c>
      <c r="L45" s="31">
        <f t="shared" si="14"/>
        <v>52.9</v>
      </c>
      <c r="M45" s="80">
        <f t="shared" si="15"/>
        <v>20094.571781999999</v>
      </c>
      <c r="N45" s="80">
        <f t="shared" si="16"/>
        <v>0</v>
      </c>
      <c r="O45" s="6">
        <f t="shared" si="17"/>
        <v>20094.571781999999</v>
      </c>
      <c r="P45" s="37">
        <f t="shared" si="18"/>
        <v>0</v>
      </c>
      <c r="Q45" s="379">
        <f t="shared" si="12"/>
        <v>1</v>
      </c>
    </row>
    <row r="46" spans="1:17" ht="25.5" x14ac:dyDescent="0.25">
      <c r="A46" s="36" t="s">
        <v>94</v>
      </c>
      <c r="B46" s="2" t="s">
        <v>62</v>
      </c>
      <c r="C46" s="371" t="s">
        <v>63</v>
      </c>
      <c r="D46" s="2" t="s">
        <v>21</v>
      </c>
      <c r="E46" s="2" t="s">
        <v>31</v>
      </c>
      <c r="F46" s="9">
        <f>39.65+13.25</f>
        <v>52.9</v>
      </c>
      <c r="G46" s="10">
        <v>23.69</v>
      </c>
      <c r="H46" s="10">
        <f>G46*$R$6</f>
        <v>30.169215000000005</v>
      </c>
      <c r="I46" s="11">
        <f t="shared" si="13"/>
        <v>1595.9514735000002</v>
      </c>
      <c r="J46" s="364">
        <f>'BM-07_ACUMULADO'!L52+'BM-07_ACUMULADO'!J52</f>
        <v>52.9</v>
      </c>
      <c r="K46" s="32">
        <f>'MEMORIA BM 08'!E44</f>
        <v>0</v>
      </c>
      <c r="L46" s="31">
        <f t="shared" si="14"/>
        <v>52.9</v>
      </c>
      <c r="M46" s="80">
        <f t="shared" si="15"/>
        <v>1595.9514735000002</v>
      </c>
      <c r="N46" s="80">
        <f t="shared" si="16"/>
        <v>0</v>
      </c>
      <c r="O46" s="6">
        <f t="shared" si="17"/>
        <v>1595.9514735000002</v>
      </c>
      <c r="P46" s="37">
        <f t="shared" si="18"/>
        <v>0</v>
      </c>
      <c r="Q46" s="379">
        <f t="shared" si="12"/>
        <v>1</v>
      </c>
    </row>
    <row r="47" spans="1:17" ht="38.25" x14ac:dyDescent="0.25">
      <c r="A47" s="36" t="s">
        <v>95</v>
      </c>
      <c r="B47" s="2" t="s">
        <v>96</v>
      </c>
      <c r="C47" s="373" t="s">
        <v>97</v>
      </c>
      <c r="D47" s="2" t="s">
        <v>21</v>
      </c>
      <c r="E47" s="2" t="s">
        <v>69</v>
      </c>
      <c r="F47" s="9">
        <v>111.31</v>
      </c>
      <c r="G47" s="10">
        <v>129.72</v>
      </c>
      <c r="H47" s="10">
        <f>G47*$R$6</f>
        <v>165.19842</v>
      </c>
      <c r="I47" s="11">
        <f t="shared" si="13"/>
        <v>18388.236130199999</v>
      </c>
      <c r="J47" s="364">
        <f>'BM-07_ACUMULADO'!L53+'BM-07_ACUMULADO'!J53</f>
        <v>80.819999999999993</v>
      </c>
      <c r="K47" s="32">
        <f>'MEMORIA BM 08'!E45</f>
        <v>0</v>
      </c>
      <c r="L47" s="31">
        <f t="shared" si="14"/>
        <v>80.819999999999993</v>
      </c>
      <c r="M47" s="80">
        <f t="shared" si="15"/>
        <v>13351.336304399998</v>
      </c>
      <c r="N47" s="80">
        <f t="shared" si="16"/>
        <v>0</v>
      </c>
      <c r="O47" s="6">
        <f t="shared" si="17"/>
        <v>13351.336304399998</v>
      </c>
      <c r="P47" s="37">
        <f t="shared" si="18"/>
        <v>5036.8998258000011</v>
      </c>
      <c r="Q47" s="379">
        <f t="shared" si="12"/>
        <v>0.7260803162339412</v>
      </c>
    </row>
    <row r="48" spans="1:17" ht="25.5" x14ac:dyDescent="0.25">
      <c r="A48" s="79" t="s">
        <v>98</v>
      </c>
      <c r="B48" s="78" t="s">
        <v>99</v>
      </c>
      <c r="C48" s="373" t="s">
        <v>100</v>
      </c>
      <c r="D48" s="78" t="s">
        <v>21</v>
      </c>
      <c r="E48" s="78" t="s">
        <v>22</v>
      </c>
      <c r="F48" s="9">
        <v>25</v>
      </c>
      <c r="G48" s="10">
        <v>25.84</v>
      </c>
      <c r="H48" s="10">
        <f>G48*$R$6</f>
        <v>32.907240000000002</v>
      </c>
      <c r="I48" s="11">
        <f t="shared" si="13"/>
        <v>822.68100000000004</v>
      </c>
      <c r="J48" s="364">
        <f>'BM-07_ACUMULADO'!L54+'BM-07_ACUMULADO'!J54</f>
        <v>25</v>
      </c>
      <c r="K48" s="32">
        <f>'MEMORIA BM 08'!E46</f>
        <v>0</v>
      </c>
      <c r="L48" s="31">
        <f t="shared" si="14"/>
        <v>25</v>
      </c>
      <c r="M48" s="80">
        <f t="shared" si="15"/>
        <v>822.68100000000004</v>
      </c>
      <c r="N48" s="80">
        <f t="shared" si="16"/>
        <v>0</v>
      </c>
      <c r="O48" s="6">
        <f t="shared" si="17"/>
        <v>822.68100000000004</v>
      </c>
      <c r="P48" s="37">
        <f t="shared" si="18"/>
        <v>0</v>
      </c>
      <c r="Q48" s="379">
        <f t="shared" si="12"/>
        <v>1</v>
      </c>
    </row>
    <row r="49" spans="1:17" ht="25.5" x14ac:dyDescent="0.25">
      <c r="A49" s="79" t="s">
        <v>101</v>
      </c>
      <c r="B49" s="78" t="s">
        <v>102</v>
      </c>
      <c r="C49" s="373" t="s">
        <v>103</v>
      </c>
      <c r="D49" s="78" t="s">
        <v>21</v>
      </c>
      <c r="E49" s="78" t="s">
        <v>22</v>
      </c>
      <c r="F49" s="9">
        <v>101.6</v>
      </c>
      <c r="G49" s="10">
        <v>35.19</v>
      </c>
      <c r="H49" s="10">
        <f>G49*$R$6</f>
        <v>44.814464999999998</v>
      </c>
      <c r="I49" s="11">
        <f t="shared" si="13"/>
        <v>4553.1496439999992</v>
      </c>
      <c r="J49" s="364">
        <f>'BM-07_ACUMULADO'!L55+'BM-07_ACUMULADO'!J55</f>
        <v>77.5</v>
      </c>
      <c r="K49" s="32">
        <f>'MEMORIA BM 08'!E47</f>
        <v>0</v>
      </c>
      <c r="L49" s="31">
        <f t="shared" si="14"/>
        <v>77.5</v>
      </c>
      <c r="M49" s="80">
        <f t="shared" si="15"/>
        <v>3473.1210375000001</v>
      </c>
      <c r="N49" s="80">
        <f t="shared" si="16"/>
        <v>0</v>
      </c>
      <c r="O49" s="6">
        <f t="shared" si="17"/>
        <v>3473.1210375000001</v>
      </c>
      <c r="P49" s="37">
        <f t="shared" si="18"/>
        <v>1080.0286064999991</v>
      </c>
      <c r="Q49" s="379">
        <f t="shared" si="12"/>
        <v>0.76279527559055138</v>
      </c>
    </row>
    <row r="50" spans="1:17" ht="45" x14ac:dyDescent="0.25">
      <c r="A50" s="90" t="s">
        <v>801</v>
      </c>
      <c r="B50" s="87">
        <v>92777</v>
      </c>
      <c r="C50" s="88" t="s">
        <v>802</v>
      </c>
      <c r="D50" s="87" t="s">
        <v>21</v>
      </c>
      <c r="E50" s="87" t="s">
        <v>69</v>
      </c>
      <c r="F50" s="9">
        <v>12.39</v>
      </c>
      <c r="G50" s="10">
        <v>15.55</v>
      </c>
      <c r="H50" s="10">
        <v>17.23</v>
      </c>
      <c r="I50" s="11">
        <f t="shared" si="13"/>
        <v>213.47970000000001</v>
      </c>
      <c r="J50" s="364">
        <f>'BM-07_ACUMULADO'!L56+'BM-07_ACUMULADO'!J56</f>
        <v>12.39</v>
      </c>
      <c r="K50" s="32">
        <f>'MEMORIA BM 08'!E48</f>
        <v>0</v>
      </c>
      <c r="L50" s="31">
        <f t="shared" si="14"/>
        <v>12.39</v>
      </c>
      <c r="M50" s="80">
        <f>J50*H50</f>
        <v>213.47970000000001</v>
      </c>
      <c r="N50" s="80">
        <f>H50*K50</f>
        <v>0</v>
      </c>
      <c r="O50" s="6">
        <f>N50+M50</f>
        <v>213.47970000000001</v>
      </c>
      <c r="P50" s="37">
        <f>I50-O50</f>
        <v>0</v>
      </c>
      <c r="Q50" s="379">
        <f t="shared" si="12"/>
        <v>1</v>
      </c>
    </row>
    <row r="51" spans="1:17" x14ac:dyDescent="0.25">
      <c r="A51" s="35" t="s">
        <v>104</v>
      </c>
      <c r="B51" s="117" t="s">
        <v>105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8"/>
      <c r="Q51" s="379"/>
    </row>
    <row r="52" spans="1:17" ht="38.25" x14ac:dyDescent="0.25">
      <c r="A52" s="36" t="s">
        <v>106</v>
      </c>
      <c r="B52" s="2" t="s">
        <v>107</v>
      </c>
      <c r="C52" s="371" t="s">
        <v>108</v>
      </c>
      <c r="D52" s="2" t="s">
        <v>12</v>
      </c>
      <c r="E52" s="2" t="s">
        <v>13</v>
      </c>
      <c r="F52" s="9">
        <v>382.72</v>
      </c>
      <c r="G52" s="10">
        <v>159.99</v>
      </c>
      <c r="H52" s="10">
        <f>G52*$R$6</f>
        <v>203.74726500000003</v>
      </c>
      <c r="I52" s="11">
        <f t="shared" ref="I52:I57" si="19">F52*H52</f>
        <v>77978.153260800013</v>
      </c>
      <c r="J52" s="364">
        <f>'BM-07_ACUMULADO'!L58+'BM-07_ACUMULADO'!J58</f>
        <v>375.25</v>
      </c>
      <c r="K52" s="32">
        <f>'MEMORIA BM 08'!E50</f>
        <v>0</v>
      </c>
      <c r="L52" s="31">
        <f t="shared" ref="L52:L57" si="20">K52+J52</f>
        <v>375.25</v>
      </c>
      <c r="M52" s="80">
        <f t="shared" ref="M52:M57" si="21">J52*H52</f>
        <v>76456.161191250008</v>
      </c>
      <c r="N52" s="80">
        <f t="shared" ref="N52:N57" si="22">H52*K52</f>
        <v>0</v>
      </c>
      <c r="O52" s="6">
        <f t="shared" ref="O52:O57" si="23">N52+M52</f>
        <v>76456.161191250008</v>
      </c>
      <c r="P52" s="37">
        <f t="shared" ref="P52:P58" si="24">I52-O52</f>
        <v>1521.9920695500041</v>
      </c>
      <c r="Q52" s="379">
        <f t="shared" si="12"/>
        <v>0.9804818143812708</v>
      </c>
    </row>
    <row r="53" spans="1:17" ht="25.5" x14ac:dyDescent="0.25">
      <c r="A53" s="90" t="s">
        <v>803</v>
      </c>
      <c r="B53" s="87">
        <v>96523</v>
      </c>
      <c r="C53" s="91" t="s">
        <v>34</v>
      </c>
      <c r="D53" s="87" t="str">
        <f>D12</f>
        <v>ORSE</v>
      </c>
      <c r="E53" s="87" t="str">
        <f>E12</f>
        <v>un</v>
      </c>
      <c r="F53" s="9">
        <v>32.130000000000003</v>
      </c>
      <c r="G53" s="10">
        <v>63.46</v>
      </c>
      <c r="H53" s="10">
        <v>70.31</v>
      </c>
      <c r="I53" s="11">
        <f t="shared" si="19"/>
        <v>2259.0603000000001</v>
      </c>
      <c r="J53" s="364">
        <f>'BM-07_ACUMULADO'!L59+'BM-07_ACUMULADO'!J59</f>
        <v>32.130000000000003</v>
      </c>
      <c r="K53" s="32">
        <f>'MEMORIA BM 08'!E51</f>
        <v>0</v>
      </c>
      <c r="L53" s="31">
        <f t="shared" si="20"/>
        <v>32.130000000000003</v>
      </c>
      <c r="M53" s="80">
        <f t="shared" si="21"/>
        <v>2259.0603000000001</v>
      </c>
      <c r="N53" s="80">
        <f t="shared" si="22"/>
        <v>0</v>
      </c>
      <c r="O53" s="6">
        <f t="shared" si="23"/>
        <v>2259.0603000000001</v>
      </c>
      <c r="P53" s="37">
        <f t="shared" si="24"/>
        <v>0</v>
      </c>
      <c r="Q53" s="379">
        <f t="shared" si="12"/>
        <v>1</v>
      </c>
    </row>
    <row r="54" spans="1:17" ht="51" x14ac:dyDescent="0.25">
      <c r="A54" s="90" t="s">
        <v>804</v>
      </c>
      <c r="B54" s="87">
        <v>87503</v>
      </c>
      <c r="C54" s="91" t="s">
        <v>68</v>
      </c>
      <c r="D54" s="87" t="s">
        <v>21</v>
      </c>
      <c r="E54" s="87" t="s">
        <v>69</v>
      </c>
      <c r="F54" s="9">
        <v>60</v>
      </c>
      <c r="G54" s="10">
        <v>52.58</v>
      </c>
      <c r="H54" s="10">
        <v>58.26</v>
      </c>
      <c r="I54" s="11">
        <f t="shared" si="19"/>
        <v>3495.6</v>
      </c>
      <c r="J54" s="364">
        <f>'BM-07_ACUMULADO'!L60+'BM-07_ACUMULADO'!J60</f>
        <v>60</v>
      </c>
      <c r="K54" s="32">
        <f>'MEMORIA BM 08'!E52</f>
        <v>0</v>
      </c>
      <c r="L54" s="31">
        <f t="shared" si="20"/>
        <v>60</v>
      </c>
      <c r="M54" s="80">
        <f t="shared" si="21"/>
        <v>3495.6</v>
      </c>
      <c r="N54" s="80">
        <f t="shared" si="22"/>
        <v>0</v>
      </c>
      <c r="O54" s="6">
        <f t="shared" si="23"/>
        <v>3495.6</v>
      </c>
      <c r="P54" s="37">
        <f t="shared" si="24"/>
        <v>0</v>
      </c>
      <c r="Q54" s="379">
        <f t="shared" si="12"/>
        <v>1</v>
      </c>
    </row>
    <row r="55" spans="1:17" ht="38.25" x14ac:dyDescent="0.25">
      <c r="A55" s="90" t="s">
        <v>805</v>
      </c>
      <c r="B55" s="87">
        <v>94965</v>
      </c>
      <c r="C55" s="91" t="s">
        <v>60</v>
      </c>
      <c r="D55" s="87" t="s">
        <v>21</v>
      </c>
      <c r="E55" s="87" t="s">
        <v>31</v>
      </c>
      <c r="F55" s="9">
        <v>0.99</v>
      </c>
      <c r="G55" s="10">
        <v>301.79000000000002</v>
      </c>
      <c r="H55" s="10">
        <v>334.37</v>
      </c>
      <c r="I55" s="11">
        <f t="shared" si="19"/>
        <v>331.02629999999999</v>
      </c>
      <c r="J55" s="364">
        <f>'BM-07_ACUMULADO'!L61+'BM-07_ACUMULADO'!J61</f>
        <v>0.99</v>
      </c>
      <c r="K55" s="32">
        <f>'MEMORIA BM 08'!E53</f>
        <v>0</v>
      </c>
      <c r="L55" s="31">
        <f t="shared" si="20"/>
        <v>0.99</v>
      </c>
      <c r="M55" s="80">
        <f t="shared" si="21"/>
        <v>331.02629999999999</v>
      </c>
      <c r="N55" s="80">
        <f t="shared" si="22"/>
        <v>0</v>
      </c>
      <c r="O55" s="6">
        <f t="shared" si="23"/>
        <v>331.02629999999999</v>
      </c>
      <c r="P55" s="37">
        <f t="shared" si="24"/>
        <v>0</v>
      </c>
      <c r="Q55" s="379">
        <f t="shared" si="12"/>
        <v>1</v>
      </c>
    </row>
    <row r="56" spans="1:17" ht="38.25" x14ac:dyDescent="0.25">
      <c r="A56" s="90" t="s">
        <v>806</v>
      </c>
      <c r="B56" s="87">
        <v>87879</v>
      </c>
      <c r="C56" s="91" t="s">
        <v>173</v>
      </c>
      <c r="D56" s="87" t="s">
        <v>21</v>
      </c>
      <c r="E56" s="87" t="s">
        <v>69</v>
      </c>
      <c r="F56" s="9">
        <v>120</v>
      </c>
      <c r="G56" s="10">
        <v>2.64</v>
      </c>
      <c r="H56" s="10">
        <v>2.92</v>
      </c>
      <c r="I56" s="11">
        <f t="shared" si="19"/>
        <v>350.4</v>
      </c>
      <c r="J56" s="364">
        <f>'BM-07_ACUMULADO'!L62+'BM-07_ACUMULADO'!J62</f>
        <v>0</v>
      </c>
      <c r="K56" s="26">
        <f>'MEMORIA BM 08'!E54</f>
        <v>120</v>
      </c>
      <c r="L56" s="31">
        <f t="shared" si="20"/>
        <v>120</v>
      </c>
      <c r="M56" s="80">
        <f t="shared" si="21"/>
        <v>0</v>
      </c>
      <c r="N56" s="7">
        <f t="shared" si="22"/>
        <v>350.4</v>
      </c>
      <c r="O56" s="6">
        <f t="shared" si="23"/>
        <v>350.4</v>
      </c>
      <c r="P56" s="37">
        <f t="shared" si="24"/>
        <v>0</v>
      </c>
      <c r="Q56" s="379">
        <f t="shared" si="12"/>
        <v>1</v>
      </c>
    </row>
    <row r="57" spans="1:17" ht="51" x14ac:dyDescent="0.25">
      <c r="A57" s="90" t="s">
        <v>807</v>
      </c>
      <c r="B57" s="87">
        <v>87547</v>
      </c>
      <c r="C57" s="91" t="s">
        <v>176</v>
      </c>
      <c r="D57" s="87" t="s">
        <v>21</v>
      </c>
      <c r="E57" s="87" t="s">
        <v>69</v>
      </c>
      <c r="F57" s="9">
        <v>120</v>
      </c>
      <c r="G57" s="10">
        <v>14.42</v>
      </c>
      <c r="H57" s="10">
        <v>15.98</v>
      </c>
      <c r="I57" s="11">
        <f t="shared" si="19"/>
        <v>1917.6000000000001</v>
      </c>
      <c r="J57" s="364">
        <f>'BM-07_ACUMULADO'!L63+'BM-07_ACUMULADO'!J63</f>
        <v>0</v>
      </c>
      <c r="K57" s="26">
        <f>'MEMORIA BM 08'!E55</f>
        <v>120</v>
      </c>
      <c r="L57" s="31">
        <f t="shared" si="20"/>
        <v>120</v>
      </c>
      <c r="M57" s="80">
        <f t="shared" si="21"/>
        <v>0</v>
      </c>
      <c r="N57" s="7">
        <f t="shared" si="22"/>
        <v>1917.6000000000001</v>
      </c>
      <c r="O57" s="6">
        <f t="shared" si="23"/>
        <v>1917.6000000000001</v>
      </c>
      <c r="P57" s="37">
        <f t="shared" si="24"/>
        <v>0</v>
      </c>
      <c r="Q57" s="379">
        <f t="shared" si="12"/>
        <v>1</v>
      </c>
    </row>
    <row r="58" spans="1:17" x14ac:dyDescent="0.25">
      <c r="A58" s="38"/>
      <c r="B58" s="3"/>
      <c r="C58" s="372"/>
      <c r="D58" s="3"/>
      <c r="E58" s="3"/>
      <c r="F58" s="12"/>
      <c r="G58" s="13"/>
      <c r="H58" s="13"/>
      <c r="I58" s="14">
        <f>SUM(I40:I57)</f>
        <v>284755.12779165007</v>
      </c>
      <c r="J58" s="15"/>
      <c r="K58" s="15"/>
      <c r="L58" s="15"/>
      <c r="M58" s="14">
        <f>SUM(M40:M57)</f>
        <v>274727.01504435</v>
      </c>
      <c r="N58" s="14">
        <f>SUM(N40:N57)</f>
        <v>2268</v>
      </c>
      <c r="O58" s="14">
        <f>SUM(O40:O57)</f>
        <v>276995.01504435</v>
      </c>
      <c r="P58" s="39">
        <f t="shared" si="24"/>
        <v>7760.112747300067</v>
      </c>
      <c r="Q58" s="379">
        <f t="shared" si="12"/>
        <v>0.97274811938425221</v>
      </c>
    </row>
    <row r="59" spans="1:17" x14ac:dyDescent="0.25">
      <c r="A59" s="35" t="s">
        <v>109</v>
      </c>
      <c r="B59" s="117" t="s">
        <v>110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8"/>
      <c r="Q59" s="379"/>
    </row>
    <row r="60" spans="1:17" ht="25.5" x14ac:dyDescent="0.25">
      <c r="A60" s="79" t="s">
        <v>111</v>
      </c>
      <c r="B60" s="2" t="s">
        <v>112</v>
      </c>
      <c r="C60" s="371" t="s">
        <v>113</v>
      </c>
      <c r="D60" s="2" t="s">
        <v>21</v>
      </c>
      <c r="E60" s="2" t="s">
        <v>69</v>
      </c>
      <c r="F60" s="9">
        <v>876.48</v>
      </c>
      <c r="G60" s="10">
        <v>25.58</v>
      </c>
      <c r="H60" s="10">
        <f>G60*$R$6</f>
        <v>32.576129999999999</v>
      </c>
      <c r="I60" s="11">
        <f>F60*H60</f>
        <v>28552.326422400001</v>
      </c>
      <c r="J60" s="364">
        <f>'BM-07_ACUMULADO'!L67+'BM-07_ACUMULADO'!J67</f>
        <v>876.42</v>
      </c>
      <c r="K60" s="32">
        <f>'MEMORIA BM 08'!E57</f>
        <v>0</v>
      </c>
      <c r="L60" s="31">
        <f>K60+J60</f>
        <v>876.42</v>
      </c>
      <c r="M60" s="80">
        <f>J60*H60</f>
        <v>28550.371854599998</v>
      </c>
      <c r="N60" s="80">
        <f>H60*K60</f>
        <v>0</v>
      </c>
      <c r="O60" s="6">
        <f>N60+M60</f>
        <v>28550.371854599998</v>
      </c>
      <c r="P60" s="37">
        <f>I60-O60</f>
        <v>1.954567800003133</v>
      </c>
      <c r="Q60" s="379">
        <f t="shared" si="12"/>
        <v>0.99993154435925513</v>
      </c>
    </row>
    <row r="61" spans="1:17" ht="38.25" x14ac:dyDescent="0.25">
      <c r="A61" s="79" t="s">
        <v>114</v>
      </c>
      <c r="B61" s="2" t="s">
        <v>115</v>
      </c>
      <c r="C61" s="371" t="s">
        <v>116</v>
      </c>
      <c r="D61" s="2" t="s">
        <v>21</v>
      </c>
      <c r="E61" s="2" t="s">
        <v>117</v>
      </c>
      <c r="F61" s="9">
        <v>18</v>
      </c>
      <c r="G61" s="10">
        <v>1497.33</v>
      </c>
      <c r="H61" s="10">
        <f>G61*$R$6</f>
        <v>1906.849755</v>
      </c>
      <c r="I61" s="11">
        <f t="shared" ref="I61:I69" si="25">F61*H61</f>
        <v>34323.295590000002</v>
      </c>
      <c r="J61" s="364">
        <f>'BM-07_ACUMULADO'!L68+'BM-07_ACUMULADO'!J68</f>
        <v>12</v>
      </c>
      <c r="K61" s="32">
        <f>'MEMORIA BM 08'!E58</f>
        <v>0</v>
      </c>
      <c r="L61" s="31">
        <f t="shared" ref="L61:L69" si="26">K61+J61</f>
        <v>12</v>
      </c>
      <c r="M61" s="80">
        <f t="shared" ref="M61:M69" si="27">J61*H61</f>
        <v>22882.197059999999</v>
      </c>
      <c r="N61" s="80">
        <f t="shared" ref="N61:N69" si="28">H61*K61</f>
        <v>0</v>
      </c>
      <c r="O61" s="6">
        <f t="shared" ref="O61:O69" si="29">N61+M61</f>
        <v>22882.197059999999</v>
      </c>
      <c r="P61" s="37">
        <f t="shared" ref="P61:P70" si="30">I61-O61</f>
        <v>11441.098530000003</v>
      </c>
      <c r="Q61" s="379">
        <f t="shared" si="12"/>
        <v>0.66666666666666663</v>
      </c>
    </row>
    <row r="62" spans="1:17" ht="38.25" x14ac:dyDescent="0.25">
      <c r="A62" s="79" t="s">
        <v>118</v>
      </c>
      <c r="B62" s="2" t="s">
        <v>119</v>
      </c>
      <c r="C62" s="371" t="s">
        <v>120</v>
      </c>
      <c r="D62" s="2" t="s">
        <v>21</v>
      </c>
      <c r="E62" s="2" t="s">
        <v>117</v>
      </c>
      <c r="F62" s="9">
        <v>4</v>
      </c>
      <c r="G62" s="10">
        <v>1692.77</v>
      </c>
      <c r="H62" s="10">
        <f>G62*$R$6</f>
        <v>2155.7425950000002</v>
      </c>
      <c r="I62" s="11">
        <f t="shared" si="25"/>
        <v>8622.9703800000007</v>
      </c>
      <c r="J62" s="364">
        <f>'BM-07_ACUMULADO'!L69+'BM-07_ACUMULADO'!J69</f>
        <v>4</v>
      </c>
      <c r="K62" s="32">
        <f>'MEMORIA BM 08'!E59</f>
        <v>0</v>
      </c>
      <c r="L62" s="31">
        <f t="shared" si="26"/>
        <v>4</v>
      </c>
      <c r="M62" s="80">
        <f t="shared" si="27"/>
        <v>8622.9703800000007</v>
      </c>
      <c r="N62" s="80">
        <f t="shared" si="28"/>
        <v>0</v>
      </c>
      <c r="O62" s="6">
        <f t="shared" si="29"/>
        <v>8622.9703800000007</v>
      </c>
      <c r="P62" s="37">
        <f t="shared" si="30"/>
        <v>0</v>
      </c>
      <c r="Q62" s="379">
        <f t="shared" si="12"/>
        <v>1</v>
      </c>
    </row>
    <row r="63" spans="1:17" ht="38.25" x14ac:dyDescent="0.25">
      <c r="A63" s="79" t="s">
        <v>121</v>
      </c>
      <c r="B63" s="2" t="s">
        <v>122</v>
      </c>
      <c r="C63" s="371" t="s">
        <v>123</v>
      </c>
      <c r="D63" s="2" t="s">
        <v>21</v>
      </c>
      <c r="E63" s="2" t="s">
        <v>22</v>
      </c>
      <c r="F63" s="9">
        <v>98.35</v>
      </c>
      <c r="G63" s="10">
        <v>14.4</v>
      </c>
      <c r="H63" s="10">
        <f>G63*$R$6</f>
        <v>18.3384</v>
      </c>
      <c r="I63" s="11">
        <f t="shared" si="25"/>
        <v>1803.5816399999999</v>
      </c>
      <c r="J63" s="364">
        <f>'BM-07_ACUMULADO'!L70+'BM-07_ACUMULADO'!J70</f>
        <v>98.35</v>
      </c>
      <c r="K63" s="93"/>
      <c r="L63" s="31">
        <f t="shared" si="26"/>
        <v>98.35</v>
      </c>
      <c r="M63" s="80">
        <f t="shared" si="27"/>
        <v>1803.5816399999999</v>
      </c>
      <c r="N63" s="7">
        <f t="shared" si="28"/>
        <v>0</v>
      </c>
      <c r="O63" s="6">
        <f t="shared" si="29"/>
        <v>1803.5816399999999</v>
      </c>
      <c r="P63" s="37">
        <f t="shared" si="30"/>
        <v>0</v>
      </c>
      <c r="Q63" s="379">
        <f t="shared" si="12"/>
        <v>1</v>
      </c>
    </row>
    <row r="64" spans="1:17" ht="38.25" x14ac:dyDescent="0.25">
      <c r="A64" s="79" t="s">
        <v>124</v>
      </c>
      <c r="B64" s="2" t="s">
        <v>125</v>
      </c>
      <c r="C64" s="371" t="s">
        <v>126</v>
      </c>
      <c r="D64" s="2" t="s">
        <v>21</v>
      </c>
      <c r="E64" s="2" t="s">
        <v>69</v>
      </c>
      <c r="F64" s="9">
        <v>876.48</v>
      </c>
      <c r="G64" s="10">
        <v>50.08</v>
      </c>
      <c r="H64" s="10">
        <f>G64*$R$6</f>
        <v>63.776879999999998</v>
      </c>
      <c r="I64" s="11">
        <f t="shared" si="25"/>
        <v>55899.159782399998</v>
      </c>
      <c r="J64" s="364">
        <f>'BM-07_ACUMULADO'!L71+'BM-07_ACUMULADO'!J71</f>
        <v>876.42</v>
      </c>
      <c r="K64" s="32">
        <f>'MEMORIA BM 08'!E61</f>
        <v>0</v>
      </c>
      <c r="L64" s="31">
        <f t="shared" si="26"/>
        <v>876.42</v>
      </c>
      <c r="M64" s="80">
        <f t="shared" si="27"/>
        <v>55895.333169599995</v>
      </c>
      <c r="N64" s="80">
        <f t="shared" si="28"/>
        <v>0</v>
      </c>
      <c r="O64" s="6">
        <f t="shared" si="29"/>
        <v>55895.333169599995</v>
      </c>
      <c r="P64" s="37">
        <f t="shared" si="30"/>
        <v>3.826612800003204</v>
      </c>
      <c r="Q64" s="379">
        <f t="shared" si="12"/>
        <v>0.99993154435925513</v>
      </c>
    </row>
    <row r="65" spans="1:18" ht="25.5" x14ac:dyDescent="0.25">
      <c r="A65" s="79" t="s">
        <v>127</v>
      </c>
      <c r="B65" s="2" t="s">
        <v>128</v>
      </c>
      <c r="C65" s="371" t="s">
        <v>129</v>
      </c>
      <c r="D65" s="2" t="s">
        <v>21</v>
      </c>
      <c r="E65" s="2" t="s">
        <v>69</v>
      </c>
      <c r="F65" s="9">
        <v>653.14</v>
      </c>
      <c r="G65" s="10">
        <v>27.72</v>
      </c>
      <c r="H65" s="10">
        <f>G65*$R$6</f>
        <v>35.30142</v>
      </c>
      <c r="I65" s="11">
        <f t="shared" si="25"/>
        <v>23056.769458800001</v>
      </c>
      <c r="J65" s="364">
        <f>'BM-07_ACUMULADO'!L72+'BM-07_ACUMULADO'!J72</f>
        <v>0</v>
      </c>
      <c r="K65" s="32">
        <f>'MEMORIA BM 08'!E62</f>
        <v>0</v>
      </c>
      <c r="L65" s="31">
        <f t="shared" si="26"/>
        <v>0</v>
      </c>
      <c r="M65" s="80">
        <f t="shared" si="27"/>
        <v>0</v>
      </c>
      <c r="N65" s="80">
        <f t="shared" si="28"/>
        <v>0</v>
      </c>
      <c r="O65" s="6">
        <f t="shared" si="29"/>
        <v>0</v>
      </c>
      <c r="P65" s="37">
        <f t="shared" si="30"/>
        <v>23056.769458800001</v>
      </c>
      <c r="Q65" s="379">
        <f t="shared" si="12"/>
        <v>0</v>
      </c>
    </row>
    <row r="66" spans="1:18" ht="25.5" x14ac:dyDescent="0.25">
      <c r="A66" s="79" t="s">
        <v>130</v>
      </c>
      <c r="B66" s="2" t="s">
        <v>131</v>
      </c>
      <c r="C66" s="373" t="s">
        <v>132</v>
      </c>
      <c r="D66" s="2" t="s">
        <v>12</v>
      </c>
      <c r="E66" s="2" t="s">
        <v>133</v>
      </c>
      <c r="F66" s="9">
        <v>91.65</v>
      </c>
      <c r="G66" s="10">
        <v>54.54</v>
      </c>
      <c r="H66" s="10">
        <f>G66*$R$6</f>
        <v>69.456690000000009</v>
      </c>
      <c r="I66" s="11">
        <f t="shared" si="25"/>
        <v>6365.7056385000014</v>
      </c>
      <c r="J66" s="364">
        <f>'BM-07_ACUMULADO'!L73+'BM-07_ACUMULADO'!J73</f>
        <v>91.65</v>
      </c>
      <c r="K66" s="32">
        <f>'MEMORIA BM 08'!E63</f>
        <v>0</v>
      </c>
      <c r="L66" s="31">
        <f t="shared" si="26"/>
        <v>91.65</v>
      </c>
      <c r="M66" s="80">
        <f t="shared" si="27"/>
        <v>6365.7056385000014</v>
      </c>
      <c r="N66" s="80">
        <f t="shared" si="28"/>
        <v>0</v>
      </c>
      <c r="O66" s="6">
        <f t="shared" si="29"/>
        <v>6365.7056385000014</v>
      </c>
      <c r="P66" s="37">
        <f t="shared" si="30"/>
        <v>0</v>
      </c>
      <c r="Q66" s="379">
        <f t="shared" si="12"/>
        <v>1</v>
      </c>
    </row>
    <row r="67" spans="1:18" ht="38.25" x14ac:dyDescent="0.25">
      <c r="A67" s="79" t="s">
        <v>134</v>
      </c>
      <c r="B67" s="2" t="s">
        <v>135</v>
      </c>
      <c r="C67" s="371" t="s">
        <v>136</v>
      </c>
      <c r="D67" s="2" t="s">
        <v>21</v>
      </c>
      <c r="E67" s="2" t="s">
        <v>22</v>
      </c>
      <c r="F67" s="9">
        <v>178.01</v>
      </c>
      <c r="G67" s="10">
        <v>70.53</v>
      </c>
      <c r="H67" s="10">
        <f>G67*$R$6</f>
        <v>89.819955000000007</v>
      </c>
      <c r="I67" s="11">
        <f t="shared" si="25"/>
        <v>15988.850189550001</v>
      </c>
      <c r="J67" s="364">
        <f>'BM-07_ACUMULADO'!L74+'BM-07_ACUMULADO'!J74</f>
        <v>178.01</v>
      </c>
      <c r="K67" s="32">
        <f>'MEMORIA BM 08'!E64</f>
        <v>0</v>
      </c>
      <c r="L67" s="31">
        <f t="shared" si="26"/>
        <v>178.01</v>
      </c>
      <c r="M67" s="80">
        <f t="shared" si="27"/>
        <v>15988.850189550001</v>
      </c>
      <c r="N67" s="80">
        <f t="shared" si="28"/>
        <v>0</v>
      </c>
      <c r="O67" s="6">
        <f t="shared" si="29"/>
        <v>15988.850189550001</v>
      </c>
      <c r="P67" s="37">
        <f t="shared" si="30"/>
        <v>0</v>
      </c>
      <c r="Q67" s="379">
        <f t="shared" si="12"/>
        <v>1</v>
      </c>
    </row>
    <row r="68" spans="1:18" ht="38.25" x14ac:dyDescent="0.25">
      <c r="A68" s="79" t="s">
        <v>137</v>
      </c>
      <c r="B68" s="2" t="s">
        <v>138</v>
      </c>
      <c r="C68" s="371" t="s">
        <v>139</v>
      </c>
      <c r="D68" s="2" t="s">
        <v>21</v>
      </c>
      <c r="E68" s="2" t="s">
        <v>22</v>
      </c>
      <c r="F68" s="9">
        <v>72</v>
      </c>
      <c r="G68" s="10">
        <v>22.25</v>
      </c>
      <c r="H68" s="10">
        <f>G68*$R$6</f>
        <v>28.335375000000003</v>
      </c>
      <c r="I68" s="11">
        <f t="shared" si="25"/>
        <v>2040.1470000000002</v>
      </c>
      <c r="J68" s="364">
        <f>'BM-07_ACUMULADO'!L75+'BM-07_ACUMULADO'!J75</f>
        <v>0</v>
      </c>
      <c r="K68" s="93">
        <f>'MEMORIA BM 08'!E65</f>
        <v>72</v>
      </c>
      <c r="L68" s="31">
        <f t="shared" si="26"/>
        <v>72</v>
      </c>
      <c r="M68" s="80">
        <f t="shared" si="27"/>
        <v>0</v>
      </c>
      <c r="N68" s="7">
        <f t="shared" si="28"/>
        <v>2040.1470000000002</v>
      </c>
      <c r="O68" s="6">
        <f t="shared" si="29"/>
        <v>2040.1470000000002</v>
      </c>
      <c r="P68" s="37">
        <f t="shared" si="30"/>
        <v>0</v>
      </c>
      <c r="Q68" s="379">
        <f t="shared" si="12"/>
        <v>1</v>
      </c>
    </row>
    <row r="69" spans="1:18" ht="25.5" x14ac:dyDescent="0.25">
      <c r="A69" s="79" t="s">
        <v>140</v>
      </c>
      <c r="B69" s="2" t="s">
        <v>141</v>
      </c>
      <c r="C69" s="371" t="s">
        <v>142</v>
      </c>
      <c r="D69" s="2" t="s">
        <v>21</v>
      </c>
      <c r="E69" s="2" t="s">
        <v>22</v>
      </c>
      <c r="F69" s="9">
        <v>24</v>
      </c>
      <c r="G69" s="10">
        <v>52.83</v>
      </c>
      <c r="H69" s="10">
        <f>G69*$R$6</f>
        <v>67.279004999999998</v>
      </c>
      <c r="I69" s="11">
        <f t="shared" si="25"/>
        <v>1614.6961200000001</v>
      </c>
      <c r="J69" s="364">
        <f>'BM-07_ACUMULADO'!L76+'BM-07_ACUMULADO'!J76</f>
        <v>24</v>
      </c>
      <c r="K69" s="31">
        <f>'MEMORIA BM 08'!E66</f>
        <v>0</v>
      </c>
      <c r="L69" s="31">
        <f t="shared" si="26"/>
        <v>24</v>
      </c>
      <c r="M69" s="80">
        <f t="shared" si="27"/>
        <v>1614.6961200000001</v>
      </c>
      <c r="N69" s="80">
        <f t="shared" si="28"/>
        <v>0</v>
      </c>
      <c r="O69" s="6">
        <f t="shared" si="29"/>
        <v>1614.6961200000001</v>
      </c>
      <c r="P69" s="37">
        <f t="shared" si="30"/>
        <v>0</v>
      </c>
      <c r="Q69" s="379">
        <f t="shared" si="12"/>
        <v>1</v>
      </c>
    </row>
    <row r="70" spans="1:18" x14ac:dyDescent="0.25">
      <c r="A70" s="38"/>
      <c r="B70" s="3"/>
      <c r="C70" s="372"/>
      <c r="D70" s="3"/>
      <c r="E70" s="3"/>
      <c r="F70" s="12"/>
      <c r="G70" s="13"/>
      <c r="H70" s="13"/>
      <c r="I70" s="14">
        <f>SUM(I60:I69)</f>
        <v>178267.50222165001</v>
      </c>
      <c r="J70" s="15"/>
      <c r="K70" s="15"/>
      <c r="L70" s="15"/>
      <c r="M70" s="14">
        <f>SUM(M60:M69)</f>
        <v>141723.70605225</v>
      </c>
      <c r="N70" s="14">
        <f>SUM(N60:N69)</f>
        <v>2040.1470000000002</v>
      </c>
      <c r="O70" s="14">
        <f>SUM(O60:O69)</f>
        <v>143763.85305224999</v>
      </c>
      <c r="P70" s="39">
        <f t="shared" si="30"/>
        <v>34503.649169400014</v>
      </c>
      <c r="Q70" s="379">
        <f t="shared" si="12"/>
        <v>0.8064501452065016</v>
      </c>
    </row>
    <row r="71" spans="1:18" x14ac:dyDescent="0.25">
      <c r="A71" s="35" t="s">
        <v>143</v>
      </c>
      <c r="B71" s="117" t="s">
        <v>144</v>
      </c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8"/>
      <c r="Q71" s="379"/>
    </row>
    <row r="72" spans="1:18" ht="25.5" x14ac:dyDescent="0.25">
      <c r="A72" s="79" t="s">
        <v>145</v>
      </c>
      <c r="B72" s="78" t="s">
        <v>146</v>
      </c>
      <c r="C72" s="371" t="s">
        <v>147</v>
      </c>
      <c r="D72" s="2" t="s">
        <v>21</v>
      </c>
      <c r="E72" s="2" t="s">
        <v>69</v>
      </c>
      <c r="F72" s="9">
        <v>944.79</v>
      </c>
      <c r="G72" s="10">
        <v>19.420000000000002</v>
      </c>
      <c r="H72" s="10">
        <f>G72*$R$6</f>
        <v>24.731370000000005</v>
      </c>
      <c r="I72" s="11">
        <f>F72*H72</f>
        <v>23365.951062300006</v>
      </c>
      <c r="J72" s="364">
        <f>'BM-07_ACUMULADO'!L80+'BM-07_ACUMULADO'!J80</f>
        <v>896.49</v>
      </c>
      <c r="K72" s="94">
        <v>48.3</v>
      </c>
      <c r="L72" s="31">
        <f>K72+J72</f>
        <v>944.79</v>
      </c>
      <c r="M72" s="80">
        <f>J72*H72</f>
        <v>22171.425891300005</v>
      </c>
      <c r="N72" s="7">
        <f>H72*K72</f>
        <v>1194.5251710000002</v>
      </c>
      <c r="O72" s="6">
        <f>N72+M72</f>
        <v>23365.951062300006</v>
      </c>
      <c r="P72" s="37">
        <f>I72-O72</f>
        <v>0</v>
      </c>
      <c r="Q72" s="379">
        <f t="shared" si="12"/>
        <v>1</v>
      </c>
      <c r="R72" s="72">
        <f>F72-J72</f>
        <v>48.299999999999955</v>
      </c>
    </row>
    <row r="73" spans="1:18" ht="38.25" x14ac:dyDescent="0.25">
      <c r="A73" s="79" t="s">
        <v>148</v>
      </c>
      <c r="B73" s="78" t="s">
        <v>149</v>
      </c>
      <c r="C73" s="371" t="s">
        <v>150</v>
      </c>
      <c r="D73" s="2" t="s">
        <v>12</v>
      </c>
      <c r="E73" s="2" t="s">
        <v>13</v>
      </c>
      <c r="F73" s="9">
        <v>944.79</v>
      </c>
      <c r="G73" s="10">
        <v>29.29</v>
      </c>
      <c r="H73" s="10">
        <f>G73*$R$6</f>
        <v>37.300815</v>
      </c>
      <c r="I73" s="11">
        <f t="shared" ref="I73:I79" si="31">F73*H73</f>
        <v>35241.437003849998</v>
      </c>
      <c r="J73" s="364">
        <f>'BM-07_ACUMULADO'!L81+'BM-07_ACUMULADO'!J81</f>
        <v>896.49</v>
      </c>
      <c r="K73" s="94">
        <v>48.3</v>
      </c>
      <c r="L73" s="31">
        <f t="shared" ref="L73:L79" si="32">K73+J73</f>
        <v>944.79</v>
      </c>
      <c r="M73" s="80">
        <f t="shared" ref="M73:M79" si="33">J73*H73</f>
        <v>33439.807639350001</v>
      </c>
      <c r="N73" s="7">
        <f t="shared" ref="N73:N79" si="34">H73*K73</f>
        <v>1801.6293644999998</v>
      </c>
      <c r="O73" s="6">
        <f t="shared" ref="O73:O79" si="35">N73+M73</f>
        <v>35241.437003849998</v>
      </c>
      <c r="P73" s="37">
        <f t="shared" ref="P73:P80" si="36">I73-O73</f>
        <v>0</v>
      </c>
      <c r="Q73" s="379">
        <f t="shared" si="12"/>
        <v>1</v>
      </c>
      <c r="R73" s="72">
        <f>F73-J73</f>
        <v>48.299999999999955</v>
      </c>
    </row>
    <row r="74" spans="1:18" ht="51" x14ac:dyDescent="0.25">
      <c r="A74" s="79" t="s">
        <v>151</v>
      </c>
      <c r="B74" s="78" t="s">
        <v>152</v>
      </c>
      <c r="C74" s="371" t="s">
        <v>153</v>
      </c>
      <c r="D74" s="2" t="s">
        <v>21</v>
      </c>
      <c r="E74" s="2" t="s">
        <v>69</v>
      </c>
      <c r="F74" s="9">
        <v>944.79</v>
      </c>
      <c r="G74" s="10">
        <v>27.26</v>
      </c>
      <c r="H74" s="10">
        <f>G74*$R$6</f>
        <v>34.715610000000005</v>
      </c>
      <c r="I74" s="11">
        <f t="shared" si="31"/>
        <v>32798.961171900002</v>
      </c>
      <c r="J74" s="364">
        <f>'BM-07_ACUMULADO'!L82+'BM-07_ACUMULADO'!J82</f>
        <v>944.79</v>
      </c>
      <c r="K74" s="94">
        <f t="shared" ref="K74" si="37">F74-J74</f>
        <v>0</v>
      </c>
      <c r="L74" s="31">
        <f t="shared" si="32"/>
        <v>944.79</v>
      </c>
      <c r="M74" s="80">
        <f t="shared" si="33"/>
        <v>32798.961171900002</v>
      </c>
      <c r="N74" s="7">
        <f t="shared" si="34"/>
        <v>0</v>
      </c>
      <c r="O74" s="6">
        <f t="shared" si="35"/>
        <v>32798.961171900002</v>
      </c>
      <c r="P74" s="37">
        <f t="shared" si="36"/>
        <v>0</v>
      </c>
      <c r="Q74" s="379">
        <f t="shared" si="12"/>
        <v>1</v>
      </c>
      <c r="R74" s="72">
        <f t="shared" ref="R74:R83" si="38">F74-J74</f>
        <v>0</v>
      </c>
    </row>
    <row r="75" spans="1:18" ht="25.5" x14ac:dyDescent="0.25">
      <c r="A75" s="36" t="s">
        <v>154</v>
      </c>
      <c r="B75" s="2" t="s">
        <v>155</v>
      </c>
      <c r="C75" s="371" t="s">
        <v>156</v>
      </c>
      <c r="D75" s="2" t="s">
        <v>21</v>
      </c>
      <c r="E75" s="2" t="s">
        <v>31</v>
      </c>
      <c r="F75" s="9">
        <v>72.84</v>
      </c>
      <c r="G75" s="10">
        <v>101.84</v>
      </c>
      <c r="H75" s="10">
        <f>G75*$R$6</f>
        <v>129.69324</v>
      </c>
      <c r="I75" s="11">
        <f t="shared" si="31"/>
        <v>9446.8556016000002</v>
      </c>
      <c r="J75" s="364">
        <f>'BM-07_ACUMULADO'!L83+'BM-07_ACUMULADO'!J83</f>
        <v>0</v>
      </c>
      <c r="K75" s="32">
        <f>'MEMORIA BM 08'!E71</f>
        <v>0</v>
      </c>
      <c r="L75" s="31">
        <f t="shared" si="32"/>
        <v>0</v>
      </c>
      <c r="M75" s="80">
        <f t="shared" si="33"/>
        <v>0</v>
      </c>
      <c r="N75" s="80">
        <f t="shared" si="34"/>
        <v>0</v>
      </c>
      <c r="O75" s="6">
        <f t="shared" si="35"/>
        <v>0</v>
      </c>
      <c r="P75" s="37">
        <f t="shared" si="36"/>
        <v>9446.8556016000002</v>
      </c>
      <c r="Q75" s="379">
        <f t="shared" si="12"/>
        <v>0</v>
      </c>
      <c r="R75" s="72">
        <f t="shared" si="38"/>
        <v>72.84</v>
      </c>
    </row>
    <row r="76" spans="1:18" ht="51" x14ac:dyDescent="0.25">
      <c r="A76" s="36" t="s">
        <v>157</v>
      </c>
      <c r="B76" s="2" t="s">
        <v>158</v>
      </c>
      <c r="C76" s="371" t="s">
        <v>159</v>
      </c>
      <c r="D76" s="2" t="s">
        <v>21</v>
      </c>
      <c r="E76" s="2" t="s">
        <v>22</v>
      </c>
      <c r="F76" s="9">
        <v>46.2</v>
      </c>
      <c r="G76" s="10">
        <v>40.869999999999997</v>
      </c>
      <c r="H76" s="10">
        <f>G76*$R$6</f>
        <v>52.047944999999999</v>
      </c>
      <c r="I76" s="11">
        <f t="shared" si="31"/>
        <v>2404.6150590000002</v>
      </c>
      <c r="J76" s="364">
        <f>'BM-07_ACUMULADO'!L84+'BM-07_ACUMULADO'!J84</f>
        <v>0</v>
      </c>
      <c r="K76" s="32">
        <f>'MEMORIA BM 08'!E72</f>
        <v>0</v>
      </c>
      <c r="L76" s="31">
        <f t="shared" si="32"/>
        <v>0</v>
      </c>
      <c r="M76" s="80">
        <f t="shared" si="33"/>
        <v>0</v>
      </c>
      <c r="N76" s="80">
        <f t="shared" si="34"/>
        <v>0</v>
      </c>
      <c r="O76" s="6">
        <f t="shared" si="35"/>
        <v>0</v>
      </c>
      <c r="P76" s="37">
        <f t="shared" si="36"/>
        <v>2404.6150590000002</v>
      </c>
      <c r="Q76" s="379">
        <f t="shared" si="12"/>
        <v>0</v>
      </c>
      <c r="R76" s="72">
        <f t="shared" si="38"/>
        <v>46.2</v>
      </c>
    </row>
    <row r="77" spans="1:18" x14ac:dyDescent="0.25">
      <c r="A77" s="36" t="s">
        <v>160</v>
      </c>
      <c r="B77" s="2" t="s">
        <v>161</v>
      </c>
      <c r="C77" s="371" t="s">
        <v>162</v>
      </c>
      <c r="D77" s="2" t="s">
        <v>21</v>
      </c>
      <c r="E77" s="2" t="s">
        <v>22</v>
      </c>
      <c r="F77" s="9">
        <v>436.36</v>
      </c>
      <c r="G77" s="10">
        <v>15.03</v>
      </c>
      <c r="H77" s="10">
        <f>G77*$R$6</f>
        <v>19.140705000000001</v>
      </c>
      <c r="I77" s="11">
        <f t="shared" si="31"/>
        <v>8352.2380338000003</v>
      </c>
      <c r="J77" s="364">
        <f>'BM-07_ACUMULADO'!L85+'BM-07_ACUMULADO'!J85</f>
        <v>0</v>
      </c>
      <c r="K77" s="32">
        <f>'MEMORIA BM 08'!E73</f>
        <v>0</v>
      </c>
      <c r="L77" s="31">
        <f t="shared" si="32"/>
        <v>0</v>
      </c>
      <c r="M77" s="80">
        <f t="shared" si="33"/>
        <v>0</v>
      </c>
      <c r="N77" s="80">
        <f t="shared" si="34"/>
        <v>0</v>
      </c>
      <c r="O77" s="6">
        <f t="shared" si="35"/>
        <v>0</v>
      </c>
      <c r="P77" s="37">
        <f t="shared" si="36"/>
        <v>8352.2380338000003</v>
      </c>
      <c r="Q77" s="379">
        <f t="shared" si="12"/>
        <v>0</v>
      </c>
      <c r="R77" s="72">
        <f t="shared" si="38"/>
        <v>436.36</v>
      </c>
    </row>
    <row r="78" spans="1:18" ht="38.25" x14ac:dyDescent="0.25">
      <c r="A78" s="36" t="s">
        <v>163</v>
      </c>
      <c r="B78" s="2" t="s">
        <v>164</v>
      </c>
      <c r="C78" s="371" t="s">
        <v>165</v>
      </c>
      <c r="D78" s="2" t="s">
        <v>21</v>
      </c>
      <c r="E78" s="2" t="s">
        <v>69</v>
      </c>
      <c r="F78" s="9">
        <v>393.34</v>
      </c>
      <c r="G78" s="10">
        <v>34.270000000000003</v>
      </c>
      <c r="H78" s="10">
        <f>G78*$R$6</f>
        <v>43.642845000000008</v>
      </c>
      <c r="I78" s="11">
        <f t="shared" si="31"/>
        <v>17166.476652300003</v>
      </c>
      <c r="J78" s="364">
        <f>'BM-07_ACUMULADO'!L86+'BM-07_ACUMULADO'!J86</f>
        <v>0</v>
      </c>
      <c r="K78" s="32">
        <f>'MEMORIA BM 08'!E74</f>
        <v>0</v>
      </c>
      <c r="L78" s="31">
        <f t="shared" si="32"/>
        <v>0</v>
      </c>
      <c r="M78" s="80">
        <f t="shared" si="33"/>
        <v>0</v>
      </c>
      <c r="N78" s="80">
        <f t="shared" si="34"/>
        <v>0</v>
      </c>
      <c r="O78" s="6">
        <f t="shared" si="35"/>
        <v>0</v>
      </c>
      <c r="P78" s="37">
        <f t="shared" si="36"/>
        <v>17166.476652300003</v>
      </c>
      <c r="Q78" s="379">
        <f t="shared" si="12"/>
        <v>0</v>
      </c>
      <c r="R78" s="72">
        <f t="shared" si="38"/>
        <v>393.34</v>
      </c>
    </row>
    <row r="79" spans="1:18" ht="25.5" x14ac:dyDescent="0.25">
      <c r="A79" s="36" t="s">
        <v>166</v>
      </c>
      <c r="B79" s="2" t="s">
        <v>167</v>
      </c>
      <c r="C79" s="371" t="s">
        <v>168</v>
      </c>
      <c r="D79" s="2" t="s">
        <v>21</v>
      </c>
      <c r="E79" s="2" t="s">
        <v>69</v>
      </c>
      <c r="F79" s="9">
        <v>944.79</v>
      </c>
      <c r="G79" s="10">
        <v>72.11</v>
      </c>
      <c r="H79" s="10">
        <f>G79*$R$6</f>
        <v>91.832085000000006</v>
      </c>
      <c r="I79" s="11">
        <f t="shared" si="31"/>
        <v>86762.035587150007</v>
      </c>
      <c r="J79" s="364">
        <f>'BM-07_ACUMULADO'!L87+'BM-07_ACUMULADO'!J87</f>
        <v>0</v>
      </c>
      <c r="K79" s="32">
        <f>'MEMORIA BM 08'!E75</f>
        <v>0</v>
      </c>
      <c r="L79" s="31">
        <f t="shared" si="32"/>
        <v>0</v>
      </c>
      <c r="M79" s="80">
        <f t="shared" si="33"/>
        <v>0</v>
      </c>
      <c r="N79" s="80">
        <f t="shared" si="34"/>
        <v>0</v>
      </c>
      <c r="O79" s="6">
        <f t="shared" si="35"/>
        <v>0</v>
      </c>
      <c r="P79" s="37">
        <f t="shared" si="36"/>
        <v>86762.035587150007</v>
      </c>
      <c r="Q79" s="379">
        <f t="shared" si="12"/>
        <v>0</v>
      </c>
      <c r="R79" s="72">
        <f t="shared" si="38"/>
        <v>944.79</v>
      </c>
    </row>
    <row r="80" spans="1:18" x14ac:dyDescent="0.25">
      <c r="A80" s="38"/>
      <c r="B80" s="3"/>
      <c r="C80" s="372"/>
      <c r="D80" s="3"/>
      <c r="E80" s="3"/>
      <c r="F80" s="12"/>
      <c r="G80" s="13"/>
      <c r="H80" s="13"/>
      <c r="I80" s="14">
        <f>SUM(I72:I79)</f>
        <v>215538.57017190001</v>
      </c>
      <c r="J80" s="15"/>
      <c r="K80" s="15"/>
      <c r="L80" s="15"/>
      <c r="M80" s="14">
        <f>SUM(M72:M79)</f>
        <v>88410.194702550012</v>
      </c>
      <c r="N80" s="14">
        <f>SUM(N72:N79)</f>
        <v>2996.1545354999998</v>
      </c>
      <c r="O80" s="14">
        <f>SUM(O72:O79)</f>
        <v>91406.349238049996</v>
      </c>
      <c r="P80" s="39">
        <f t="shared" si="36"/>
        <v>124132.22093385001</v>
      </c>
      <c r="Q80" s="379">
        <f t="shared" si="12"/>
        <v>0.42408349078844698</v>
      </c>
      <c r="R80" s="72">
        <f t="shared" si="38"/>
        <v>0</v>
      </c>
    </row>
    <row r="81" spans="1:18" x14ac:dyDescent="0.25">
      <c r="A81" s="35" t="s">
        <v>169</v>
      </c>
      <c r="B81" s="117" t="s">
        <v>170</v>
      </c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  <c r="Q81" s="379"/>
      <c r="R81" s="72">
        <f t="shared" si="38"/>
        <v>0</v>
      </c>
    </row>
    <row r="82" spans="1:18" ht="38.25" x14ac:dyDescent="0.25">
      <c r="A82" s="79" t="s">
        <v>171</v>
      </c>
      <c r="B82" s="2" t="s">
        <v>172</v>
      </c>
      <c r="C82" s="374" t="s">
        <v>173</v>
      </c>
      <c r="D82" s="2" t="s">
        <v>21</v>
      </c>
      <c r="E82" s="2" t="s">
        <v>69</v>
      </c>
      <c r="F82" s="9">
        <v>2367.2199999999998</v>
      </c>
      <c r="G82" s="10">
        <v>2.64</v>
      </c>
      <c r="H82" s="10">
        <f>G82*$R$6</f>
        <v>3.3620400000000004</v>
      </c>
      <c r="I82" s="11">
        <f>F82*H82</f>
        <v>7958.6883287999999</v>
      </c>
      <c r="J82" s="364">
        <f>'BM-07_ACUMULADO'!L92+'BM-07_ACUMULADO'!J92</f>
        <v>2367.2199999999998</v>
      </c>
      <c r="K82" s="103">
        <f>'MEMORIA BM 08'!E77</f>
        <v>0</v>
      </c>
      <c r="L82" s="31">
        <f>K82+J82</f>
        <v>2367.2199999999998</v>
      </c>
      <c r="M82" s="80">
        <f>J82*H82</f>
        <v>7958.6883287999999</v>
      </c>
      <c r="N82" s="7">
        <f>H82*K82</f>
        <v>0</v>
      </c>
      <c r="O82" s="6">
        <f>N82+M82</f>
        <v>7958.6883287999999</v>
      </c>
      <c r="P82" s="37">
        <f t="shared" ref="P82:P87" si="39">I82-O82</f>
        <v>0</v>
      </c>
      <c r="Q82" s="379">
        <f t="shared" si="12"/>
        <v>1</v>
      </c>
      <c r="R82" s="72">
        <f t="shared" si="38"/>
        <v>0</v>
      </c>
    </row>
    <row r="83" spans="1:18" ht="51" x14ac:dyDescent="0.25">
      <c r="A83" s="79" t="s">
        <v>174</v>
      </c>
      <c r="B83" s="2" t="s">
        <v>175</v>
      </c>
      <c r="C83" s="374" t="s">
        <v>176</v>
      </c>
      <c r="D83" s="2" t="s">
        <v>21</v>
      </c>
      <c r="E83" s="2" t="s">
        <v>69</v>
      </c>
      <c r="F83" s="9">
        <v>2197.91</v>
      </c>
      <c r="G83" s="10">
        <v>14.42</v>
      </c>
      <c r="H83" s="10">
        <f>G83*$R$6</f>
        <v>18.363870000000002</v>
      </c>
      <c r="I83" s="11">
        <f>F83*H83</f>
        <v>40362.133511700005</v>
      </c>
      <c r="J83" s="364">
        <f>'BM-07_ACUMULADO'!L93+'BM-07_ACUMULADO'!J93</f>
        <v>1740.134</v>
      </c>
      <c r="K83" s="94">
        <v>457.78</v>
      </c>
      <c r="L83" s="31">
        <f>K83+J83</f>
        <v>2197.9139999999998</v>
      </c>
      <c r="M83" s="80">
        <f>J83*H83</f>
        <v>31955.594558580004</v>
      </c>
      <c r="N83" s="7">
        <f>H83*K83</f>
        <v>8406.6124086</v>
      </c>
      <c r="O83" s="6">
        <f>N83+M83</f>
        <v>40362.206967180005</v>
      </c>
      <c r="P83" s="37">
        <f t="shared" si="39"/>
        <v>-7.3455480000120588E-2</v>
      </c>
      <c r="Q83" s="379">
        <f t="shared" si="12"/>
        <v>1.0000018199107334</v>
      </c>
      <c r="R83" s="376">
        <f t="shared" si="38"/>
        <v>457.77599999999984</v>
      </c>
    </row>
    <row r="84" spans="1:18" ht="63.75" x14ac:dyDescent="0.25">
      <c r="A84" s="79" t="s">
        <v>177</v>
      </c>
      <c r="B84" s="2" t="s">
        <v>178</v>
      </c>
      <c r="C84" s="371" t="s">
        <v>179</v>
      </c>
      <c r="D84" s="2" t="s">
        <v>21</v>
      </c>
      <c r="E84" s="2" t="s">
        <v>69</v>
      </c>
      <c r="F84" s="9">
        <v>180.48</v>
      </c>
      <c r="G84" s="10">
        <v>11.03</v>
      </c>
      <c r="H84" s="10">
        <f>G84*$R$6</f>
        <v>14.046704999999999</v>
      </c>
      <c r="I84" s="11">
        <f>F84*H84</f>
        <v>2535.1493183999996</v>
      </c>
      <c r="J84" s="364">
        <f>'BM-07_ACUMULADO'!L94+'BM-07_ACUMULADO'!J94</f>
        <v>180.48</v>
      </c>
      <c r="K84" s="101">
        <f>'MEMORIA BM 08'!E79</f>
        <v>0</v>
      </c>
      <c r="L84" s="31">
        <f>K84+J84</f>
        <v>180.48</v>
      </c>
      <c r="M84" s="80">
        <f>J84*H84</f>
        <v>2535.1493183999996</v>
      </c>
      <c r="N84" s="80">
        <f>H84*K84</f>
        <v>0</v>
      </c>
      <c r="O84" s="6">
        <f>N84+M84</f>
        <v>2535.1493183999996</v>
      </c>
      <c r="P84" s="37">
        <f t="shared" si="39"/>
        <v>0</v>
      </c>
      <c r="Q84" s="379">
        <f t="shared" si="12"/>
        <v>1</v>
      </c>
    </row>
    <row r="85" spans="1:18" ht="38.25" x14ac:dyDescent="0.25">
      <c r="A85" s="36" t="s">
        <v>180</v>
      </c>
      <c r="B85" s="2" t="s">
        <v>181</v>
      </c>
      <c r="C85" s="371" t="s">
        <v>182</v>
      </c>
      <c r="D85" s="2" t="s">
        <v>21</v>
      </c>
      <c r="E85" s="2" t="s">
        <v>69</v>
      </c>
      <c r="F85" s="9">
        <v>180.48</v>
      </c>
      <c r="G85" s="10">
        <v>41.91</v>
      </c>
      <c r="H85" s="10">
        <f>G85*$R$6</f>
        <v>53.372385000000001</v>
      </c>
      <c r="I85" s="11">
        <f>F85*H85</f>
        <v>9632.6480448000002</v>
      </c>
      <c r="J85" s="364">
        <f>'BM-07_ACUMULADO'!L95+'BM-07_ACUMULADO'!J95</f>
        <v>0</v>
      </c>
      <c r="K85" s="101">
        <f>'MEMORIA BM 08'!E80</f>
        <v>0</v>
      </c>
      <c r="L85" s="31">
        <f>K85+J85</f>
        <v>0</v>
      </c>
      <c r="M85" s="80">
        <f>J85*H85</f>
        <v>0</v>
      </c>
      <c r="N85" s="80">
        <f>H85*K85</f>
        <v>0</v>
      </c>
      <c r="O85" s="6">
        <f>N85+M85</f>
        <v>0</v>
      </c>
      <c r="P85" s="37">
        <f t="shared" si="39"/>
        <v>9632.6480448000002</v>
      </c>
      <c r="Q85" s="379">
        <f t="shared" si="12"/>
        <v>0</v>
      </c>
    </row>
    <row r="86" spans="1:18" ht="90.75" customHeight="1" x14ac:dyDescent="0.25">
      <c r="A86" s="36" t="s">
        <v>183</v>
      </c>
      <c r="B86" s="2" t="s">
        <v>184</v>
      </c>
      <c r="C86" s="371" t="s">
        <v>185</v>
      </c>
      <c r="D86" s="2" t="s">
        <v>21</v>
      </c>
      <c r="E86" s="2" t="s">
        <v>31</v>
      </c>
      <c r="F86" s="9">
        <v>0.42</v>
      </c>
      <c r="G86" s="10">
        <v>263.22000000000003</v>
      </c>
      <c r="H86" s="10">
        <f>G86*$R$6</f>
        <v>335.21067000000005</v>
      </c>
      <c r="I86" s="11">
        <f>F86*H86</f>
        <v>140.78848140000002</v>
      </c>
      <c r="J86" s="364">
        <f>'BM-07_ACUMULADO'!L96+'BM-07_ACUMULADO'!J96</f>
        <v>0</v>
      </c>
      <c r="K86" s="94"/>
      <c r="L86" s="32">
        <f>K86+J86</f>
        <v>0</v>
      </c>
      <c r="M86" s="80">
        <f>J86*H86</f>
        <v>0</v>
      </c>
      <c r="N86" s="80">
        <f>H86*K86</f>
        <v>0</v>
      </c>
      <c r="O86" s="6">
        <f>N86+M86</f>
        <v>0</v>
      </c>
      <c r="P86" s="37">
        <f t="shared" si="39"/>
        <v>140.78848140000002</v>
      </c>
      <c r="Q86" s="379">
        <f t="shared" si="12"/>
        <v>0</v>
      </c>
    </row>
    <row r="87" spans="1:18" x14ac:dyDescent="0.25">
      <c r="A87" s="38"/>
      <c r="B87" s="3"/>
      <c r="C87" s="372"/>
      <c r="D87" s="3"/>
      <c r="E87" s="3"/>
      <c r="F87" s="12"/>
      <c r="G87" s="13"/>
      <c r="H87" s="13"/>
      <c r="I87" s="14">
        <f>SUM(I82:I86)</f>
        <v>60629.407685100006</v>
      </c>
      <c r="J87" s="15"/>
      <c r="K87" s="15"/>
      <c r="L87" s="15"/>
      <c r="M87" s="14">
        <f>SUM(M82:M86)</f>
        <v>42449.432205780002</v>
      </c>
      <c r="N87" s="14">
        <f>SUM(N82:N86)</f>
        <v>8406.6124086</v>
      </c>
      <c r="O87" s="14">
        <f>SUM(O82:O86)</f>
        <v>50856.044614380007</v>
      </c>
      <c r="P87" s="39">
        <f t="shared" si="39"/>
        <v>9773.3630707199991</v>
      </c>
      <c r="Q87" s="379">
        <f t="shared" si="12"/>
        <v>0.8388016072747837</v>
      </c>
    </row>
    <row r="88" spans="1:18" x14ac:dyDescent="0.25">
      <c r="A88" s="35" t="s">
        <v>186</v>
      </c>
      <c r="B88" s="117" t="s">
        <v>187</v>
      </c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8"/>
      <c r="Q88" s="379"/>
    </row>
    <row r="89" spans="1:18" ht="63.75" x14ac:dyDescent="0.25">
      <c r="A89" s="36" t="s">
        <v>188</v>
      </c>
      <c r="B89" s="2" t="s">
        <v>189</v>
      </c>
      <c r="C89" s="371" t="s">
        <v>190</v>
      </c>
      <c r="D89" s="2" t="s">
        <v>21</v>
      </c>
      <c r="E89" s="2" t="s">
        <v>117</v>
      </c>
      <c r="F89" s="9">
        <v>2</v>
      </c>
      <c r="G89" s="10">
        <v>531.51</v>
      </c>
      <c r="H89" s="10">
        <f>G89*$R$6</f>
        <v>676.87798500000008</v>
      </c>
      <c r="I89" s="11">
        <f>F89*H89</f>
        <v>1353.7559700000002</v>
      </c>
      <c r="J89" s="364">
        <f>'BM-07_ACUMULADO'!L100+'BM-07_ACUMULADO'!J100</f>
        <v>0</v>
      </c>
      <c r="K89" s="32">
        <f>'MEMORIA BM 08'!E83</f>
        <v>0</v>
      </c>
      <c r="L89" s="31">
        <f>K89+J89</f>
        <v>0</v>
      </c>
      <c r="M89" s="80">
        <f>J89*H89</f>
        <v>0</v>
      </c>
      <c r="N89" s="80">
        <f>H89*K89</f>
        <v>0</v>
      </c>
      <c r="O89" s="6">
        <f>N89+M89</f>
        <v>0</v>
      </c>
      <c r="P89" s="37">
        <f>I89-O89</f>
        <v>1353.7559700000002</v>
      </c>
      <c r="Q89" s="379">
        <f t="shared" si="12"/>
        <v>0</v>
      </c>
    </row>
    <row r="90" spans="1:18" ht="63.75" x14ac:dyDescent="0.25">
      <c r="A90" s="36" t="s">
        <v>191</v>
      </c>
      <c r="B90" s="2" t="s">
        <v>192</v>
      </c>
      <c r="C90" s="371" t="s">
        <v>193</v>
      </c>
      <c r="D90" s="2" t="s">
        <v>21</v>
      </c>
      <c r="E90" s="2" t="s">
        <v>117</v>
      </c>
      <c r="F90" s="9">
        <v>4</v>
      </c>
      <c r="G90" s="10">
        <v>527.07000000000005</v>
      </c>
      <c r="H90" s="10">
        <f>G90*$R$6</f>
        <v>671.22364500000015</v>
      </c>
      <c r="I90" s="11">
        <f t="shared" ref="I90:I102" si="40">F90*H90</f>
        <v>2684.8945800000006</v>
      </c>
      <c r="J90" s="364">
        <f>'BM-07_ACUMULADO'!L101+'BM-07_ACUMULADO'!J101</f>
        <v>0</v>
      </c>
      <c r="K90" s="32">
        <f>'MEMORIA BM 08'!E84</f>
        <v>0</v>
      </c>
      <c r="L90" s="31">
        <f t="shared" ref="L90:L102" si="41">K90+J90</f>
        <v>0</v>
      </c>
      <c r="M90" s="80">
        <f t="shared" ref="M90:M102" si="42">J90*H90</f>
        <v>0</v>
      </c>
      <c r="N90" s="80">
        <f t="shared" ref="N90:N102" si="43">H90*K90</f>
        <v>0</v>
      </c>
      <c r="O90" s="6">
        <f t="shared" ref="O90:O102" si="44">N90+M90</f>
        <v>0</v>
      </c>
      <c r="P90" s="37">
        <f t="shared" ref="P90:P103" si="45">I90-O90</f>
        <v>2684.8945800000006</v>
      </c>
      <c r="Q90" s="379">
        <f t="shared" si="12"/>
        <v>0</v>
      </c>
    </row>
    <row r="91" spans="1:18" ht="63.75" x14ac:dyDescent="0.25">
      <c r="A91" s="36" t="s">
        <v>194</v>
      </c>
      <c r="B91" s="2" t="s">
        <v>195</v>
      </c>
      <c r="C91" s="371" t="s">
        <v>196</v>
      </c>
      <c r="D91" s="2" t="s">
        <v>21</v>
      </c>
      <c r="E91" s="2" t="s">
        <v>117</v>
      </c>
      <c r="F91" s="9">
        <v>10</v>
      </c>
      <c r="G91" s="10">
        <v>552.88</v>
      </c>
      <c r="H91" s="10">
        <f>G91*$R$6</f>
        <v>704.09268000000009</v>
      </c>
      <c r="I91" s="11">
        <f t="shared" si="40"/>
        <v>7040.9268000000011</v>
      </c>
      <c r="J91" s="364">
        <f>'BM-07_ACUMULADO'!L102+'BM-07_ACUMULADO'!J102</f>
        <v>0</v>
      </c>
      <c r="K91" s="32">
        <f>'MEMORIA BM 08'!E85</f>
        <v>0</v>
      </c>
      <c r="L91" s="31">
        <f t="shared" si="41"/>
        <v>0</v>
      </c>
      <c r="M91" s="80">
        <f t="shared" si="42"/>
        <v>0</v>
      </c>
      <c r="N91" s="80">
        <f t="shared" si="43"/>
        <v>0</v>
      </c>
      <c r="O91" s="6">
        <f t="shared" si="44"/>
        <v>0</v>
      </c>
      <c r="P91" s="37">
        <f t="shared" si="45"/>
        <v>7040.9268000000011</v>
      </c>
      <c r="Q91" s="379">
        <f t="shared" si="12"/>
        <v>0</v>
      </c>
    </row>
    <row r="92" spans="1:18" ht="63.75" x14ac:dyDescent="0.25">
      <c r="A92" s="36" t="s">
        <v>197</v>
      </c>
      <c r="B92" s="2" t="s">
        <v>198</v>
      </c>
      <c r="C92" s="371" t="s">
        <v>199</v>
      </c>
      <c r="D92" s="2" t="s">
        <v>21</v>
      </c>
      <c r="E92" s="2" t="s">
        <v>117</v>
      </c>
      <c r="F92" s="9">
        <v>6</v>
      </c>
      <c r="G92" s="10">
        <v>603</v>
      </c>
      <c r="H92" s="10">
        <f>G92*$R$6</f>
        <v>767.92050000000006</v>
      </c>
      <c r="I92" s="11">
        <f t="shared" si="40"/>
        <v>4607.5230000000001</v>
      </c>
      <c r="J92" s="364">
        <f>'BM-07_ACUMULADO'!L103+'BM-07_ACUMULADO'!J103</f>
        <v>0</v>
      </c>
      <c r="K92" s="32">
        <f>'MEMORIA BM 08'!E86</f>
        <v>0</v>
      </c>
      <c r="L92" s="31">
        <f t="shared" si="41"/>
        <v>0</v>
      </c>
      <c r="M92" s="80">
        <f t="shared" si="42"/>
        <v>0</v>
      </c>
      <c r="N92" s="80">
        <f t="shared" si="43"/>
        <v>0</v>
      </c>
      <c r="O92" s="6">
        <f t="shared" si="44"/>
        <v>0</v>
      </c>
      <c r="P92" s="37">
        <f t="shared" si="45"/>
        <v>4607.5230000000001</v>
      </c>
      <c r="Q92" s="379">
        <f t="shared" si="12"/>
        <v>0</v>
      </c>
    </row>
    <row r="93" spans="1:18" ht="38.25" x14ac:dyDescent="0.25">
      <c r="A93" s="36" t="s">
        <v>200</v>
      </c>
      <c r="B93" s="2" t="s">
        <v>201</v>
      </c>
      <c r="C93" s="371" t="s">
        <v>202</v>
      </c>
      <c r="D93" s="2" t="s">
        <v>21</v>
      </c>
      <c r="E93" s="2" t="s">
        <v>69</v>
      </c>
      <c r="F93" s="9">
        <v>8.82</v>
      </c>
      <c r="G93" s="10">
        <v>433.8</v>
      </c>
      <c r="H93" s="10">
        <f>G93*$R$6</f>
        <v>552.4443</v>
      </c>
      <c r="I93" s="11">
        <f t="shared" si="40"/>
        <v>4872.5587260000002</v>
      </c>
      <c r="J93" s="364">
        <f>'BM-07_ACUMULADO'!L104+'BM-07_ACUMULADO'!J104</f>
        <v>0</v>
      </c>
      <c r="K93" s="32">
        <f>'MEMORIA BM 08'!E87</f>
        <v>0</v>
      </c>
      <c r="L93" s="31">
        <f t="shared" si="41"/>
        <v>0</v>
      </c>
      <c r="M93" s="80">
        <f t="shared" si="42"/>
        <v>0</v>
      </c>
      <c r="N93" s="80">
        <f t="shared" si="43"/>
        <v>0</v>
      </c>
      <c r="O93" s="6">
        <f t="shared" si="44"/>
        <v>0</v>
      </c>
      <c r="P93" s="37">
        <f t="shared" si="45"/>
        <v>4872.5587260000002</v>
      </c>
      <c r="Q93" s="379">
        <f t="shared" si="12"/>
        <v>0</v>
      </c>
    </row>
    <row r="94" spans="1:18" ht="25.5" x14ac:dyDescent="0.25">
      <c r="A94" s="36" t="s">
        <v>203</v>
      </c>
      <c r="B94" s="2" t="s">
        <v>204</v>
      </c>
      <c r="C94" s="371" t="s">
        <v>205</v>
      </c>
      <c r="D94" s="2" t="s">
        <v>12</v>
      </c>
      <c r="E94" s="2" t="s">
        <v>13</v>
      </c>
      <c r="F94" s="9">
        <v>33</v>
      </c>
      <c r="G94" s="10">
        <v>445.08</v>
      </c>
      <c r="H94" s="10">
        <f>G94*$R$6</f>
        <v>566.80938000000003</v>
      </c>
      <c r="I94" s="11">
        <f t="shared" si="40"/>
        <v>18704.70954</v>
      </c>
      <c r="J94" s="364">
        <f>'BM-07_ACUMULADO'!L105+'BM-07_ACUMULADO'!J105</f>
        <v>0</v>
      </c>
      <c r="K94" s="32">
        <f>'MEMORIA BM 08'!E88</f>
        <v>0</v>
      </c>
      <c r="L94" s="31">
        <f t="shared" si="41"/>
        <v>0</v>
      </c>
      <c r="M94" s="80">
        <f t="shared" si="42"/>
        <v>0</v>
      </c>
      <c r="N94" s="80">
        <f t="shared" si="43"/>
        <v>0</v>
      </c>
      <c r="O94" s="6">
        <f t="shared" si="44"/>
        <v>0</v>
      </c>
      <c r="P94" s="37">
        <f t="shared" si="45"/>
        <v>18704.70954</v>
      </c>
      <c r="Q94" s="379">
        <f t="shared" si="12"/>
        <v>0</v>
      </c>
    </row>
    <row r="95" spans="1:18" x14ac:dyDescent="0.25">
      <c r="A95" s="36" t="s">
        <v>206</v>
      </c>
      <c r="B95" s="2" t="s">
        <v>207</v>
      </c>
      <c r="C95" s="371" t="s">
        <v>208</v>
      </c>
      <c r="D95" s="2" t="s">
        <v>12</v>
      </c>
      <c r="E95" s="2" t="s">
        <v>13</v>
      </c>
      <c r="F95" s="9">
        <v>33</v>
      </c>
      <c r="G95" s="10">
        <v>122.9</v>
      </c>
      <c r="H95" s="10">
        <f>G95*$R$6</f>
        <v>156.51315000000002</v>
      </c>
      <c r="I95" s="11">
        <f t="shared" si="40"/>
        <v>5164.9339500000006</v>
      </c>
      <c r="J95" s="364">
        <f>'BM-07_ACUMULADO'!L106+'BM-07_ACUMULADO'!J106</f>
        <v>0</v>
      </c>
      <c r="K95" s="32">
        <f>'MEMORIA BM 08'!E89</f>
        <v>0</v>
      </c>
      <c r="L95" s="31">
        <f t="shared" si="41"/>
        <v>0</v>
      </c>
      <c r="M95" s="80">
        <f t="shared" si="42"/>
        <v>0</v>
      </c>
      <c r="N95" s="80">
        <f t="shared" si="43"/>
        <v>0</v>
      </c>
      <c r="O95" s="6">
        <f t="shared" si="44"/>
        <v>0</v>
      </c>
      <c r="P95" s="37">
        <f t="shared" si="45"/>
        <v>5164.9339500000006</v>
      </c>
      <c r="Q95" s="379">
        <f t="shared" si="12"/>
        <v>0</v>
      </c>
    </row>
    <row r="96" spans="1:18" ht="51" x14ac:dyDescent="0.25">
      <c r="A96" s="36" t="s">
        <v>209</v>
      </c>
      <c r="B96" s="2" t="s">
        <v>210</v>
      </c>
      <c r="C96" s="371" t="s">
        <v>211</v>
      </c>
      <c r="D96" s="2" t="s">
        <v>21</v>
      </c>
      <c r="E96" s="2" t="s">
        <v>69</v>
      </c>
      <c r="F96" s="9">
        <v>2.25</v>
      </c>
      <c r="G96" s="10">
        <v>434.36</v>
      </c>
      <c r="H96" s="10">
        <f>G96*$R$6</f>
        <v>553.15746000000001</v>
      </c>
      <c r="I96" s="11">
        <f t="shared" si="40"/>
        <v>1244.6042850000001</v>
      </c>
      <c r="J96" s="364">
        <f>'BM-07_ACUMULADO'!L107+'BM-07_ACUMULADO'!J107</f>
        <v>0</v>
      </c>
      <c r="K96" s="32">
        <f>'MEMORIA BM 08'!E90</f>
        <v>0</v>
      </c>
      <c r="L96" s="31">
        <f t="shared" si="41"/>
        <v>0</v>
      </c>
      <c r="M96" s="80">
        <f t="shared" si="42"/>
        <v>0</v>
      </c>
      <c r="N96" s="80">
        <f t="shared" si="43"/>
        <v>0</v>
      </c>
      <c r="O96" s="6">
        <f t="shared" si="44"/>
        <v>0</v>
      </c>
      <c r="P96" s="37">
        <f t="shared" si="45"/>
        <v>1244.6042850000001</v>
      </c>
      <c r="Q96" s="379">
        <f t="shared" si="12"/>
        <v>0</v>
      </c>
    </row>
    <row r="97" spans="1:17" ht="38.25" x14ac:dyDescent="0.25">
      <c r="A97" s="36" t="s">
        <v>212</v>
      </c>
      <c r="B97" s="2" t="s">
        <v>213</v>
      </c>
      <c r="C97" s="371" t="s">
        <v>214</v>
      </c>
      <c r="D97" s="2" t="s">
        <v>21</v>
      </c>
      <c r="E97" s="2" t="s">
        <v>69</v>
      </c>
      <c r="F97" s="9">
        <v>3.2</v>
      </c>
      <c r="G97" s="10">
        <v>666.48</v>
      </c>
      <c r="H97" s="10">
        <f>G97*$R$6</f>
        <v>848.76228000000003</v>
      </c>
      <c r="I97" s="11">
        <f t="shared" si="40"/>
        <v>2716.0392960000004</v>
      </c>
      <c r="J97" s="364">
        <f>'BM-07_ACUMULADO'!L108+'BM-07_ACUMULADO'!J108</f>
        <v>0</v>
      </c>
      <c r="K97" s="32">
        <f>'MEMORIA BM 08'!E91</f>
        <v>0</v>
      </c>
      <c r="L97" s="31">
        <f t="shared" si="41"/>
        <v>0</v>
      </c>
      <c r="M97" s="80">
        <f t="shared" si="42"/>
        <v>0</v>
      </c>
      <c r="N97" s="80">
        <f t="shared" si="43"/>
        <v>0</v>
      </c>
      <c r="O97" s="6">
        <f t="shared" si="44"/>
        <v>0</v>
      </c>
      <c r="P97" s="37">
        <f t="shared" si="45"/>
        <v>2716.0392960000004</v>
      </c>
      <c r="Q97" s="379">
        <f t="shared" si="12"/>
        <v>0</v>
      </c>
    </row>
    <row r="98" spans="1:17" ht="38.25" x14ac:dyDescent="0.25">
      <c r="A98" s="36" t="s">
        <v>215</v>
      </c>
      <c r="B98" s="2" t="s">
        <v>216</v>
      </c>
      <c r="C98" s="371" t="s">
        <v>217</v>
      </c>
      <c r="D98" s="2" t="s">
        <v>12</v>
      </c>
      <c r="E98" s="2" t="s">
        <v>13</v>
      </c>
      <c r="F98" s="9">
        <v>50.71</v>
      </c>
      <c r="G98" s="10">
        <v>282.06</v>
      </c>
      <c r="H98" s="10">
        <f>G98*$R$6</f>
        <v>359.20341000000002</v>
      </c>
      <c r="I98" s="11">
        <f t="shared" si="40"/>
        <v>18215.204921100001</v>
      </c>
      <c r="J98" s="364">
        <f>'BM-07_ACUMULADO'!L109+'BM-07_ACUMULADO'!J109</f>
        <v>0</v>
      </c>
      <c r="K98" s="32">
        <f>'MEMORIA BM 08'!E92</f>
        <v>0</v>
      </c>
      <c r="L98" s="31">
        <f t="shared" si="41"/>
        <v>0</v>
      </c>
      <c r="M98" s="80">
        <f t="shared" si="42"/>
        <v>0</v>
      </c>
      <c r="N98" s="80">
        <f t="shared" si="43"/>
        <v>0</v>
      </c>
      <c r="O98" s="6">
        <f t="shared" si="44"/>
        <v>0</v>
      </c>
      <c r="P98" s="37">
        <f t="shared" si="45"/>
        <v>18215.204921100001</v>
      </c>
      <c r="Q98" s="379">
        <f t="shared" si="12"/>
        <v>0</v>
      </c>
    </row>
    <row r="99" spans="1:17" x14ac:dyDescent="0.25">
      <c r="A99" s="36" t="s">
        <v>218</v>
      </c>
      <c r="B99" s="2" t="s">
        <v>219</v>
      </c>
      <c r="C99" s="371" t="s">
        <v>220</v>
      </c>
      <c r="D99" s="2" t="s">
        <v>12</v>
      </c>
      <c r="E99" s="2" t="s">
        <v>13</v>
      </c>
      <c r="F99" s="9">
        <v>16.350000000000001</v>
      </c>
      <c r="G99" s="10">
        <v>174.8</v>
      </c>
      <c r="H99" s="10">
        <f>G99*$R$6</f>
        <v>222.60780000000003</v>
      </c>
      <c r="I99" s="11">
        <f t="shared" si="40"/>
        <v>3639.6375300000009</v>
      </c>
      <c r="J99" s="364">
        <f>'BM-07_ACUMULADO'!L110+'BM-07_ACUMULADO'!J110</f>
        <v>0</v>
      </c>
      <c r="K99" s="32">
        <f>'MEMORIA BM 08'!E93</f>
        <v>0</v>
      </c>
      <c r="L99" s="31">
        <f t="shared" si="41"/>
        <v>0</v>
      </c>
      <c r="M99" s="80">
        <f t="shared" si="42"/>
        <v>0</v>
      </c>
      <c r="N99" s="80">
        <f t="shared" si="43"/>
        <v>0</v>
      </c>
      <c r="O99" s="6">
        <f t="shared" si="44"/>
        <v>0</v>
      </c>
      <c r="P99" s="37">
        <f t="shared" si="45"/>
        <v>3639.6375300000009</v>
      </c>
      <c r="Q99" s="379">
        <f t="shared" si="12"/>
        <v>0</v>
      </c>
    </row>
    <row r="100" spans="1:17" ht="25.5" x14ac:dyDescent="0.25">
      <c r="A100" s="36" t="s">
        <v>221</v>
      </c>
      <c r="B100" s="2" t="s">
        <v>222</v>
      </c>
      <c r="C100" s="371" t="s">
        <v>223</v>
      </c>
      <c r="D100" s="2" t="s">
        <v>12</v>
      </c>
      <c r="E100" s="2" t="s">
        <v>13</v>
      </c>
      <c r="F100" s="9">
        <v>14.35</v>
      </c>
      <c r="G100" s="10">
        <v>430.88</v>
      </c>
      <c r="H100" s="10">
        <f>G100*$R$6</f>
        <v>548.72568000000001</v>
      </c>
      <c r="I100" s="11">
        <f t="shared" si="40"/>
        <v>7874.2135079999998</v>
      </c>
      <c r="J100" s="364">
        <f>'BM-07_ACUMULADO'!L111+'BM-07_ACUMULADO'!J111</f>
        <v>0</v>
      </c>
      <c r="K100" s="32">
        <f>'MEMORIA BM 08'!E94</f>
        <v>0</v>
      </c>
      <c r="L100" s="31">
        <f t="shared" si="41"/>
        <v>0</v>
      </c>
      <c r="M100" s="80">
        <f t="shared" si="42"/>
        <v>0</v>
      </c>
      <c r="N100" s="80">
        <f t="shared" si="43"/>
        <v>0</v>
      </c>
      <c r="O100" s="6">
        <f t="shared" si="44"/>
        <v>0</v>
      </c>
      <c r="P100" s="37">
        <f t="shared" si="45"/>
        <v>7874.2135079999998</v>
      </c>
      <c r="Q100" s="379">
        <f t="shared" ref="Q100:Q163" si="46">O100/I100</f>
        <v>0</v>
      </c>
    </row>
    <row r="101" spans="1:17" x14ac:dyDescent="0.25">
      <c r="A101" s="36" t="s">
        <v>224</v>
      </c>
      <c r="B101" s="2" t="s">
        <v>225</v>
      </c>
      <c r="C101" s="371" t="s">
        <v>226</v>
      </c>
      <c r="D101" s="2" t="s">
        <v>12</v>
      </c>
      <c r="E101" s="2" t="s">
        <v>13</v>
      </c>
      <c r="F101" s="9">
        <v>35.159999999999997</v>
      </c>
      <c r="G101" s="10">
        <v>285.70999999999998</v>
      </c>
      <c r="H101" s="10">
        <f>G101*$R$6</f>
        <v>363.85168499999997</v>
      </c>
      <c r="I101" s="11">
        <f t="shared" si="40"/>
        <v>12793.025244599998</v>
      </c>
      <c r="J101" s="364">
        <f>'BM-07_ACUMULADO'!L112+'BM-07_ACUMULADO'!J112</f>
        <v>0</v>
      </c>
      <c r="K101" s="32">
        <f>'MEMORIA BM 08'!E95</f>
        <v>0</v>
      </c>
      <c r="L101" s="31">
        <f t="shared" si="41"/>
        <v>0</v>
      </c>
      <c r="M101" s="80">
        <f t="shared" si="42"/>
        <v>0</v>
      </c>
      <c r="N101" s="80">
        <f t="shared" si="43"/>
        <v>0</v>
      </c>
      <c r="O101" s="6">
        <f t="shared" si="44"/>
        <v>0</v>
      </c>
      <c r="P101" s="37">
        <f t="shared" si="45"/>
        <v>12793.025244599998</v>
      </c>
      <c r="Q101" s="379">
        <f t="shared" si="46"/>
        <v>0</v>
      </c>
    </row>
    <row r="102" spans="1:17" x14ac:dyDescent="0.25">
      <c r="A102" s="36" t="s">
        <v>227</v>
      </c>
      <c r="B102" s="2" t="s">
        <v>228</v>
      </c>
      <c r="C102" s="371" t="s">
        <v>229</v>
      </c>
      <c r="D102" s="2" t="s">
        <v>12</v>
      </c>
      <c r="E102" s="2" t="s">
        <v>13</v>
      </c>
      <c r="F102" s="9">
        <v>0.36</v>
      </c>
      <c r="G102" s="10">
        <v>389.08</v>
      </c>
      <c r="H102" s="10">
        <f>G102*$R$6</f>
        <v>495.49338</v>
      </c>
      <c r="I102" s="11">
        <f t="shared" si="40"/>
        <v>178.3776168</v>
      </c>
      <c r="J102" s="364">
        <f>'BM-07_ACUMULADO'!L113+'BM-07_ACUMULADO'!J113</f>
        <v>0</v>
      </c>
      <c r="K102" s="32">
        <f>'MEMORIA BM 08'!E96</f>
        <v>0</v>
      </c>
      <c r="L102" s="31">
        <f t="shared" si="41"/>
        <v>0</v>
      </c>
      <c r="M102" s="80">
        <f t="shared" si="42"/>
        <v>0</v>
      </c>
      <c r="N102" s="80">
        <f t="shared" si="43"/>
        <v>0</v>
      </c>
      <c r="O102" s="6">
        <f t="shared" si="44"/>
        <v>0</v>
      </c>
      <c r="P102" s="37">
        <f t="shared" si="45"/>
        <v>178.3776168</v>
      </c>
      <c r="Q102" s="379">
        <f t="shared" si="46"/>
        <v>0</v>
      </c>
    </row>
    <row r="103" spans="1:17" x14ac:dyDescent="0.25">
      <c r="A103" s="38"/>
      <c r="B103" s="3"/>
      <c r="C103" s="372"/>
      <c r="D103" s="3"/>
      <c r="E103" s="3"/>
      <c r="F103" s="12"/>
      <c r="G103" s="13"/>
      <c r="H103" s="13"/>
      <c r="I103" s="14">
        <f>SUM(I89:I102)</f>
        <v>91090.404967500013</v>
      </c>
      <c r="J103" s="15"/>
      <c r="K103" s="15"/>
      <c r="L103" s="15"/>
      <c r="M103" s="14">
        <f>SUM(M89:M102)</f>
        <v>0</v>
      </c>
      <c r="N103" s="14">
        <f>SUM(N89:N102)</f>
        <v>0</v>
      </c>
      <c r="O103" s="14">
        <f>SUM(O89:O102)</f>
        <v>0</v>
      </c>
      <c r="P103" s="39">
        <f t="shared" si="45"/>
        <v>91090.404967500013</v>
      </c>
      <c r="Q103" s="379">
        <f t="shared" si="46"/>
        <v>0</v>
      </c>
    </row>
    <row r="104" spans="1:17" x14ac:dyDescent="0.25">
      <c r="A104" s="35" t="s">
        <v>230</v>
      </c>
      <c r="B104" s="117" t="s">
        <v>231</v>
      </c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8"/>
      <c r="Q104" s="379"/>
    </row>
    <row r="105" spans="1:17" ht="25.5" x14ac:dyDescent="0.25">
      <c r="A105" s="36" t="s">
        <v>232</v>
      </c>
      <c r="B105" s="2" t="s">
        <v>233</v>
      </c>
      <c r="C105" s="371" t="s">
        <v>234</v>
      </c>
      <c r="D105" s="2" t="s">
        <v>12</v>
      </c>
      <c r="E105" s="2" t="s">
        <v>13</v>
      </c>
      <c r="F105" s="9">
        <v>345.83</v>
      </c>
      <c r="G105" s="10">
        <v>96.53</v>
      </c>
      <c r="H105" s="10">
        <f>G105*$R$6</f>
        <v>122.93095500000001</v>
      </c>
      <c r="I105" s="365"/>
      <c r="J105" s="5"/>
      <c r="K105" s="32">
        <f>'MEMORIA BM 08'!E98</f>
        <v>0</v>
      </c>
      <c r="L105" s="32">
        <f>K105+J105</f>
        <v>0</v>
      </c>
      <c r="M105" s="80">
        <f>J105*H105</f>
        <v>0</v>
      </c>
      <c r="N105" s="80">
        <f>H105*K105</f>
        <v>0</v>
      </c>
      <c r="O105" s="6">
        <f>N105+M105</f>
        <v>0</v>
      </c>
      <c r="P105" s="37">
        <f>I105-O105</f>
        <v>0</v>
      </c>
      <c r="Q105" s="379"/>
    </row>
    <row r="106" spans="1:17" ht="38.25" x14ac:dyDescent="0.25">
      <c r="A106" s="36" t="s">
        <v>235</v>
      </c>
      <c r="B106" s="2" t="s">
        <v>236</v>
      </c>
      <c r="C106" s="371" t="s">
        <v>237</v>
      </c>
      <c r="D106" s="2" t="s">
        <v>21</v>
      </c>
      <c r="E106" s="2" t="s">
        <v>69</v>
      </c>
      <c r="F106" s="9">
        <v>183.4</v>
      </c>
      <c r="G106" s="10">
        <v>64.89</v>
      </c>
      <c r="H106" s="10">
        <f>G106*$R$6</f>
        <v>82.637415000000004</v>
      </c>
      <c r="I106" s="11">
        <f>F106*H106</f>
        <v>15155.701911000002</v>
      </c>
      <c r="J106" s="364">
        <f>'BM-07_ACUMULADO'!L117+'BM-07_ACUMULADO'!J117</f>
        <v>0</v>
      </c>
      <c r="K106" s="366">
        <v>0</v>
      </c>
      <c r="L106" s="31">
        <f>K106+J106</f>
        <v>0</v>
      </c>
      <c r="M106" s="80">
        <f>J106*H106</f>
        <v>0</v>
      </c>
      <c r="N106" s="80">
        <f>H106*K106</f>
        <v>0</v>
      </c>
      <c r="O106" s="6">
        <f>N106+M106</f>
        <v>0</v>
      </c>
      <c r="P106" s="37">
        <f>I106-O106</f>
        <v>15155.701911000002</v>
      </c>
      <c r="Q106" s="379">
        <f t="shared" si="46"/>
        <v>0</v>
      </c>
    </row>
    <row r="107" spans="1:17" x14ac:dyDescent="0.25">
      <c r="A107" s="38"/>
      <c r="B107" s="3"/>
      <c r="C107" s="372"/>
      <c r="D107" s="3"/>
      <c r="E107" s="3"/>
      <c r="F107" s="12"/>
      <c r="G107" s="13"/>
      <c r="H107" s="13"/>
      <c r="I107" s="14">
        <f>SUM(I105:I106)</f>
        <v>15155.701911000002</v>
      </c>
      <c r="J107" s="15"/>
      <c r="K107" s="15"/>
      <c r="L107" s="15"/>
      <c r="M107" s="14">
        <f>SUM(M105:M106)</f>
        <v>0</v>
      </c>
      <c r="N107" s="14">
        <f>SUM(N105:N106)</f>
        <v>0</v>
      </c>
      <c r="O107" s="14">
        <f>SUM(O105:O106)</f>
        <v>0</v>
      </c>
      <c r="P107" s="39">
        <f>I107-O107</f>
        <v>15155.701911000002</v>
      </c>
      <c r="Q107" s="379">
        <f t="shared" si="46"/>
        <v>0</v>
      </c>
    </row>
    <row r="108" spans="1:17" x14ac:dyDescent="0.25">
      <c r="A108" s="35" t="s">
        <v>238</v>
      </c>
      <c r="B108" s="117" t="s">
        <v>239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8"/>
      <c r="Q108" s="379" t="e">
        <f t="shared" si="46"/>
        <v>#DIV/0!</v>
      </c>
    </row>
    <row r="109" spans="1:17" ht="38.25" x14ac:dyDescent="0.25">
      <c r="A109" s="36" t="s">
        <v>240</v>
      </c>
      <c r="B109" s="2" t="s">
        <v>241</v>
      </c>
      <c r="C109" s="371" t="s">
        <v>242</v>
      </c>
      <c r="D109" s="2" t="s">
        <v>21</v>
      </c>
      <c r="E109" s="2" t="s">
        <v>117</v>
      </c>
      <c r="F109" s="9">
        <v>2</v>
      </c>
      <c r="G109" s="10">
        <v>186.33</v>
      </c>
      <c r="H109" s="10">
        <f>G109*$R$6</f>
        <v>237.29125500000004</v>
      </c>
      <c r="I109" s="11">
        <f>F109*H109</f>
        <v>474.58251000000007</v>
      </c>
      <c r="J109" s="364">
        <f>'BM-07_ACUMULADO'!L121+'BM-07_ACUMULADO'!J121</f>
        <v>0</v>
      </c>
      <c r="K109" s="32">
        <f>'MEMORIA BM 08'!E101</f>
        <v>0</v>
      </c>
      <c r="L109" s="31">
        <f>K109+J109</f>
        <v>0</v>
      </c>
      <c r="M109" s="80">
        <f>J109*H109</f>
        <v>0</v>
      </c>
      <c r="N109" s="80">
        <f>H109*K109</f>
        <v>0</v>
      </c>
      <c r="O109" s="6">
        <f>N109+M109</f>
        <v>0</v>
      </c>
      <c r="P109" s="37">
        <f t="shared" ref="P109:P114" si="47">I109-O109</f>
        <v>474.58251000000007</v>
      </c>
      <c r="Q109" s="379">
        <f t="shared" si="46"/>
        <v>0</v>
      </c>
    </row>
    <row r="110" spans="1:17" ht="25.5" x14ac:dyDescent="0.25">
      <c r="A110" s="36" t="s">
        <v>243</v>
      </c>
      <c r="B110" s="2" t="s">
        <v>244</v>
      </c>
      <c r="C110" s="371" t="s">
        <v>245</v>
      </c>
      <c r="D110" s="2" t="s">
        <v>21</v>
      </c>
      <c r="E110" s="2" t="s">
        <v>117</v>
      </c>
      <c r="F110" s="9">
        <v>3</v>
      </c>
      <c r="G110" s="10">
        <v>180.65</v>
      </c>
      <c r="H110" s="10">
        <f>G110*$R$6</f>
        <v>230.05777500000002</v>
      </c>
      <c r="I110" s="11">
        <f>F110*H110</f>
        <v>690.17332500000009</v>
      </c>
      <c r="J110" s="364">
        <f>'BM-07_ACUMULADO'!L122+'BM-07_ACUMULADO'!J122</f>
        <v>0</v>
      </c>
      <c r="K110" s="32">
        <f>'MEMORIA BM 08'!E102</f>
        <v>0</v>
      </c>
      <c r="L110" s="31">
        <f>K110+J110</f>
        <v>0</v>
      </c>
      <c r="M110" s="80">
        <f>J110*H110</f>
        <v>0</v>
      </c>
      <c r="N110" s="80">
        <f>H110*K110</f>
        <v>0</v>
      </c>
      <c r="O110" s="6">
        <f>N110+M110</f>
        <v>0</v>
      </c>
      <c r="P110" s="37">
        <f t="shared" si="47"/>
        <v>690.17332500000009</v>
      </c>
      <c r="Q110" s="379">
        <f t="shared" si="46"/>
        <v>0</v>
      </c>
    </row>
    <row r="111" spans="1:17" ht="25.5" x14ac:dyDescent="0.25">
      <c r="A111" s="36" t="s">
        <v>246</v>
      </c>
      <c r="B111" s="2" t="s">
        <v>247</v>
      </c>
      <c r="C111" s="371" t="s">
        <v>248</v>
      </c>
      <c r="D111" s="2" t="s">
        <v>12</v>
      </c>
      <c r="E111" s="2" t="s">
        <v>17</v>
      </c>
      <c r="F111" s="9">
        <v>4</v>
      </c>
      <c r="G111" s="10">
        <v>204.75</v>
      </c>
      <c r="H111" s="10">
        <f>G111*$R$6</f>
        <v>260.74912499999999</v>
      </c>
      <c r="I111" s="11">
        <f>F111*H111</f>
        <v>1042.9965</v>
      </c>
      <c r="J111" s="364">
        <f>'BM-07_ACUMULADO'!L123+'BM-07_ACUMULADO'!J123</f>
        <v>0</v>
      </c>
      <c r="K111" s="32">
        <f>'MEMORIA BM 08'!E103</f>
        <v>0</v>
      </c>
      <c r="L111" s="31">
        <f>K111+J111</f>
        <v>0</v>
      </c>
      <c r="M111" s="80">
        <f>J111*H111</f>
        <v>0</v>
      </c>
      <c r="N111" s="80">
        <f>H111*K111</f>
        <v>0</v>
      </c>
      <c r="O111" s="6">
        <f>N111+M111</f>
        <v>0</v>
      </c>
      <c r="P111" s="37">
        <f t="shared" si="47"/>
        <v>1042.9965</v>
      </c>
      <c r="Q111" s="379">
        <f t="shared" si="46"/>
        <v>0</v>
      </c>
    </row>
    <row r="112" spans="1:17" ht="38.25" x14ac:dyDescent="0.25">
      <c r="A112" s="36" t="s">
        <v>249</v>
      </c>
      <c r="B112" s="2" t="s">
        <v>250</v>
      </c>
      <c r="C112" s="371" t="s">
        <v>251</v>
      </c>
      <c r="D112" s="2" t="s">
        <v>12</v>
      </c>
      <c r="E112" s="2" t="s">
        <v>252</v>
      </c>
      <c r="F112" s="9">
        <v>9</v>
      </c>
      <c r="G112" s="10">
        <v>26.04</v>
      </c>
      <c r="H112" s="10">
        <f>G112*$R$6</f>
        <v>33.161940000000001</v>
      </c>
      <c r="I112" s="11">
        <f>F112*H112</f>
        <v>298.45746000000003</v>
      </c>
      <c r="J112" s="364">
        <f>'BM-07_ACUMULADO'!L124+'BM-07_ACUMULADO'!J124</f>
        <v>0</v>
      </c>
      <c r="K112" s="32">
        <f>'MEMORIA BM 08'!E104</f>
        <v>0</v>
      </c>
      <c r="L112" s="31">
        <f>K112+J112</f>
        <v>0</v>
      </c>
      <c r="M112" s="80">
        <f>J112*H112</f>
        <v>0</v>
      </c>
      <c r="N112" s="80">
        <f>H112*K112</f>
        <v>0</v>
      </c>
      <c r="O112" s="6">
        <f>N112+M112</f>
        <v>0</v>
      </c>
      <c r="P112" s="37">
        <f t="shared" si="47"/>
        <v>298.45746000000003</v>
      </c>
      <c r="Q112" s="379">
        <f t="shared" si="46"/>
        <v>0</v>
      </c>
    </row>
    <row r="113" spans="1:17" ht="25.5" x14ac:dyDescent="0.25">
      <c r="A113" s="36" t="s">
        <v>253</v>
      </c>
      <c r="B113" s="2" t="s">
        <v>254</v>
      </c>
      <c r="C113" s="371" t="s">
        <v>255</v>
      </c>
      <c r="D113" s="2" t="s">
        <v>12</v>
      </c>
      <c r="E113" s="2" t="s">
        <v>17</v>
      </c>
      <c r="F113" s="9">
        <v>5</v>
      </c>
      <c r="G113" s="10">
        <v>12.94</v>
      </c>
      <c r="H113" s="10">
        <f>G113*$R$6</f>
        <v>16.479089999999999</v>
      </c>
      <c r="I113" s="11">
        <f>F113*H113</f>
        <v>82.395449999999997</v>
      </c>
      <c r="J113" s="364">
        <f>'BM-07_ACUMULADO'!L125+'BM-07_ACUMULADO'!J125</f>
        <v>0</v>
      </c>
      <c r="K113" s="32">
        <f>'MEMORIA BM 08'!E105</f>
        <v>0</v>
      </c>
      <c r="L113" s="31">
        <f>K113+J113</f>
        <v>0</v>
      </c>
      <c r="M113" s="80">
        <f>J113*H113</f>
        <v>0</v>
      </c>
      <c r="N113" s="80">
        <f>H113*K113</f>
        <v>0</v>
      </c>
      <c r="O113" s="6">
        <f>N113+M113</f>
        <v>0</v>
      </c>
      <c r="P113" s="37">
        <f t="shared" si="47"/>
        <v>82.395449999999997</v>
      </c>
      <c r="Q113" s="379">
        <f t="shared" si="46"/>
        <v>0</v>
      </c>
    </row>
    <row r="114" spans="1:17" x14ac:dyDescent="0.25">
      <c r="A114" s="38"/>
      <c r="B114" s="3"/>
      <c r="C114" s="372"/>
      <c r="D114" s="3"/>
      <c r="E114" s="3"/>
      <c r="F114" s="12"/>
      <c r="G114" s="13"/>
      <c r="H114" s="13"/>
      <c r="I114" s="14">
        <f>SUM(I109:I113)</f>
        <v>2588.6052450000002</v>
      </c>
      <c r="J114" s="15"/>
      <c r="K114" s="15"/>
      <c r="L114" s="15"/>
      <c r="M114" s="14">
        <f>SUM(M109:M113)</f>
        <v>0</v>
      </c>
      <c r="N114" s="14">
        <f>SUM(N109:N113)</f>
        <v>0</v>
      </c>
      <c r="O114" s="14">
        <f>SUM(O109:O113)</f>
        <v>0</v>
      </c>
      <c r="P114" s="39">
        <f t="shared" si="47"/>
        <v>2588.6052450000002</v>
      </c>
      <c r="Q114" s="379">
        <f t="shared" si="46"/>
        <v>0</v>
      </c>
    </row>
    <row r="115" spans="1:17" x14ac:dyDescent="0.25">
      <c r="A115" s="35" t="s">
        <v>256</v>
      </c>
      <c r="B115" s="117" t="s">
        <v>257</v>
      </c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8"/>
      <c r="Q115" s="379" t="e">
        <f t="shared" si="46"/>
        <v>#DIV/0!</v>
      </c>
    </row>
    <row r="116" spans="1:17" x14ac:dyDescent="0.25">
      <c r="A116" s="36" t="s">
        <v>258</v>
      </c>
      <c r="B116" s="2" t="s">
        <v>259</v>
      </c>
      <c r="C116" s="371" t="s">
        <v>260</v>
      </c>
      <c r="D116" s="2" t="s">
        <v>261</v>
      </c>
      <c r="E116" s="2" t="s">
        <v>117</v>
      </c>
      <c r="F116" s="9">
        <v>119</v>
      </c>
      <c r="G116" s="10">
        <v>7.07</v>
      </c>
      <c r="H116" s="10">
        <f>G116*$R$6</f>
        <v>9.0036450000000006</v>
      </c>
      <c r="I116" s="11">
        <f>F116*H116</f>
        <v>1071.433755</v>
      </c>
      <c r="J116" s="31"/>
      <c r="K116" s="32">
        <f>'MEMORIA BM 08'!E107</f>
        <v>0</v>
      </c>
      <c r="L116" s="31">
        <f>K116+J116</f>
        <v>0</v>
      </c>
      <c r="M116" s="80">
        <f>J116*H116</f>
        <v>0</v>
      </c>
      <c r="N116" s="80">
        <f>H116*K116</f>
        <v>0</v>
      </c>
      <c r="O116" s="6">
        <f>N116+M116</f>
        <v>0</v>
      </c>
      <c r="P116" s="37">
        <f>I116-O116</f>
        <v>1071.433755</v>
      </c>
      <c r="Q116" s="379">
        <f t="shared" si="46"/>
        <v>0</v>
      </c>
    </row>
    <row r="117" spans="1:17" ht="25.5" x14ac:dyDescent="0.25">
      <c r="A117" s="36" t="s">
        <v>262</v>
      </c>
      <c r="B117" s="2" t="s">
        <v>263</v>
      </c>
      <c r="C117" s="371" t="s">
        <v>264</v>
      </c>
      <c r="D117" s="2" t="s">
        <v>21</v>
      </c>
      <c r="E117" s="2" t="s">
        <v>117</v>
      </c>
      <c r="F117" s="9">
        <v>8</v>
      </c>
      <c r="G117" s="10">
        <v>5.83</v>
      </c>
      <c r="H117" s="10">
        <f>G117*$R$6</f>
        <v>7.4245050000000008</v>
      </c>
      <c r="I117" s="11">
        <f t="shared" ref="I117:I162" si="48">F117*H117</f>
        <v>59.396040000000006</v>
      </c>
      <c r="J117" s="31"/>
      <c r="K117" s="32">
        <f>'MEMORIA BM 08'!E108</f>
        <v>0</v>
      </c>
      <c r="L117" s="31">
        <f t="shared" ref="L117:L162" si="49">K117+J117</f>
        <v>0</v>
      </c>
      <c r="M117" s="80">
        <f t="shared" ref="M117:M162" si="50">J117*H117</f>
        <v>0</v>
      </c>
      <c r="N117" s="80">
        <f t="shared" ref="N117:N162" si="51">H117*K117</f>
        <v>0</v>
      </c>
      <c r="O117" s="6">
        <f t="shared" ref="O117:O162" si="52">N117+M117</f>
        <v>0</v>
      </c>
      <c r="P117" s="37">
        <f t="shared" ref="P117:P163" si="53">I117-O117</f>
        <v>59.396040000000006</v>
      </c>
      <c r="Q117" s="379">
        <f t="shared" si="46"/>
        <v>0</v>
      </c>
    </row>
    <row r="118" spans="1:17" ht="38.25" x14ac:dyDescent="0.25">
      <c r="A118" s="36" t="s">
        <v>265</v>
      </c>
      <c r="B118" s="2" t="s">
        <v>266</v>
      </c>
      <c r="C118" s="371" t="s">
        <v>267</v>
      </c>
      <c r="D118" s="2" t="s">
        <v>21</v>
      </c>
      <c r="E118" s="2" t="s">
        <v>117</v>
      </c>
      <c r="F118" s="9">
        <v>10</v>
      </c>
      <c r="G118" s="10">
        <v>10.97</v>
      </c>
      <c r="H118" s="10">
        <f>G118*$R$6</f>
        <v>13.970295000000002</v>
      </c>
      <c r="I118" s="11">
        <f t="shared" si="48"/>
        <v>139.70295000000002</v>
      </c>
      <c r="J118" s="31"/>
      <c r="K118" s="32">
        <f>'MEMORIA BM 08'!E109</f>
        <v>0</v>
      </c>
      <c r="L118" s="31">
        <f t="shared" si="49"/>
        <v>0</v>
      </c>
      <c r="M118" s="80">
        <f t="shared" si="50"/>
        <v>0</v>
      </c>
      <c r="N118" s="80">
        <f t="shared" si="51"/>
        <v>0</v>
      </c>
      <c r="O118" s="6">
        <f t="shared" si="52"/>
        <v>0</v>
      </c>
      <c r="P118" s="37">
        <f t="shared" si="53"/>
        <v>139.70295000000002</v>
      </c>
      <c r="Q118" s="379">
        <f t="shared" si="46"/>
        <v>0</v>
      </c>
    </row>
    <row r="119" spans="1:17" ht="38.25" x14ac:dyDescent="0.25">
      <c r="A119" s="36" t="s">
        <v>268</v>
      </c>
      <c r="B119" s="2" t="s">
        <v>269</v>
      </c>
      <c r="C119" s="371" t="s">
        <v>270</v>
      </c>
      <c r="D119" s="2" t="s">
        <v>21</v>
      </c>
      <c r="E119" s="2" t="s">
        <v>117</v>
      </c>
      <c r="F119" s="9">
        <v>6</v>
      </c>
      <c r="G119" s="10">
        <v>12.5</v>
      </c>
      <c r="H119" s="10">
        <f>G119*$R$6</f>
        <v>15.918750000000001</v>
      </c>
      <c r="I119" s="11">
        <f t="shared" si="48"/>
        <v>95.512500000000003</v>
      </c>
      <c r="J119" s="31"/>
      <c r="K119" s="32">
        <f>'MEMORIA BM 08'!E110</f>
        <v>0</v>
      </c>
      <c r="L119" s="31">
        <f t="shared" si="49"/>
        <v>0</v>
      </c>
      <c r="M119" s="80">
        <f t="shared" si="50"/>
        <v>0</v>
      </c>
      <c r="N119" s="80">
        <f t="shared" si="51"/>
        <v>0</v>
      </c>
      <c r="O119" s="6">
        <f t="shared" si="52"/>
        <v>0</v>
      </c>
      <c r="P119" s="37">
        <f t="shared" si="53"/>
        <v>95.512500000000003</v>
      </c>
      <c r="Q119" s="379">
        <f t="shared" si="46"/>
        <v>0</v>
      </c>
    </row>
    <row r="120" spans="1:17" ht="38.25" x14ac:dyDescent="0.25">
      <c r="A120" s="36" t="s">
        <v>271</v>
      </c>
      <c r="B120" s="2" t="s">
        <v>272</v>
      </c>
      <c r="C120" s="371" t="s">
        <v>273</v>
      </c>
      <c r="D120" s="2" t="s">
        <v>21</v>
      </c>
      <c r="E120" s="2" t="s">
        <v>22</v>
      </c>
      <c r="F120" s="9">
        <v>203.96</v>
      </c>
      <c r="G120" s="10">
        <v>8.6</v>
      </c>
      <c r="H120" s="10">
        <f>G120*$R$6</f>
        <v>10.9521</v>
      </c>
      <c r="I120" s="11">
        <f t="shared" si="48"/>
        <v>2233.7903160000001</v>
      </c>
      <c r="J120" s="31"/>
      <c r="K120" s="32">
        <f>'MEMORIA BM 08'!E111</f>
        <v>0</v>
      </c>
      <c r="L120" s="31">
        <f t="shared" si="49"/>
        <v>0</v>
      </c>
      <c r="M120" s="80">
        <f t="shared" si="50"/>
        <v>0</v>
      </c>
      <c r="N120" s="80">
        <f t="shared" si="51"/>
        <v>0</v>
      </c>
      <c r="O120" s="6">
        <f t="shared" si="52"/>
        <v>0</v>
      </c>
      <c r="P120" s="37">
        <f t="shared" si="53"/>
        <v>2233.7903160000001</v>
      </c>
      <c r="Q120" s="379">
        <f t="shared" si="46"/>
        <v>0</v>
      </c>
    </row>
    <row r="121" spans="1:17" ht="38.25" x14ac:dyDescent="0.25">
      <c r="A121" s="36" t="s">
        <v>274</v>
      </c>
      <c r="B121" s="2" t="s">
        <v>275</v>
      </c>
      <c r="C121" s="371" t="s">
        <v>276</v>
      </c>
      <c r="D121" s="2" t="s">
        <v>21</v>
      </c>
      <c r="E121" s="2" t="s">
        <v>22</v>
      </c>
      <c r="F121" s="9">
        <v>18.809999999999999</v>
      </c>
      <c r="G121" s="10">
        <v>9.2899999999999991</v>
      </c>
      <c r="H121" s="10">
        <f>G121*$R$6</f>
        <v>11.830814999999999</v>
      </c>
      <c r="I121" s="11">
        <f t="shared" si="48"/>
        <v>222.53763014999998</v>
      </c>
      <c r="J121" s="31"/>
      <c r="K121" s="32">
        <f>'MEMORIA BM 08'!E112</f>
        <v>0</v>
      </c>
      <c r="L121" s="31">
        <f t="shared" si="49"/>
        <v>0</v>
      </c>
      <c r="M121" s="80">
        <f t="shared" si="50"/>
        <v>0</v>
      </c>
      <c r="N121" s="80">
        <f t="shared" si="51"/>
        <v>0</v>
      </c>
      <c r="O121" s="6">
        <f t="shared" si="52"/>
        <v>0</v>
      </c>
      <c r="P121" s="37">
        <f t="shared" si="53"/>
        <v>222.53763014999998</v>
      </c>
      <c r="Q121" s="379">
        <f t="shared" si="46"/>
        <v>0</v>
      </c>
    </row>
    <row r="122" spans="1:17" ht="38.25" x14ac:dyDescent="0.25">
      <c r="A122" s="36" t="s">
        <v>277</v>
      </c>
      <c r="B122" s="2" t="s">
        <v>278</v>
      </c>
      <c r="C122" s="371" t="s">
        <v>279</v>
      </c>
      <c r="D122" s="2" t="s">
        <v>21</v>
      </c>
      <c r="E122" s="2" t="s">
        <v>22</v>
      </c>
      <c r="F122" s="9">
        <v>0</v>
      </c>
      <c r="G122" s="10">
        <v>5.36</v>
      </c>
      <c r="H122" s="10">
        <f>G122*$R$6</f>
        <v>6.8259600000000011</v>
      </c>
      <c r="I122" s="11">
        <f t="shared" si="48"/>
        <v>0</v>
      </c>
      <c r="J122" s="31"/>
      <c r="K122" s="32">
        <f>'MEMORIA BM 08'!E113</f>
        <v>0</v>
      </c>
      <c r="L122" s="31">
        <f t="shared" si="49"/>
        <v>0</v>
      </c>
      <c r="M122" s="80">
        <f t="shared" si="50"/>
        <v>0</v>
      </c>
      <c r="N122" s="80">
        <f t="shared" si="51"/>
        <v>0</v>
      </c>
      <c r="O122" s="6">
        <f t="shared" si="52"/>
        <v>0</v>
      </c>
      <c r="P122" s="37">
        <f t="shared" si="53"/>
        <v>0</v>
      </c>
      <c r="Q122" s="379" t="e">
        <f t="shared" si="46"/>
        <v>#DIV/0!</v>
      </c>
    </row>
    <row r="123" spans="1:17" ht="25.5" x14ac:dyDescent="0.25">
      <c r="A123" s="36" t="s">
        <v>280</v>
      </c>
      <c r="B123" s="2" t="s">
        <v>281</v>
      </c>
      <c r="C123" s="371" t="s">
        <v>282</v>
      </c>
      <c r="D123" s="2" t="s">
        <v>21</v>
      </c>
      <c r="E123" s="2" t="s">
        <v>22</v>
      </c>
      <c r="F123" s="9">
        <v>0</v>
      </c>
      <c r="G123" s="10">
        <v>9.08</v>
      </c>
      <c r="H123" s="10">
        <f>G123*$R$6</f>
        <v>11.56338</v>
      </c>
      <c r="I123" s="11">
        <f t="shared" si="48"/>
        <v>0</v>
      </c>
      <c r="J123" s="31"/>
      <c r="K123" s="32">
        <f>'MEMORIA BM 08'!E114</f>
        <v>0</v>
      </c>
      <c r="L123" s="31">
        <f t="shared" si="49"/>
        <v>0</v>
      </c>
      <c r="M123" s="80">
        <f t="shared" si="50"/>
        <v>0</v>
      </c>
      <c r="N123" s="80">
        <f t="shared" si="51"/>
        <v>0</v>
      </c>
      <c r="O123" s="6">
        <f t="shared" si="52"/>
        <v>0</v>
      </c>
      <c r="P123" s="37">
        <f t="shared" si="53"/>
        <v>0</v>
      </c>
      <c r="Q123" s="379" t="e">
        <f t="shared" si="46"/>
        <v>#DIV/0!</v>
      </c>
    </row>
    <row r="124" spans="1:17" ht="38.25" x14ac:dyDescent="0.25">
      <c r="A124" s="36" t="s">
        <v>283</v>
      </c>
      <c r="B124" s="2" t="s">
        <v>284</v>
      </c>
      <c r="C124" s="371" t="s">
        <v>285</v>
      </c>
      <c r="D124" s="2" t="s">
        <v>21</v>
      </c>
      <c r="E124" s="2" t="s">
        <v>22</v>
      </c>
      <c r="F124" s="9">
        <v>20.3</v>
      </c>
      <c r="G124" s="10">
        <v>11.61</v>
      </c>
      <c r="H124" s="10">
        <f>G124*$R$6</f>
        <v>14.785335</v>
      </c>
      <c r="I124" s="11">
        <f t="shared" si="48"/>
        <v>300.14230050000003</v>
      </c>
      <c r="J124" s="31"/>
      <c r="K124" s="32">
        <f>'MEMORIA BM 08'!E115</f>
        <v>0</v>
      </c>
      <c r="L124" s="31">
        <f t="shared" si="49"/>
        <v>0</v>
      </c>
      <c r="M124" s="80">
        <f t="shared" si="50"/>
        <v>0</v>
      </c>
      <c r="N124" s="80">
        <f t="shared" si="51"/>
        <v>0</v>
      </c>
      <c r="O124" s="6">
        <f t="shared" si="52"/>
        <v>0</v>
      </c>
      <c r="P124" s="37">
        <f t="shared" si="53"/>
        <v>300.14230050000003</v>
      </c>
      <c r="Q124" s="379">
        <f t="shared" si="46"/>
        <v>0</v>
      </c>
    </row>
    <row r="125" spans="1:17" ht="38.25" x14ac:dyDescent="0.25">
      <c r="A125" s="36" t="s">
        <v>286</v>
      </c>
      <c r="B125" s="2" t="s">
        <v>287</v>
      </c>
      <c r="C125" s="371" t="s">
        <v>288</v>
      </c>
      <c r="D125" s="2" t="s">
        <v>21</v>
      </c>
      <c r="E125" s="2" t="s">
        <v>22</v>
      </c>
      <c r="F125" s="9">
        <v>205</v>
      </c>
      <c r="G125" s="10">
        <v>9.59</v>
      </c>
      <c r="H125" s="10">
        <f>G125*$R$6</f>
        <v>12.212865000000001</v>
      </c>
      <c r="I125" s="11">
        <f t="shared" si="48"/>
        <v>2503.6373250000001</v>
      </c>
      <c r="J125" s="31"/>
      <c r="K125" s="32">
        <f>'MEMORIA BM 08'!E116</f>
        <v>0</v>
      </c>
      <c r="L125" s="31">
        <f t="shared" si="49"/>
        <v>0</v>
      </c>
      <c r="M125" s="80">
        <f t="shared" si="50"/>
        <v>0</v>
      </c>
      <c r="N125" s="80">
        <f t="shared" si="51"/>
        <v>0</v>
      </c>
      <c r="O125" s="6">
        <f t="shared" si="52"/>
        <v>0</v>
      </c>
      <c r="P125" s="37">
        <f t="shared" si="53"/>
        <v>2503.6373250000001</v>
      </c>
      <c r="Q125" s="379">
        <f t="shared" si="46"/>
        <v>0</v>
      </c>
    </row>
    <row r="126" spans="1:17" ht="38.25" x14ac:dyDescent="0.25">
      <c r="A126" s="36" t="s">
        <v>289</v>
      </c>
      <c r="B126" s="2" t="s">
        <v>290</v>
      </c>
      <c r="C126" s="371" t="s">
        <v>291</v>
      </c>
      <c r="D126" s="2" t="s">
        <v>21</v>
      </c>
      <c r="E126" s="2" t="s">
        <v>117</v>
      </c>
      <c r="F126" s="9">
        <v>6</v>
      </c>
      <c r="G126" s="10">
        <v>5.3</v>
      </c>
      <c r="H126" s="10">
        <f>G126*$R$6</f>
        <v>6.7495500000000002</v>
      </c>
      <c r="I126" s="11">
        <f t="shared" si="48"/>
        <v>40.497300000000003</v>
      </c>
      <c r="J126" s="31"/>
      <c r="K126" s="32">
        <f>'MEMORIA BM 08'!E117</f>
        <v>0</v>
      </c>
      <c r="L126" s="31">
        <f t="shared" si="49"/>
        <v>0</v>
      </c>
      <c r="M126" s="80">
        <f t="shared" si="50"/>
        <v>0</v>
      </c>
      <c r="N126" s="80">
        <f t="shared" si="51"/>
        <v>0</v>
      </c>
      <c r="O126" s="6">
        <f t="shared" si="52"/>
        <v>0</v>
      </c>
      <c r="P126" s="37">
        <f t="shared" si="53"/>
        <v>40.497300000000003</v>
      </c>
      <c r="Q126" s="379">
        <f t="shared" si="46"/>
        <v>0</v>
      </c>
    </row>
    <row r="127" spans="1:17" ht="38.25" x14ac:dyDescent="0.25">
      <c r="A127" s="36" t="s">
        <v>292</v>
      </c>
      <c r="B127" s="2" t="s">
        <v>293</v>
      </c>
      <c r="C127" s="371" t="s">
        <v>294</v>
      </c>
      <c r="D127" s="2" t="s">
        <v>21</v>
      </c>
      <c r="E127" s="2" t="s">
        <v>117</v>
      </c>
      <c r="F127" s="9">
        <v>14</v>
      </c>
      <c r="G127" s="10">
        <v>7.01</v>
      </c>
      <c r="H127" s="10">
        <f>G127*$R$6</f>
        <v>8.9272349999999996</v>
      </c>
      <c r="I127" s="11">
        <f t="shared" si="48"/>
        <v>124.98129</v>
      </c>
      <c r="J127" s="31"/>
      <c r="K127" s="32">
        <f>'MEMORIA BM 08'!E118</f>
        <v>0</v>
      </c>
      <c r="L127" s="31">
        <f t="shared" si="49"/>
        <v>0</v>
      </c>
      <c r="M127" s="80">
        <f t="shared" si="50"/>
        <v>0</v>
      </c>
      <c r="N127" s="80">
        <f t="shared" si="51"/>
        <v>0</v>
      </c>
      <c r="O127" s="6">
        <f t="shared" si="52"/>
        <v>0</v>
      </c>
      <c r="P127" s="37">
        <f t="shared" si="53"/>
        <v>124.98129</v>
      </c>
      <c r="Q127" s="379">
        <f t="shared" si="46"/>
        <v>0</v>
      </c>
    </row>
    <row r="128" spans="1:17" ht="25.5" x14ac:dyDescent="0.25">
      <c r="A128" s="36" t="s">
        <v>295</v>
      </c>
      <c r="B128" s="2" t="s">
        <v>296</v>
      </c>
      <c r="C128" s="371" t="s">
        <v>297</v>
      </c>
      <c r="D128" s="2" t="s">
        <v>21</v>
      </c>
      <c r="E128" s="2" t="s">
        <v>117</v>
      </c>
      <c r="F128" s="9">
        <v>0</v>
      </c>
      <c r="G128" s="10">
        <v>9.07</v>
      </c>
      <c r="H128" s="10">
        <f>G128*$R$6</f>
        <v>11.550645000000001</v>
      </c>
      <c r="I128" s="11">
        <f t="shared" si="48"/>
        <v>0</v>
      </c>
      <c r="J128" s="5"/>
      <c r="K128" s="32">
        <f>'MEMORIA BM 08'!E119</f>
        <v>0</v>
      </c>
      <c r="L128" s="31">
        <f t="shared" si="49"/>
        <v>0</v>
      </c>
      <c r="M128" s="80">
        <f t="shared" si="50"/>
        <v>0</v>
      </c>
      <c r="N128" s="80">
        <f t="shared" si="51"/>
        <v>0</v>
      </c>
      <c r="O128" s="6">
        <f t="shared" si="52"/>
        <v>0</v>
      </c>
      <c r="P128" s="37">
        <f t="shared" si="53"/>
        <v>0</v>
      </c>
      <c r="Q128" s="379" t="e">
        <f t="shared" si="46"/>
        <v>#DIV/0!</v>
      </c>
    </row>
    <row r="129" spans="1:17" ht="38.25" x14ac:dyDescent="0.25">
      <c r="A129" s="36" t="s">
        <v>298</v>
      </c>
      <c r="B129" s="2" t="s">
        <v>299</v>
      </c>
      <c r="C129" s="371" t="s">
        <v>300</v>
      </c>
      <c r="D129" s="2" t="s">
        <v>21</v>
      </c>
      <c r="E129" s="2" t="s">
        <v>117</v>
      </c>
      <c r="F129" s="9">
        <v>1</v>
      </c>
      <c r="G129" s="10">
        <v>490.95</v>
      </c>
      <c r="H129" s="10">
        <f>G129*$R$6</f>
        <v>625.22482500000001</v>
      </c>
      <c r="I129" s="11">
        <f t="shared" si="48"/>
        <v>625.22482500000001</v>
      </c>
      <c r="J129" s="5"/>
      <c r="K129" s="32">
        <f>'MEMORIA BM 08'!E120</f>
        <v>0</v>
      </c>
      <c r="L129" s="31">
        <f t="shared" si="49"/>
        <v>0</v>
      </c>
      <c r="M129" s="80">
        <f t="shared" si="50"/>
        <v>0</v>
      </c>
      <c r="N129" s="80">
        <f t="shared" si="51"/>
        <v>0</v>
      </c>
      <c r="O129" s="6">
        <f t="shared" si="52"/>
        <v>0</v>
      </c>
      <c r="P129" s="37">
        <f t="shared" si="53"/>
        <v>625.22482500000001</v>
      </c>
      <c r="Q129" s="379">
        <f t="shared" si="46"/>
        <v>0</v>
      </c>
    </row>
    <row r="130" spans="1:17" ht="38.25" x14ac:dyDescent="0.25">
      <c r="A130" s="36" t="s">
        <v>301</v>
      </c>
      <c r="B130" s="2" t="s">
        <v>302</v>
      </c>
      <c r="C130" s="371" t="s">
        <v>303</v>
      </c>
      <c r="D130" s="2" t="s">
        <v>21</v>
      </c>
      <c r="E130" s="2" t="s">
        <v>117</v>
      </c>
      <c r="F130" s="9">
        <v>1</v>
      </c>
      <c r="G130" s="10">
        <v>460.24</v>
      </c>
      <c r="H130" s="10">
        <f>G130*$R$6</f>
        <v>586.1156400000001</v>
      </c>
      <c r="I130" s="11">
        <f t="shared" si="48"/>
        <v>586.1156400000001</v>
      </c>
      <c r="J130" s="5"/>
      <c r="K130" s="32">
        <f>'MEMORIA BM 08'!E121</f>
        <v>0</v>
      </c>
      <c r="L130" s="31">
        <f t="shared" si="49"/>
        <v>0</v>
      </c>
      <c r="M130" s="80">
        <f t="shared" si="50"/>
        <v>0</v>
      </c>
      <c r="N130" s="80">
        <f t="shared" si="51"/>
        <v>0</v>
      </c>
      <c r="O130" s="6">
        <f t="shared" si="52"/>
        <v>0</v>
      </c>
      <c r="P130" s="37">
        <f t="shared" si="53"/>
        <v>586.1156400000001</v>
      </c>
      <c r="Q130" s="379">
        <f t="shared" si="46"/>
        <v>0</v>
      </c>
    </row>
    <row r="131" spans="1:17" x14ac:dyDescent="0.25">
      <c r="A131" s="36" t="s">
        <v>304</v>
      </c>
      <c r="B131" s="2" t="s">
        <v>305</v>
      </c>
      <c r="C131" s="371" t="s">
        <v>306</v>
      </c>
      <c r="D131" s="2"/>
      <c r="E131" s="2" t="s">
        <v>307</v>
      </c>
      <c r="F131" s="9">
        <v>41</v>
      </c>
      <c r="G131" s="10">
        <v>22.26</v>
      </c>
      <c r="H131" s="10">
        <f>G131*$R$6</f>
        <v>28.348110000000002</v>
      </c>
      <c r="I131" s="11">
        <f t="shared" si="48"/>
        <v>1162.27251</v>
      </c>
      <c r="J131" s="5"/>
      <c r="K131" s="32">
        <f>'MEMORIA BM 08'!E122</f>
        <v>0</v>
      </c>
      <c r="L131" s="31">
        <f t="shared" si="49"/>
        <v>0</v>
      </c>
      <c r="M131" s="80">
        <f t="shared" si="50"/>
        <v>0</v>
      </c>
      <c r="N131" s="80">
        <f t="shared" si="51"/>
        <v>0</v>
      </c>
      <c r="O131" s="6">
        <f t="shared" si="52"/>
        <v>0</v>
      </c>
      <c r="P131" s="37">
        <f t="shared" si="53"/>
        <v>1162.27251</v>
      </c>
      <c r="Q131" s="379">
        <f t="shared" si="46"/>
        <v>0</v>
      </c>
    </row>
    <row r="132" spans="1:17" x14ac:dyDescent="0.25">
      <c r="A132" s="36" t="s">
        <v>308</v>
      </c>
      <c r="B132" s="2" t="s">
        <v>309</v>
      </c>
      <c r="C132" s="371" t="s">
        <v>310</v>
      </c>
      <c r="D132" s="2" t="s">
        <v>12</v>
      </c>
      <c r="E132" s="2" t="s">
        <v>17</v>
      </c>
      <c r="F132" s="9">
        <v>6</v>
      </c>
      <c r="G132" s="10">
        <v>71.28</v>
      </c>
      <c r="H132" s="10">
        <f>G132*$R$6</f>
        <v>90.775080000000003</v>
      </c>
      <c r="I132" s="11">
        <f t="shared" si="48"/>
        <v>544.65048000000002</v>
      </c>
      <c r="J132" s="5"/>
      <c r="K132" s="32">
        <f>'MEMORIA BM 08'!E123</f>
        <v>0</v>
      </c>
      <c r="L132" s="31">
        <f t="shared" si="49"/>
        <v>0</v>
      </c>
      <c r="M132" s="80">
        <f t="shared" si="50"/>
        <v>0</v>
      </c>
      <c r="N132" s="80">
        <f t="shared" si="51"/>
        <v>0</v>
      </c>
      <c r="O132" s="6">
        <f t="shared" si="52"/>
        <v>0</v>
      </c>
      <c r="P132" s="37">
        <f t="shared" si="53"/>
        <v>544.65048000000002</v>
      </c>
      <c r="Q132" s="379">
        <f t="shared" si="46"/>
        <v>0</v>
      </c>
    </row>
    <row r="133" spans="1:17" ht="25.5" x14ac:dyDescent="0.25">
      <c r="A133" s="36" t="s">
        <v>311</v>
      </c>
      <c r="B133" s="2" t="s">
        <v>312</v>
      </c>
      <c r="C133" s="371" t="s">
        <v>313</v>
      </c>
      <c r="D133" s="2" t="s">
        <v>21</v>
      </c>
      <c r="E133" s="2" t="s">
        <v>117</v>
      </c>
      <c r="F133" s="9">
        <v>11</v>
      </c>
      <c r="G133" s="10">
        <v>26.34</v>
      </c>
      <c r="H133" s="10">
        <f>G133*$R$6</f>
        <v>33.543990000000001</v>
      </c>
      <c r="I133" s="11">
        <f t="shared" si="48"/>
        <v>368.98389000000003</v>
      </c>
      <c r="J133" s="5"/>
      <c r="K133" s="32">
        <f>'MEMORIA BM 08'!E124</f>
        <v>0</v>
      </c>
      <c r="L133" s="31">
        <f t="shared" si="49"/>
        <v>0</v>
      </c>
      <c r="M133" s="80">
        <f t="shared" si="50"/>
        <v>0</v>
      </c>
      <c r="N133" s="80">
        <f t="shared" si="51"/>
        <v>0</v>
      </c>
      <c r="O133" s="6">
        <f t="shared" si="52"/>
        <v>0</v>
      </c>
      <c r="P133" s="37">
        <f t="shared" si="53"/>
        <v>368.98389000000003</v>
      </c>
      <c r="Q133" s="379">
        <f t="shared" si="46"/>
        <v>0</v>
      </c>
    </row>
    <row r="134" spans="1:17" ht="38.25" x14ac:dyDescent="0.25">
      <c r="A134" s="36" t="s">
        <v>314</v>
      </c>
      <c r="B134" s="2" t="s">
        <v>315</v>
      </c>
      <c r="C134" s="371" t="s">
        <v>316</v>
      </c>
      <c r="D134" s="2" t="s">
        <v>21</v>
      </c>
      <c r="E134" s="2" t="s">
        <v>117</v>
      </c>
      <c r="F134" s="9">
        <v>8</v>
      </c>
      <c r="G134" s="10">
        <v>30.42</v>
      </c>
      <c r="H134" s="10">
        <f>G134*$R$6</f>
        <v>38.739870000000003</v>
      </c>
      <c r="I134" s="11">
        <f t="shared" si="48"/>
        <v>309.91896000000003</v>
      </c>
      <c r="J134" s="5"/>
      <c r="K134" s="32">
        <f>'MEMORIA BM 08'!E125</f>
        <v>0</v>
      </c>
      <c r="L134" s="31">
        <f t="shared" si="49"/>
        <v>0</v>
      </c>
      <c r="M134" s="80">
        <f t="shared" si="50"/>
        <v>0</v>
      </c>
      <c r="N134" s="80">
        <f t="shared" si="51"/>
        <v>0</v>
      </c>
      <c r="O134" s="6">
        <f t="shared" si="52"/>
        <v>0</v>
      </c>
      <c r="P134" s="37">
        <f t="shared" si="53"/>
        <v>309.91896000000003</v>
      </c>
      <c r="Q134" s="379">
        <f t="shared" si="46"/>
        <v>0</v>
      </c>
    </row>
    <row r="135" spans="1:17" ht="38.25" x14ac:dyDescent="0.25">
      <c r="A135" s="36" t="s">
        <v>317</v>
      </c>
      <c r="B135" s="2" t="s">
        <v>318</v>
      </c>
      <c r="C135" s="371" t="s">
        <v>319</v>
      </c>
      <c r="D135" s="2" t="s">
        <v>21</v>
      </c>
      <c r="E135" s="2" t="s">
        <v>117</v>
      </c>
      <c r="F135" s="9">
        <v>1</v>
      </c>
      <c r="G135" s="10">
        <v>54.64</v>
      </c>
      <c r="H135" s="10">
        <f>G135*$R$6</f>
        <v>69.584040000000002</v>
      </c>
      <c r="I135" s="11">
        <f t="shared" si="48"/>
        <v>69.584040000000002</v>
      </c>
      <c r="J135" s="5"/>
      <c r="K135" s="32">
        <f>'MEMORIA BM 08'!E126</f>
        <v>0</v>
      </c>
      <c r="L135" s="31">
        <f t="shared" si="49"/>
        <v>0</v>
      </c>
      <c r="M135" s="80">
        <f t="shared" si="50"/>
        <v>0</v>
      </c>
      <c r="N135" s="80">
        <f t="shared" si="51"/>
        <v>0</v>
      </c>
      <c r="O135" s="6">
        <f t="shared" si="52"/>
        <v>0</v>
      </c>
      <c r="P135" s="37">
        <f t="shared" si="53"/>
        <v>69.584040000000002</v>
      </c>
      <c r="Q135" s="379">
        <f t="shared" si="46"/>
        <v>0</v>
      </c>
    </row>
    <row r="136" spans="1:17" ht="38.25" x14ac:dyDescent="0.25">
      <c r="A136" s="36" t="s">
        <v>320</v>
      </c>
      <c r="B136" s="2" t="s">
        <v>321</v>
      </c>
      <c r="C136" s="371" t="s">
        <v>322</v>
      </c>
      <c r="D136" s="2" t="s">
        <v>21</v>
      </c>
      <c r="E136" s="2" t="s">
        <v>117</v>
      </c>
      <c r="F136" s="9">
        <v>6</v>
      </c>
      <c r="G136" s="10">
        <v>85.63</v>
      </c>
      <c r="H136" s="10">
        <f>G136*$R$6</f>
        <v>109.04980500000001</v>
      </c>
      <c r="I136" s="11">
        <f t="shared" si="48"/>
        <v>654.29883000000007</v>
      </c>
      <c r="J136" s="5"/>
      <c r="K136" s="32">
        <f>'MEMORIA BM 08'!E127</f>
        <v>0</v>
      </c>
      <c r="L136" s="31">
        <f t="shared" si="49"/>
        <v>0</v>
      </c>
      <c r="M136" s="80">
        <f t="shared" si="50"/>
        <v>0</v>
      </c>
      <c r="N136" s="80">
        <f t="shared" si="51"/>
        <v>0</v>
      </c>
      <c r="O136" s="6">
        <f t="shared" si="52"/>
        <v>0</v>
      </c>
      <c r="P136" s="37">
        <f t="shared" si="53"/>
        <v>654.29883000000007</v>
      </c>
      <c r="Q136" s="379">
        <f t="shared" si="46"/>
        <v>0</v>
      </c>
    </row>
    <row r="137" spans="1:17" ht="38.25" x14ac:dyDescent="0.25">
      <c r="A137" s="36" t="s">
        <v>323</v>
      </c>
      <c r="B137" s="2" t="s">
        <v>324</v>
      </c>
      <c r="C137" s="371" t="s">
        <v>325</v>
      </c>
      <c r="D137" s="2" t="s">
        <v>21</v>
      </c>
      <c r="E137" s="2" t="s">
        <v>117</v>
      </c>
      <c r="F137" s="9">
        <v>81</v>
      </c>
      <c r="G137" s="10">
        <v>117.08</v>
      </c>
      <c r="H137" s="10">
        <f>G137*$R$6</f>
        <v>149.10138000000001</v>
      </c>
      <c r="I137" s="11">
        <f t="shared" si="48"/>
        <v>12077.21178</v>
      </c>
      <c r="J137" s="5"/>
      <c r="K137" s="32">
        <f>'MEMORIA BM 08'!E128</f>
        <v>0</v>
      </c>
      <c r="L137" s="31">
        <f t="shared" si="49"/>
        <v>0</v>
      </c>
      <c r="M137" s="80">
        <f t="shared" si="50"/>
        <v>0</v>
      </c>
      <c r="N137" s="80">
        <f t="shared" si="51"/>
        <v>0</v>
      </c>
      <c r="O137" s="6">
        <f t="shared" si="52"/>
        <v>0</v>
      </c>
      <c r="P137" s="37">
        <f t="shared" si="53"/>
        <v>12077.21178</v>
      </c>
      <c r="Q137" s="379">
        <f t="shared" si="46"/>
        <v>0</v>
      </c>
    </row>
    <row r="138" spans="1:17" ht="38.25" x14ac:dyDescent="0.25">
      <c r="A138" s="36" t="s">
        <v>326</v>
      </c>
      <c r="B138" s="2" t="s">
        <v>327</v>
      </c>
      <c r="C138" s="371" t="s">
        <v>328</v>
      </c>
      <c r="D138" s="2" t="s">
        <v>21</v>
      </c>
      <c r="E138" s="2" t="s">
        <v>22</v>
      </c>
      <c r="F138" s="9">
        <v>64.95</v>
      </c>
      <c r="G138" s="10">
        <v>13.87</v>
      </c>
      <c r="H138" s="10">
        <f>G138*$R$6</f>
        <v>17.663444999999999</v>
      </c>
      <c r="I138" s="11">
        <f t="shared" si="48"/>
        <v>1147.24075275</v>
      </c>
      <c r="J138" s="5"/>
      <c r="K138" s="32">
        <f>'MEMORIA BM 08'!E129</f>
        <v>0</v>
      </c>
      <c r="L138" s="31">
        <f t="shared" si="49"/>
        <v>0</v>
      </c>
      <c r="M138" s="80">
        <f t="shared" si="50"/>
        <v>0</v>
      </c>
      <c r="N138" s="80">
        <f t="shared" si="51"/>
        <v>0</v>
      </c>
      <c r="O138" s="6">
        <f t="shared" si="52"/>
        <v>0</v>
      </c>
      <c r="P138" s="37">
        <f t="shared" si="53"/>
        <v>1147.24075275</v>
      </c>
      <c r="Q138" s="379">
        <f t="shared" si="46"/>
        <v>0</v>
      </c>
    </row>
    <row r="139" spans="1:17" ht="38.25" x14ac:dyDescent="0.25">
      <c r="A139" s="36" t="s">
        <v>329</v>
      </c>
      <c r="B139" s="2" t="s">
        <v>327</v>
      </c>
      <c r="C139" s="371" t="s">
        <v>328</v>
      </c>
      <c r="D139" s="2" t="s">
        <v>21</v>
      </c>
      <c r="E139" s="2" t="s">
        <v>22</v>
      </c>
      <c r="F139" s="9">
        <v>21.65</v>
      </c>
      <c r="G139" s="10">
        <v>13.87</v>
      </c>
      <c r="H139" s="10">
        <f>G139*$R$6</f>
        <v>17.663444999999999</v>
      </c>
      <c r="I139" s="11">
        <f t="shared" si="48"/>
        <v>382.41358424999999</v>
      </c>
      <c r="J139" s="5"/>
      <c r="K139" s="32">
        <f>'MEMORIA BM 08'!E130</f>
        <v>0</v>
      </c>
      <c r="L139" s="31">
        <f t="shared" si="49"/>
        <v>0</v>
      </c>
      <c r="M139" s="80">
        <f t="shared" si="50"/>
        <v>0</v>
      </c>
      <c r="N139" s="80">
        <f t="shared" si="51"/>
        <v>0</v>
      </c>
      <c r="O139" s="6">
        <f t="shared" si="52"/>
        <v>0</v>
      </c>
      <c r="P139" s="37">
        <f t="shared" si="53"/>
        <v>382.41358424999999</v>
      </c>
      <c r="Q139" s="379">
        <f t="shared" si="46"/>
        <v>0</v>
      </c>
    </row>
    <row r="140" spans="1:17" ht="38.25" x14ac:dyDescent="0.25">
      <c r="A140" s="36" t="s">
        <v>330</v>
      </c>
      <c r="B140" s="2" t="s">
        <v>327</v>
      </c>
      <c r="C140" s="371" t="s">
        <v>328</v>
      </c>
      <c r="D140" s="2" t="s">
        <v>21</v>
      </c>
      <c r="E140" s="2" t="s">
        <v>22</v>
      </c>
      <c r="F140" s="9">
        <v>30.65</v>
      </c>
      <c r="G140" s="10">
        <v>13.87</v>
      </c>
      <c r="H140" s="10">
        <f>G140*$R$6</f>
        <v>17.663444999999999</v>
      </c>
      <c r="I140" s="11">
        <f t="shared" si="48"/>
        <v>541.38458924999998</v>
      </c>
      <c r="J140" s="5"/>
      <c r="K140" s="32">
        <f>'MEMORIA BM 08'!E131</f>
        <v>0</v>
      </c>
      <c r="L140" s="31">
        <f t="shared" si="49"/>
        <v>0</v>
      </c>
      <c r="M140" s="80">
        <f t="shared" si="50"/>
        <v>0</v>
      </c>
      <c r="N140" s="80">
        <f t="shared" si="51"/>
        <v>0</v>
      </c>
      <c r="O140" s="6">
        <f t="shared" si="52"/>
        <v>0</v>
      </c>
      <c r="P140" s="37">
        <f t="shared" si="53"/>
        <v>541.38458924999998</v>
      </c>
      <c r="Q140" s="379">
        <f t="shared" si="46"/>
        <v>0</v>
      </c>
    </row>
    <row r="141" spans="1:17" ht="25.5" x14ac:dyDescent="0.25">
      <c r="A141" s="36" t="s">
        <v>331</v>
      </c>
      <c r="B141" s="2" t="s">
        <v>332</v>
      </c>
      <c r="C141" s="371" t="s">
        <v>333</v>
      </c>
      <c r="D141" s="2" t="s">
        <v>12</v>
      </c>
      <c r="E141" s="2" t="s">
        <v>17</v>
      </c>
      <c r="F141" s="9">
        <v>4</v>
      </c>
      <c r="G141" s="10">
        <v>137.51</v>
      </c>
      <c r="H141" s="10">
        <f>G141*$R$6</f>
        <v>175.11898500000001</v>
      </c>
      <c r="I141" s="11">
        <f t="shared" si="48"/>
        <v>700.47594000000004</v>
      </c>
      <c r="J141" s="5"/>
      <c r="K141" s="32">
        <f>'MEMORIA BM 08'!E132</f>
        <v>0</v>
      </c>
      <c r="L141" s="31">
        <f t="shared" si="49"/>
        <v>0</v>
      </c>
      <c r="M141" s="80">
        <f t="shared" si="50"/>
        <v>0</v>
      </c>
      <c r="N141" s="80">
        <f t="shared" si="51"/>
        <v>0</v>
      </c>
      <c r="O141" s="6">
        <f t="shared" si="52"/>
        <v>0</v>
      </c>
      <c r="P141" s="37">
        <f t="shared" si="53"/>
        <v>700.47594000000004</v>
      </c>
      <c r="Q141" s="379">
        <f t="shared" si="46"/>
        <v>0</v>
      </c>
    </row>
    <row r="142" spans="1:17" ht="25.5" x14ac:dyDescent="0.25">
      <c r="A142" s="36" t="s">
        <v>334</v>
      </c>
      <c r="B142" s="2" t="s">
        <v>335</v>
      </c>
      <c r="C142" s="371" t="s">
        <v>336</v>
      </c>
      <c r="D142" s="2" t="s">
        <v>21</v>
      </c>
      <c r="E142" s="2" t="s">
        <v>117</v>
      </c>
      <c r="F142" s="9">
        <v>15</v>
      </c>
      <c r="G142" s="10">
        <v>8.34</v>
      </c>
      <c r="H142" s="10">
        <f>G142*$R$6</f>
        <v>10.620990000000001</v>
      </c>
      <c r="I142" s="11">
        <f t="shared" si="48"/>
        <v>159.31485000000001</v>
      </c>
      <c r="J142" s="5"/>
      <c r="K142" s="32">
        <f>'MEMORIA BM 08'!E133</f>
        <v>0</v>
      </c>
      <c r="L142" s="31">
        <f t="shared" si="49"/>
        <v>0</v>
      </c>
      <c r="M142" s="80">
        <f t="shared" si="50"/>
        <v>0</v>
      </c>
      <c r="N142" s="80">
        <f t="shared" si="51"/>
        <v>0</v>
      </c>
      <c r="O142" s="6">
        <f t="shared" si="52"/>
        <v>0</v>
      </c>
      <c r="P142" s="37">
        <f t="shared" si="53"/>
        <v>159.31485000000001</v>
      </c>
      <c r="Q142" s="379">
        <f t="shared" si="46"/>
        <v>0</v>
      </c>
    </row>
    <row r="143" spans="1:17" ht="25.5" x14ac:dyDescent="0.25">
      <c r="A143" s="36" t="s">
        <v>337</v>
      </c>
      <c r="B143" s="2" t="s">
        <v>338</v>
      </c>
      <c r="C143" s="371" t="s">
        <v>339</v>
      </c>
      <c r="D143" s="2" t="s">
        <v>21</v>
      </c>
      <c r="E143" s="2" t="s">
        <v>117</v>
      </c>
      <c r="F143" s="9">
        <v>3</v>
      </c>
      <c r="G143" s="10">
        <v>7.22</v>
      </c>
      <c r="H143" s="10">
        <f>G143*$R$6</f>
        <v>9.1946700000000003</v>
      </c>
      <c r="I143" s="11">
        <f t="shared" si="48"/>
        <v>27.584009999999999</v>
      </c>
      <c r="J143" s="5"/>
      <c r="K143" s="32">
        <f>'MEMORIA BM 08'!E134</f>
        <v>0</v>
      </c>
      <c r="L143" s="31">
        <f t="shared" si="49"/>
        <v>0</v>
      </c>
      <c r="M143" s="80">
        <f t="shared" si="50"/>
        <v>0</v>
      </c>
      <c r="N143" s="80">
        <f t="shared" si="51"/>
        <v>0</v>
      </c>
      <c r="O143" s="6">
        <f t="shared" si="52"/>
        <v>0</v>
      </c>
      <c r="P143" s="37">
        <f t="shared" si="53"/>
        <v>27.584009999999999</v>
      </c>
      <c r="Q143" s="379">
        <f t="shared" si="46"/>
        <v>0</v>
      </c>
    </row>
    <row r="144" spans="1:17" ht="25.5" x14ac:dyDescent="0.25">
      <c r="A144" s="36" t="s">
        <v>340</v>
      </c>
      <c r="B144" s="2" t="s">
        <v>341</v>
      </c>
      <c r="C144" s="371" t="s">
        <v>342</v>
      </c>
      <c r="D144" s="2" t="s">
        <v>21</v>
      </c>
      <c r="E144" s="2" t="s">
        <v>117</v>
      </c>
      <c r="F144" s="9">
        <v>2</v>
      </c>
      <c r="G144" s="10">
        <v>57.46</v>
      </c>
      <c r="H144" s="10">
        <f>G144*$R$6</f>
        <v>73.17531000000001</v>
      </c>
      <c r="I144" s="11">
        <f t="shared" si="48"/>
        <v>146.35062000000002</v>
      </c>
      <c r="J144" s="5"/>
      <c r="K144" s="32">
        <f>'MEMORIA BM 08'!E135</f>
        <v>0</v>
      </c>
      <c r="L144" s="31">
        <f t="shared" si="49"/>
        <v>0</v>
      </c>
      <c r="M144" s="80">
        <f t="shared" si="50"/>
        <v>0</v>
      </c>
      <c r="N144" s="80">
        <f t="shared" si="51"/>
        <v>0</v>
      </c>
      <c r="O144" s="6">
        <f t="shared" si="52"/>
        <v>0</v>
      </c>
      <c r="P144" s="37">
        <f t="shared" si="53"/>
        <v>146.35062000000002</v>
      </c>
      <c r="Q144" s="379">
        <f t="shared" si="46"/>
        <v>0</v>
      </c>
    </row>
    <row r="145" spans="1:17" ht="25.5" x14ac:dyDescent="0.25">
      <c r="A145" s="36" t="s">
        <v>343</v>
      </c>
      <c r="B145" s="2" t="s">
        <v>341</v>
      </c>
      <c r="C145" s="371" t="s">
        <v>342</v>
      </c>
      <c r="D145" s="2" t="s">
        <v>21</v>
      </c>
      <c r="E145" s="2" t="s">
        <v>117</v>
      </c>
      <c r="F145" s="9">
        <v>2</v>
      </c>
      <c r="G145" s="10">
        <v>57.46</v>
      </c>
      <c r="H145" s="10">
        <f>G145*$R$6</f>
        <v>73.17531000000001</v>
      </c>
      <c r="I145" s="11">
        <f t="shared" si="48"/>
        <v>146.35062000000002</v>
      </c>
      <c r="J145" s="5"/>
      <c r="K145" s="32">
        <f>'MEMORIA BM 08'!E136</f>
        <v>0</v>
      </c>
      <c r="L145" s="31">
        <f t="shared" si="49"/>
        <v>0</v>
      </c>
      <c r="M145" s="80">
        <f t="shared" si="50"/>
        <v>0</v>
      </c>
      <c r="N145" s="80">
        <f t="shared" si="51"/>
        <v>0</v>
      </c>
      <c r="O145" s="6">
        <f t="shared" si="52"/>
        <v>0</v>
      </c>
      <c r="P145" s="37">
        <f t="shared" si="53"/>
        <v>146.35062000000002</v>
      </c>
      <c r="Q145" s="379">
        <f t="shared" si="46"/>
        <v>0</v>
      </c>
    </row>
    <row r="146" spans="1:17" ht="38.25" x14ac:dyDescent="0.25">
      <c r="A146" s="36" t="s">
        <v>344</v>
      </c>
      <c r="B146" s="2" t="s">
        <v>345</v>
      </c>
      <c r="C146" s="371" t="s">
        <v>346</v>
      </c>
      <c r="D146" s="2" t="s">
        <v>21</v>
      </c>
      <c r="E146" s="2" t="s">
        <v>22</v>
      </c>
      <c r="F146" s="9">
        <v>585.29999999999995</v>
      </c>
      <c r="G146" s="10">
        <v>5.22</v>
      </c>
      <c r="H146" s="10">
        <f>G146*$R$6</f>
        <v>6.6476699999999997</v>
      </c>
      <c r="I146" s="11">
        <f t="shared" si="48"/>
        <v>3890.8812509999993</v>
      </c>
      <c r="J146" s="5"/>
      <c r="K146" s="32">
        <f>'MEMORIA BM 08'!E137</f>
        <v>0</v>
      </c>
      <c r="L146" s="31">
        <f t="shared" si="49"/>
        <v>0</v>
      </c>
      <c r="M146" s="80">
        <f t="shared" si="50"/>
        <v>0</v>
      </c>
      <c r="N146" s="80">
        <f t="shared" si="51"/>
        <v>0</v>
      </c>
      <c r="O146" s="6">
        <f t="shared" si="52"/>
        <v>0</v>
      </c>
      <c r="P146" s="37">
        <f t="shared" si="53"/>
        <v>3890.8812509999993</v>
      </c>
      <c r="Q146" s="379">
        <f t="shared" si="46"/>
        <v>0</v>
      </c>
    </row>
    <row r="147" spans="1:17" ht="38.25" x14ac:dyDescent="0.25">
      <c r="A147" s="36" t="s">
        <v>347</v>
      </c>
      <c r="B147" s="2" t="s">
        <v>348</v>
      </c>
      <c r="C147" s="371" t="s">
        <v>349</v>
      </c>
      <c r="D147" s="2" t="s">
        <v>21</v>
      </c>
      <c r="E147" s="2" t="s">
        <v>22</v>
      </c>
      <c r="F147" s="9">
        <v>451.74</v>
      </c>
      <c r="G147" s="10">
        <v>2.14</v>
      </c>
      <c r="H147" s="10">
        <f>G147*$R$6</f>
        <v>2.7252900000000002</v>
      </c>
      <c r="I147" s="11">
        <f t="shared" si="48"/>
        <v>1231.1225046000002</v>
      </c>
      <c r="J147" s="5"/>
      <c r="K147" s="32">
        <f>'MEMORIA BM 08'!E138</f>
        <v>0</v>
      </c>
      <c r="L147" s="31">
        <f t="shared" si="49"/>
        <v>0</v>
      </c>
      <c r="M147" s="80">
        <f t="shared" si="50"/>
        <v>0</v>
      </c>
      <c r="N147" s="80">
        <f t="shared" si="51"/>
        <v>0</v>
      </c>
      <c r="O147" s="6">
        <f t="shared" si="52"/>
        <v>0</v>
      </c>
      <c r="P147" s="37">
        <f t="shared" si="53"/>
        <v>1231.1225046000002</v>
      </c>
      <c r="Q147" s="379">
        <f t="shared" si="46"/>
        <v>0</v>
      </c>
    </row>
    <row r="148" spans="1:17" x14ac:dyDescent="0.25">
      <c r="A148" s="36" t="s">
        <v>350</v>
      </c>
      <c r="B148" s="2" t="s">
        <v>351</v>
      </c>
      <c r="C148" s="371" t="s">
        <v>352</v>
      </c>
      <c r="D148" s="2"/>
      <c r="E148" s="2" t="s">
        <v>353</v>
      </c>
      <c r="F148" s="9">
        <v>1</v>
      </c>
      <c r="G148" s="10">
        <v>180</v>
      </c>
      <c r="H148" s="10">
        <f>G148*$R$6</f>
        <v>229.23000000000002</v>
      </c>
      <c r="I148" s="11">
        <f t="shared" si="48"/>
        <v>229.23000000000002</v>
      </c>
      <c r="J148" s="5"/>
      <c r="K148" s="32">
        <f>'MEMORIA BM 08'!E139</f>
        <v>0</v>
      </c>
      <c r="L148" s="31">
        <f t="shared" si="49"/>
        <v>0</v>
      </c>
      <c r="M148" s="80">
        <f t="shared" si="50"/>
        <v>0</v>
      </c>
      <c r="N148" s="80">
        <f t="shared" si="51"/>
        <v>0</v>
      </c>
      <c r="O148" s="6">
        <f t="shared" si="52"/>
        <v>0</v>
      </c>
      <c r="P148" s="37">
        <f t="shared" si="53"/>
        <v>229.23000000000002</v>
      </c>
      <c r="Q148" s="379">
        <f t="shared" si="46"/>
        <v>0</v>
      </c>
    </row>
    <row r="149" spans="1:17" ht="25.5" x14ac:dyDescent="0.25">
      <c r="A149" s="36" t="s">
        <v>354</v>
      </c>
      <c r="B149" s="2" t="s">
        <v>355</v>
      </c>
      <c r="C149" s="371" t="s">
        <v>356</v>
      </c>
      <c r="D149" s="2" t="s">
        <v>21</v>
      </c>
      <c r="E149" s="2" t="s">
        <v>117</v>
      </c>
      <c r="F149" s="9">
        <v>3</v>
      </c>
      <c r="G149" s="10">
        <v>31.04</v>
      </c>
      <c r="H149" s="10">
        <f>G149*$R$6</f>
        <v>39.529440000000001</v>
      </c>
      <c r="I149" s="11">
        <f t="shared" si="48"/>
        <v>118.58832000000001</v>
      </c>
      <c r="J149" s="5"/>
      <c r="K149" s="32">
        <f>'MEMORIA BM 08'!E140</f>
        <v>0</v>
      </c>
      <c r="L149" s="31">
        <f t="shared" si="49"/>
        <v>0</v>
      </c>
      <c r="M149" s="80">
        <f t="shared" si="50"/>
        <v>0</v>
      </c>
      <c r="N149" s="80">
        <f t="shared" si="51"/>
        <v>0</v>
      </c>
      <c r="O149" s="6">
        <f t="shared" si="52"/>
        <v>0</v>
      </c>
      <c r="P149" s="37">
        <f t="shared" si="53"/>
        <v>118.58832000000001</v>
      </c>
      <c r="Q149" s="379">
        <f t="shared" si="46"/>
        <v>0</v>
      </c>
    </row>
    <row r="150" spans="1:17" x14ac:dyDescent="0.25">
      <c r="A150" s="36" t="s">
        <v>357</v>
      </c>
      <c r="B150" s="2" t="s">
        <v>351</v>
      </c>
      <c r="C150" s="371" t="s">
        <v>352</v>
      </c>
      <c r="D150" s="2"/>
      <c r="E150" s="2" t="s">
        <v>307</v>
      </c>
      <c r="F150" s="9">
        <v>3</v>
      </c>
      <c r="G150" s="10">
        <v>4.0199999999999996</v>
      </c>
      <c r="H150" s="10">
        <f>G150*$R$6</f>
        <v>5.1194699999999997</v>
      </c>
      <c r="I150" s="11">
        <f t="shared" si="48"/>
        <v>15.358409999999999</v>
      </c>
      <c r="J150" s="5"/>
      <c r="K150" s="32">
        <f>'MEMORIA BM 08'!E141</f>
        <v>0</v>
      </c>
      <c r="L150" s="31">
        <f t="shared" si="49"/>
        <v>0</v>
      </c>
      <c r="M150" s="80">
        <f t="shared" si="50"/>
        <v>0</v>
      </c>
      <c r="N150" s="80">
        <f t="shared" si="51"/>
        <v>0</v>
      </c>
      <c r="O150" s="6">
        <f t="shared" si="52"/>
        <v>0</v>
      </c>
      <c r="P150" s="37">
        <f t="shared" si="53"/>
        <v>15.358409999999999</v>
      </c>
      <c r="Q150" s="379">
        <f t="shared" si="46"/>
        <v>0</v>
      </c>
    </row>
    <row r="151" spans="1:17" x14ac:dyDescent="0.25">
      <c r="A151" s="36" t="s">
        <v>358</v>
      </c>
      <c r="B151" s="2" t="s">
        <v>359</v>
      </c>
      <c r="C151" s="371" t="s">
        <v>360</v>
      </c>
      <c r="D151" s="2" t="s">
        <v>12</v>
      </c>
      <c r="E151" s="2" t="s">
        <v>361</v>
      </c>
      <c r="F151" s="9">
        <v>0.5</v>
      </c>
      <c r="G151" s="10">
        <v>20.49</v>
      </c>
      <c r="H151" s="10">
        <f>G151*$R$6</f>
        <v>26.094014999999999</v>
      </c>
      <c r="I151" s="11">
        <f t="shared" si="48"/>
        <v>13.047007499999999</v>
      </c>
      <c r="J151" s="5"/>
      <c r="K151" s="32">
        <f>'MEMORIA BM 08'!E142</f>
        <v>0</v>
      </c>
      <c r="L151" s="31">
        <f t="shared" si="49"/>
        <v>0</v>
      </c>
      <c r="M151" s="80">
        <f t="shared" si="50"/>
        <v>0</v>
      </c>
      <c r="N151" s="80">
        <f t="shared" si="51"/>
        <v>0</v>
      </c>
      <c r="O151" s="6">
        <f t="shared" si="52"/>
        <v>0</v>
      </c>
      <c r="P151" s="37">
        <f t="shared" si="53"/>
        <v>13.047007499999999</v>
      </c>
      <c r="Q151" s="379">
        <f t="shared" si="46"/>
        <v>0</v>
      </c>
    </row>
    <row r="152" spans="1:17" ht="25.5" x14ac:dyDescent="0.25">
      <c r="A152" s="36" t="s">
        <v>362</v>
      </c>
      <c r="B152" s="2" t="s">
        <v>363</v>
      </c>
      <c r="C152" s="371" t="s">
        <v>364</v>
      </c>
      <c r="D152" s="2" t="s">
        <v>21</v>
      </c>
      <c r="E152" s="2" t="s">
        <v>117</v>
      </c>
      <c r="F152" s="9">
        <v>3</v>
      </c>
      <c r="G152" s="10">
        <v>47.34</v>
      </c>
      <c r="H152" s="10">
        <f>G152*$R$6</f>
        <v>60.287490000000005</v>
      </c>
      <c r="I152" s="11">
        <f t="shared" si="48"/>
        <v>180.86247000000003</v>
      </c>
      <c r="J152" s="5"/>
      <c r="K152" s="32">
        <f>'MEMORIA BM 08'!E143</f>
        <v>0</v>
      </c>
      <c r="L152" s="31">
        <f t="shared" si="49"/>
        <v>0</v>
      </c>
      <c r="M152" s="80">
        <f t="shared" si="50"/>
        <v>0</v>
      </c>
      <c r="N152" s="80">
        <f t="shared" si="51"/>
        <v>0</v>
      </c>
      <c r="O152" s="6">
        <f t="shared" si="52"/>
        <v>0</v>
      </c>
      <c r="P152" s="37">
        <f t="shared" si="53"/>
        <v>180.86247000000003</v>
      </c>
      <c r="Q152" s="379">
        <f t="shared" si="46"/>
        <v>0</v>
      </c>
    </row>
    <row r="153" spans="1:17" x14ac:dyDescent="0.25">
      <c r="A153" s="36" t="s">
        <v>365</v>
      </c>
      <c r="B153" s="2" t="s">
        <v>366</v>
      </c>
      <c r="C153" s="371" t="s">
        <v>367</v>
      </c>
      <c r="D153" s="2" t="s">
        <v>12</v>
      </c>
      <c r="E153" s="2" t="s">
        <v>252</v>
      </c>
      <c r="F153" s="9">
        <v>10</v>
      </c>
      <c r="G153" s="10">
        <v>9.59</v>
      </c>
      <c r="H153" s="10">
        <f>G153*$R$6</f>
        <v>12.212865000000001</v>
      </c>
      <c r="I153" s="11">
        <f t="shared" si="48"/>
        <v>122.12865000000001</v>
      </c>
      <c r="J153" s="5"/>
      <c r="K153" s="32">
        <f>'MEMORIA BM 08'!E144</f>
        <v>0</v>
      </c>
      <c r="L153" s="31">
        <f t="shared" si="49"/>
        <v>0</v>
      </c>
      <c r="M153" s="80">
        <f t="shared" si="50"/>
        <v>0</v>
      </c>
      <c r="N153" s="80">
        <f t="shared" si="51"/>
        <v>0</v>
      </c>
      <c r="O153" s="6">
        <f t="shared" si="52"/>
        <v>0</v>
      </c>
      <c r="P153" s="37">
        <f t="shared" si="53"/>
        <v>122.12865000000001</v>
      </c>
      <c r="Q153" s="379">
        <f t="shared" si="46"/>
        <v>0</v>
      </c>
    </row>
    <row r="154" spans="1:17" ht="38.25" x14ac:dyDescent="0.25">
      <c r="A154" s="36" t="s">
        <v>368</v>
      </c>
      <c r="B154" s="2" t="s">
        <v>369</v>
      </c>
      <c r="C154" s="371" t="s">
        <v>370</v>
      </c>
      <c r="D154" s="2" t="s">
        <v>21</v>
      </c>
      <c r="E154" s="2" t="s">
        <v>22</v>
      </c>
      <c r="F154" s="9">
        <v>585.29999999999995</v>
      </c>
      <c r="G154" s="10">
        <v>3.16</v>
      </c>
      <c r="H154" s="10">
        <f>G154*$R$6</f>
        <v>4.0242600000000008</v>
      </c>
      <c r="I154" s="11">
        <f t="shared" si="48"/>
        <v>2355.3993780000005</v>
      </c>
      <c r="J154" s="5"/>
      <c r="K154" s="32">
        <f>'MEMORIA BM 08'!E145</f>
        <v>0</v>
      </c>
      <c r="L154" s="31">
        <f t="shared" si="49"/>
        <v>0</v>
      </c>
      <c r="M154" s="80">
        <f t="shared" si="50"/>
        <v>0</v>
      </c>
      <c r="N154" s="80">
        <f t="shared" si="51"/>
        <v>0</v>
      </c>
      <c r="O154" s="6">
        <f t="shared" si="52"/>
        <v>0</v>
      </c>
      <c r="P154" s="37">
        <f t="shared" si="53"/>
        <v>2355.3993780000005</v>
      </c>
      <c r="Q154" s="379">
        <f t="shared" si="46"/>
        <v>0</v>
      </c>
    </row>
    <row r="155" spans="1:17" ht="38.25" x14ac:dyDescent="0.25">
      <c r="A155" s="36" t="s">
        <v>371</v>
      </c>
      <c r="B155" s="2" t="s">
        <v>348</v>
      </c>
      <c r="C155" s="371" t="s">
        <v>349</v>
      </c>
      <c r="D155" s="2" t="s">
        <v>21</v>
      </c>
      <c r="E155" s="2" t="s">
        <v>22</v>
      </c>
      <c r="F155" s="9">
        <v>451.74</v>
      </c>
      <c r="G155" s="10">
        <v>2.14</v>
      </c>
      <c r="H155" s="10">
        <f>G155*$R$6</f>
        <v>2.7252900000000002</v>
      </c>
      <c r="I155" s="11">
        <f t="shared" si="48"/>
        <v>1231.1225046000002</v>
      </c>
      <c r="J155" s="5"/>
      <c r="K155" s="32">
        <f>'MEMORIA BM 08'!E146</f>
        <v>0</v>
      </c>
      <c r="L155" s="31">
        <f t="shared" si="49"/>
        <v>0</v>
      </c>
      <c r="M155" s="80">
        <f t="shared" si="50"/>
        <v>0</v>
      </c>
      <c r="N155" s="80">
        <f t="shared" si="51"/>
        <v>0</v>
      </c>
      <c r="O155" s="6">
        <f t="shared" si="52"/>
        <v>0</v>
      </c>
      <c r="P155" s="37">
        <f t="shared" si="53"/>
        <v>1231.1225046000002</v>
      </c>
      <c r="Q155" s="379">
        <f t="shared" si="46"/>
        <v>0</v>
      </c>
    </row>
    <row r="156" spans="1:17" ht="38.25" x14ac:dyDescent="0.25">
      <c r="A156" s="36" t="s">
        <v>372</v>
      </c>
      <c r="B156" s="2" t="s">
        <v>369</v>
      </c>
      <c r="C156" s="371" t="s">
        <v>370</v>
      </c>
      <c r="D156" s="2" t="s">
        <v>21</v>
      </c>
      <c r="E156" s="2" t="s">
        <v>22</v>
      </c>
      <c r="F156" s="9">
        <v>275.5</v>
      </c>
      <c r="G156" s="10">
        <v>3.16</v>
      </c>
      <c r="H156" s="10">
        <f>G156*$R$6</f>
        <v>4.0242600000000008</v>
      </c>
      <c r="I156" s="11">
        <f t="shared" si="48"/>
        <v>1108.6836300000002</v>
      </c>
      <c r="J156" s="5"/>
      <c r="K156" s="32">
        <f>'MEMORIA BM 08'!E147</f>
        <v>0</v>
      </c>
      <c r="L156" s="31">
        <f t="shared" si="49"/>
        <v>0</v>
      </c>
      <c r="M156" s="80">
        <f t="shared" si="50"/>
        <v>0</v>
      </c>
      <c r="N156" s="80">
        <f t="shared" si="51"/>
        <v>0</v>
      </c>
      <c r="O156" s="6">
        <f t="shared" si="52"/>
        <v>0</v>
      </c>
      <c r="P156" s="37">
        <f t="shared" si="53"/>
        <v>1108.6836300000002</v>
      </c>
      <c r="Q156" s="379">
        <f t="shared" si="46"/>
        <v>0</v>
      </c>
    </row>
    <row r="157" spans="1:17" ht="38.25" x14ac:dyDescent="0.25">
      <c r="A157" s="36" t="s">
        <v>373</v>
      </c>
      <c r="B157" s="2" t="s">
        <v>369</v>
      </c>
      <c r="C157" s="371" t="s">
        <v>370</v>
      </c>
      <c r="D157" s="2" t="s">
        <v>21</v>
      </c>
      <c r="E157" s="2" t="s">
        <v>22</v>
      </c>
      <c r="F157" s="9">
        <v>299.24</v>
      </c>
      <c r="G157" s="10">
        <v>3.16</v>
      </c>
      <c r="H157" s="10">
        <f>G157*$R$6</f>
        <v>4.0242600000000008</v>
      </c>
      <c r="I157" s="11">
        <f t="shared" si="48"/>
        <v>1204.2195624000003</v>
      </c>
      <c r="J157" s="5"/>
      <c r="K157" s="32">
        <f>'MEMORIA BM 08'!E148</f>
        <v>0</v>
      </c>
      <c r="L157" s="31">
        <f t="shared" si="49"/>
        <v>0</v>
      </c>
      <c r="M157" s="80">
        <f t="shared" si="50"/>
        <v>0</v>
      </c>
      <c r="N157" s="80">
        <f t="shared" si="51"/>
        <v>0</v>
      </c>
      <c r="O157" s="6">
        <f t="shared" si="52"/>
        <v>0</v>
      </c>
      <c r="P157" s="37">
        <f t="shared" si="53"/>
        <v>1204.2195624000003</v>
      </c>
      <c r="Q157" s="379">
        <f t="shared" si="46"/>
        <v>0</v>
      </c>
    </row>
    <row r="158" spans="1:17" ht="51" x14ac:dyDescent="0.25">
      <c r="A158" s="36" t="s">
        <v>374</v>
      </c>
      <c r="B158" s="2" t="s">
        <v>375</v>
      </c>
      <c r="C158" s="371" t="s">
        <v>376</v>
      </c>
      <c r="D158" s="2" t="s">
        <v>21</v>
      </c>
      <c r="E158" s="2" t="s">
        <v>22</v>
      </c>
      <c r="F158" s="9">
        <v>63.81</v>
      </c>
      <c r="G158" s="10">
        <v>12.72</v>
      </c>
      <c r="H158" s="10">
        <f>G158*$R$6</f>
        <v>16.198920000000001</v>
      </c>
      <c r="I158" s="11">
        <f t="shared" si="48"/>
        <v>1033.6530852000001</v>
      </c>
      <c r="J158" s="5"/>
      <c r="K158" s="32">
        <f>'MEMORIA BM 08'!E149</f>
        <v>0</v>
      </c>
      <c r="L158" s="31">
        <f t="shared" si="49"/>
        <v>0</v>
      </c>
      <c r="M158" s="80">
        <f t="shared" si="50"/>
        <v>0</v>
      </c>
      <c r="N158" s="80">
        <f t="shared" si="51"/>
        <v>0</v>
      </c>
      <c r="O158" s="6">
        <f t="shared" si="52"/>
        <v>0</v>
      </c>
      <c r="P158" s="37">
        <f t="shared" si="53"/>
        <v>1033.6530852000001</v>
      </c>
      <c r="Q158" s="379">
        <f t="shared" si="46"/>
        <v>0</v>
      </c>
    </row>
    <row r="159" spans="1:17" ht="38.25" x14ac:dyDescent="0.25">
      <c r="A159" s="36" t="s">
        <v>377</v>
      </c>
      <c r="B159" s="2" t="s">
        <v>375</v>
      </c>
      <c r="C159" s="371" t="s">
        <v>378</v>
      </c>
      <c r="D159" s="2" t="s">
        <v>21</v>
      </c>
      <c r="E159" s="2" t="s">
        <v>22</v>
      </c>
      <c r="F159" s="9">
        <v>21.27</v>
      </c>
      <c r="G159" s="10">
        <v>12.72</v>
      </c>
      <c r="H159" s="10">
        <f>G159*$R$6</f>
        <v>16.198920000000001</v>
      </c>
      <c r="I159" s="11">
        <f t="shared" si="48"/>
        <v>344.55102840000001</v>
      </c>
      <c r="J159" s="5"/>
      <c r="K159" s="32">
        <f>'MEMORIA BM 08'!E150</f>
        <v>0</v>
      </c>
      <c r="L159" s="31">
        <f t="shared" si="49"/>
        <v>0</v>
      </c>
      <c r="M159" s="80">
        <f t="shared" si="50"/>
        <v>0</v>
      </c>
      <c r="N159" s="80">
        <f t="shared" si="51"/>
        <v>0</v>
      </c>
      <c r="O159" s="6">
        <f t="shared" si="52"/>
        <v>0</v>
      </c>
      <c r="P159" s="37">
        <f t="shared" si="53"/>
        <v>344.55102840000001</v>
      </c>
      <c r="Q159" s="379">
        <f t="shared" si="46"/>
        <v>0</v>
      </c>
    </row>
    <row r="160" spans="1:17" ht="38.25" x14ac:dyDescent="0.25">
      <c r="A160" s="36" t="s">
        <v>379</v>
      </c>
      <c r="B160" s="2" t="s">
        <v>375</v>
      </c>
      <c r="C160" s="371" t="s">
        <v>378</v>
      </c>
      <c r="D160" s="2" t="s">
        <v>21</v>
      </c>
      <c r="E160" s="2" t="s">
        <v>22</v>
      </c>
      <c r="F160" s="9">
        <v>21.27</v>
      </c>
      <c r="G160" s="10">
        <v>12.72</v>
      </c>
      <c r="H160" s="10">
        <f>G160*$R$6</f>
        <v>16.198920000000001</v>
      </c>
      <c r="I160" s="11">
        <f t="shared" si="48"/>
        <v>344.55102840000001</v>
      </c>
      <c r="J160" s="5"/>
      <c r="K160" s="32">
        <f>'MEMORIA BM 08'!E151</f>
        <v>0</v>
      </c>
      <c r="L160" s="31">
        <f t="shared" si="49"/>
        <v>0</v>
      </c>
      <c r="M160" s="80">
        <f t="shared" si="50"/>
        <v>0</v>
      </c>
      <c r="N160" s="80">
        <f t="shared" si="51"/>
        <v>0</v>
      </c>
      <c r="O160" s="6">
        <f t="shared" si="52"/>
        <v>0</v>
      </c>
      <c r="P160" s="37">
        <f t="shared" si="53"/>
        <v>344.55102840000001</v>
      </c>
      <c r="Q160" s="379">
        <f t="shared" si="46"/>
        <v>0</v>
      </c>
    </row>
    <row r="161" spans="1:17" ht="38.25" x14ac:dyDescent="0.25">
      <c r="A161" s="36" t="s">
        <v>380</v>
      </c>
      <c r="B161" s="2" t="s">
        <v>315</v>
      </c>
      <c r="C161" s="371" t="s">
        <v>316</v>
      </c>
      <c r="D161" s="2" t="s">
        <v>21</v>
      </c>
      <c r="E161" s="2" t="s">
        <v>117</v>
      </c>
      <c r="F161" s="9">
        <v>15</v>
      </c>
      <c r="G161" s="10">
        <v>30.42</v>
      </c>
      <c r="H161" s="10">
        <f>G161*$R$6</f>
        <v>38.739870000000003</v>
      </c>
      <c r="I161" s="11">
        <f t="shared" si="48"/>
        <v>581.09805000000006</v>
      </c>
      <c r="J161" s="5"/>
      <c r="K161" s="32">
        <f>'MEMORIA BM 08'!E152</f>
        <v>0</v>
      </c>
      <c r="L161" s="31">
        <f t="shared" si="49"/>
        <v>0</v>
      </c>
      <c r="M161" s="80">
        <f t="shared" si="50"/>
        <v>0</v>
      </c>
      <c r="N161" s="80">
        <f t="shared" si="51"/>
        <v>0</v>
      </c>
      <c r="O161" s="6">
        <f t="shared" si="52"/>
        <v>0</v>
      </c>
      <c r="P161" s="37">
        <f t="shared" si="53"/>
        <v>581.09805000000006</v>
      </c>
      <c r="Q161" s="379">
        <f t="shared" si="46"/>
        <v>0</v>
      </c>
    </row>
    <row r="162" spans="1:17" ht="38.25" x14ac:dyDescent="0.25">
      <c r="A162" s="36" t="s">
        <v>381</v>
      </c>
      <c r="B162" s="2" t="s">
        <v>382</v>
      </c>
      <c r="C162" s="371" t="s">
        <v>383</v>
      </c>
      <c r="D162" s="2" t="s">
        <v>21</v>
      </c>
      <c r="E162" s="2" t="s">
        <v>117</v>
      </c>
      <c r="F162" s="9">
        <v>24</v>
      </c>
      <c r="G162" s="10">
        <v>25.12</v>
      </c>
      <c r="H162" s="10">
        <f>G162*$R$6</f>
        <v>31.990320000000004</v>
      </c>
      <c r="I162" s="11">
        <f t="shared" si="48"/>
        <v>767.76768000000015</v>
      </c>
      <c r="J162" s="5"/>
      <c r="K162" s="32">
        <f>'MEMORIA BM 08'!E153</f>
        <v>0</v>
      </c>
      <c r="L162" s="31">
        <f t="shared" si="49"/>
        <v>0</v>
      </c>
      <c r="M162" s="80">
        <f t="shared" si="50"/>
        <v>0</v>
      </c>
      <c r="N162" s="80">
        <f t="shared" si="51"/>
        <v>0</v>
      </c>
      <c r="O162" s="6">
        <f t="shared" si="52"/>
        <v>0</v>
      </c>
      <c r="P162" s="37">
        <f t="shared" si="53"/>
        <v>767.76768000000015</v>
      </c>
      <c r="Q162" s="379">
        <f t="shared" si="46"/>
        <v>0</v>
      </c>
    </row>
    <row r="163" spans="1:17" x14ac:dyDescent="0.25">
      <c r="A163" s="38"/>
      <c r="B163" s="3"/>
      <c r="C163" s="372"/>
      <c r="D163" s="3"/>
      <c r="E163" s="3"/>
      <c r="F163" s="12"/>
      <c r="G163" s="13"/>
      <c r="H163" s="13"/>
      <c r="I163" s="14">
        <f>SUM(I116:I162)</f>
        <v>41213.271887999996</v>
      </c>
      <c r="J163" s="15"/>
      <c r="K163" s="15"/>
      <c r="L163" s="15"/>
      <c r="M163" s="14">
        <f>SUM(M116:M162)</f>
        <v>0</v>
      </c>
      <c r="N163" s="14">
        <f>SUM(N116:N162)</f>
        <v>0</v>
      </c>
      <c r="O163" s="14">
        <f>SUM(O116:O162)</f>
        <v>0</v>
      </c>
      <c r="P163" s="39">
        <f t="shared" si="53"/>
        <v>41213.271887999996</v>
      </c>
      <c r="Q163" s="379">
        <f t="shared" si="46"/>
        <v>0</v>
      </c>
    </row>
    <row r="164" spans="1:17" x14ac:dyDescent="0.25">
      <c r="A164" s="35" t="s">
        <v>384</v>
      </c>
      <c r="B164" s="117" t="s">
        <v>385</v>
      </c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8"/>
      <c r="Q164" s="379"/>
    </row>
    <row r="165" spans="1:17" ht="38.25" x14ac:dyDescent="0.25">
      <c r="A165" s="36" t="s">
        <v>386</v>
      </c>
      <c r="B165" s="2" t="s">
        <v>387</v>
      </c>
      <c r="C165" s="371" t="s">
        <v>388</v>
      </c>
      <c r="D165" s="2" t="s">
        <v>21</v>
      </c>
      <c r="E165" s="2" t="s">
        <v>117</v>
      </c>
      <c r="F165" s="9">
        <v>6</v>
      </c>
      <c r="G165" s="10">
        <v>23.62</v>
      </c>
      <c r="H165" s="10">
        <f>G165*$R$6</f>
        <v>30.080070000000003</v>
      </c>
      <c r="I165" s="11">
        <f>F165*H165</f>
        <v>180.48042000000001</v>
      </c>
      <c r="J165" s="5"/>
      <c r="K165" s="32">
        <f>'MEMORIA BM 08'!E155</f>
        <v>0</v>
      </c>
      <c r="L165" s="31">
        <f>K165+J165</f>
        <v>0</v>
      </c>
      <c r="M165" s="80">
        <f>J165*H165</f>
        <v>0</v>
      </c>
      <c r="N165" s="80">
        <f>H165*K165</f>
        <v>0</v>
      </c>
      <c r="O165" s="6">
        <f>N165+M165</f>
        <v>0</v>
      </c>
      <c r="P165" s="37">
        <f>I165-O165</f>
        <v>180.48042000000001</v>
      </c>
      <c r="Q165" s="379">
        <f t="shared" ref="Q164:Q227" si="54">O165/I165</f>
        <v>0</v>
      </c>
    </row>
    <row r="166" spans="1:17" ht="25.5" x14ac:dyDescent="0.25">
      <c r="A166" s="36" t="s">
        <v>389</v>
      </c>
      <c r="B166" s="2" t="s">
        <v>390</v>
      </c>
      <c r="C166" s="371" t="s">
        <v>391</v>
      </c>
      <c r="D166" s="2" t="s">
        <v>21</v>
      </c>
      <c r="E166" s="2" t="s">
        <v>117</v>
      </c>
      <c r="F166" s="9">
        <v>0</v>
      </c>
      <c r="G166" s="10">
        <v>24.17</v>
      </c>
      <c r="H166" s="10">
        <f>G166*$R$6</f>
        <v>30.780495000000005</v>
      </c>
      <c r="I166" s="11">
        <f t="shared" ref="I166:I224" si="55">F166*H166</f>
        <v>0</v>
      </c>
      <c r="J166" s="5"/>
      <c r="K166" s="32">
        <f>'MEMORIA BM 08'!E156</f>
        <v>0</v>
      </c>
      <c r="L166" s="31">
        <f t="shared" ref="L166:L224" si="56">K166+J166</f>
        <v>0</v>
      </c>
      <c r="M166" s="80">
        <f t="shared" ref="M166:M224" si="57">J166*H166</f>
        <v>0</v>
      </c>
      <c r="N166" s="80">
        <f t="shared" ref="N166:N224" si="58">H166*K166</f>
        <v>0</v>
      </c>
      <c r="O166" s="6">
        <f t="shared" ref="O166:O224" si="59">N166+M166</f>
        <v>0</v>
      </c>
      <c r="P166" s="37">
        <f t="shared" ref="P166:P225" si="60">I166-O166</f>
        <v>0</v>
      </c>
      <c r="Q166" s="379"/>
    </row>
    <row r="167" spans="1:17" ht="38.25" x14ac:dyDescent="0.25">
      <c r="A167" s="36" t="s">
        <v>392</v>
      </c>
      <c r="B167" s="2" t="s">
        <v>393</v>
      </c>
      <c r="C167" s="371" t="s">
        <v>394</v>
      </c>
      <c r="D167" s="2" t="s">
        <v>21</v>
      </c>
      <c r="E167" s="2" t="s">
        <v>117</v>
      </c>
      <c r="F167" s="9">
        <v>6</v>
      </c>
      <c r="G167" s="10">
        <v>7.69</v>
      </c>
      <c r="H167" s="10">
        <f>G167*$R$6</f>
        <v>9.7932150000000018</v>
      </c>
      <c r="I167" s="11">
        <f t="shared" si="55"/>
        <v>58.759290000000007</v>
      </c>
      <c r="J167" s="5"/>
      <c r="K167" s="32">
        <f>'MEMORIA BM 08'!E157</f>
        <v>0</v>
      </c>
      <c r="L167" s="31">
        <f t="shared" si="56"/>
        <v>0</v>
      </c>
      <c r="M167" s="80">
        <f t="shared" si="57"/>
        <v>0</v>
      </c>
      <c r="N167" s="80">
        <f t="shared" si="58"/>
        <v>0</v>
      </c>
      <c r="O167" s="6">
        <f t="shared" si="59"/>
        <v>0</v>
      </c>
      <c r="P167" s="37">
        <f t="shared" si="60"/>
        <v>58.759290000000007</v>
      </c>
      <c r="Q167" s="379">
        <f t="shared" si="54"/>
        <v>0</v>
      </c>
    </row>
    <row r="168" spans="1:17" ht="38.25" x14ac:dyDescent="0.25">
      <c r="A168" s="36" t="s">
        <v>395</v>
      </c>
      <c r="B168" s="2" t="s">
        <v>396</v>
      </c>
      <c r="C168" s="371" t="s">
        <v>397</v>
      </c>
      <c r="D168" s="2" t="s">
        <v>21</v>
      </c>
      <c r="E168" s="2" t="s">
        <v>117</v>
      </c>
      <c r="F168" s="9">
        <v>12</v>
      </c>
      <c r="G168" s="10">
        <v>422.31</v>
      </c>
      <c r="H168" s="10">
        <f>G168*$R$6</f>
        <v>537.81178499999999</v>
      </c>
      <c r="I168" s="11">
        <f t="shared" si="55"/>
        <v>6453.7414200000003</v>
      </c>
      <c r="J168" s="5"/>
      <c r="K168" s="32">
        <f>'MEMORIA BM 08'!E158</f>
        <v>0</v>
      </c>
      <c r="L168" s="31">
        <f t="shared" si="56"/>
        <v>0</v>
      </c>
      <c r="M168" s="80">
        <f t="shared" si="57"/>
        <v>0</v>
      </c>
      <c r="N168" s="80">
        <f t="shared" si="58"/>
        <v>0</v>
      </c>
      <c r="O168" s="6">
        <f t="shared" si="59"/>
        <v>0</v>
      </c>
      <c r="P168" s="37">
        <f t="shared" si="60"/>
        <v>6453.7414200000003</v>
      </c>
      <c r="Q168" s="379">
        <f t="shared" si="54"/>
        <v>0</v>
      </c>
    </row>
    <row r="169" spans="1:17" ht="25.5" x14ac:dyDescent="0.25">
      <c r="A169" s="36" t="s">
        <v>398</v>
      </c>
      <c r="B169" s="2" t="s">
        <v>399</v>
      </c>
      <c r="C169" s="371" t="s">
        <v>400</v>
      </c>
      <c r="D169" s="2" t="s">
        <v>21</v>
      </c>
      <c r="E169" s="2" t="s">
        <v>117</v>
      </c>
      <c r="F169" s="9">
        <v>2</v>
      </c>
      <c r="G169" s="10">
        <v>5.42</v>
      </c>
      <c r="H169" s="10">
        <f>G169*$R$6</f>
        <v>6.9023700000000003</v>
      </c>
      <c r="I169" s="11">
        <f t="shared" si="55"/>
        <v>13.804740000000001</v>
      </c>
      <c r="J169" s="5"/>
      <c r="K169" s="32">
        <f>'MEMORIA BM 08'!E159</f>
        <v>0</v>
      </c>
      <c r="L169" s="31">
        <f t="shared" si="56"/>
        <v>0</v>
      </c>
      <c r="M169" s="80">
        <f t="shared" si="57"/>
        <v>0</v>
      </c>
      <c r="N169" s="80">
        <f t="shared" si="58"/>
        <v>0</v>
      </c>
      <c r="O169" s="6">
        <f t="shared" si="59"/>
        <v>0</v>
      </c>
      <c r="P169" s="37">
        <f t="shared" si="60"/>
        <v>13.804740000000001</v>
      </c>
      <c r="Q169" s="379">
        <f t="shared" si="54"/>
        <v>0</v>
      </c>
    </row>
    <row r="170" spans="1:17" ht="25.5" x14ac:dyDescent="0.25">
      <c r="A170" s="36" t="s">
        <v>401</v>
      </c>
      <c r="B170" s="2" t="s">
        <v>402</v>
      </c>
      <c r="C170" s="371" t="s">
        <v>403</v>
      </c>
      <c r="D170" s="2" t="s">
        <v>21</v>
      </c>
      <c r="E170" s="2" t="s">
        <v>117</v>
      </c>
      <c r="F170" s="9">
        <v>1</v>
      </c>
      <c r="G170" s="10">
        <v>0.43</v>
      </c>
      <c r="H170" s="10">
        <f>G170*$R$6</f>
        <v>0.54760500000000001</v>
      </c>
      <c r="I170" s="11">
        <f t="shared" si="55"/>
        <v>0.54760500000000001</v>
      </c>
      <c r="J170" s="5"/>
      <c r="K170" s="32">
        <f>'MEMORIA BM 08'!E160</f>
        <v>0</v>
      </c>
      <c r="L170" s="31">
        <f t="shared" si="56"/>
        <v>0</v>
      </c>
      <c r="M170" s="80">
        <f t="shared" si="57"/>
        <v>0</v>
      </c>
      <c r="N170" s="80">
        <f t="shared" si="58"/>
        <v>0</v>
      </c>
      <c r="O170" s="6">
        <f t="shared" si="59"/>
        <v>0</v>
      </c>
      <c r="P170" s="37">
        <f t="shared" si="60"/>
        <v>0.54760500000000001</v>
      </c>
      <c r="Q170" s="379">
        <f t="shared" si="54"/>
        <v>0</v>
      </c>
    </row>
    <row r="171" spans="1:17" ht="25.5" x14ac:dyDescent="0.25">
      <c r="A171" s="36" t="s">
        <v>404</v>
      </c>
      <c r="B171" s="2" t="s">
        <v>405</v>
      </c>
      <c r="C171" s="371" t="s">
        <v>406</v>
      </c>
      <c r="D171" s="2" t="s">
        <v>21</v>
      </c>
      <c r="E171" s="2" t="s">
        <v>117</v>
      </c>
      <c r="F171" s="9">
        <v>1</v>
      </c>
      <c r="G171" s="10">
        <v>4.17</v>
      </c>
      <c r="H171" s="10">
        <f>G171*$R$6</f>
        <v>5.3104950000000004</v>
      </c>
      <c r="I171" s="11">
        <f t="shared" si="55"/>
        <v>5.3104950000000004</v>
      </c>
      <c r="J171" s="5"/>
      <c r="K171" s="32">
        <f>'MEMORIA BM 08'!E161</f>
        <v>0</v>
      </c>
      <c r="L171" s="31">
        <f t="shared" si="56"/>
        <v>0</v>
      </c>
      <c r="M171" s="80">
        <f t="shared" si="57"/>
        <v>0</v>
      </c>
      <c r="N171" s="80">
        <f t="shared" si="58"/>
        <v>0</v>
      </c>
      <c r="O171" s="6">
        <f t="shared" si="59"/>
        <v>0</v>
      </c>
      <c r="P171" s="37">
        <f t="shared" si="60"/>
        <v>5.3104950000000004</v>
      </c>
      <c r="Q171" s="379">
        <f t="shared" si="54"/>
        <v>0</v>
      </c>
    </row>
    <row r="172" spans="1:17" ht="25.5" x14ac:dyDescent="0.25">
      <c r="A172" s="36" t="s">
        <v>407</v>
      </c>
      <c r="B172" s="2" t="s">
        <v>408</v>
      </c>
      <c r="C172" s="371" t="s">
        <v>409</v>
      </c>
      <c r="D172" s="2" t="s">
        <v>21</v>
      </c>
      <c r="E172" s="2" t="s">
        <v>117</v>
      </c>
      <c r="F172" s="9">
        <v>11</v>
      </c>
      <c r="G172" s="10">
        <v>5.29</v>
      </c>
      <c r="H172" s="10">
        <f>G172*$R$6</f>
        <v>6.7368150000000009</v>
      </c>
      <c r="I172" s="11">
        <f t="shared" si="55"/>
        <v>74.104965000000007</v>
      </c>
      <c r="J172" s="5"/>
      <c r="K172" s="32">
        <f>'MEMORIA BM 08'!E162</f>
        <v>0</v>
      </c>
      <c r="L172" s="31">
        <f t="shared" si="56"/>
        <v>0</v>
      </c>
      <c r="M172" s="80">
        <f t="shared" si="57"/>
        <v>0</v>
      </c>
      <c r="N172" s="80">
        <f t="shared" si="58"/>
        <v>0</v>
      </c>
      <c r="O172" s="6">
        <f t="shared" si="59"/>
        <v>0</v>
      </c>
      <c r="P172" s="37">
        <f t="shared" si="60"/>
        <v>74.104965000000007</v>
      </c>
      <c r="Q172" s="379">
        <f t="shared" si="54"/>
        <v>0</v>
      </c>
    </row>
    <row r="173" spans="1:17" ht="25.5" x14ac:dyDescent="0.25">
      <c r="A173" s="36" t="s">
        <v>410</v>
      </c>
      <c r="B173" s="2" t="s">
        <v>411</v>
      </c>
      <c r="C173" s="371" t="s">
        <v>412</v>
      </c>
      <c r="D173" s="2" t="s">
        <v>21</v>
      </c>
      <c r="E173" s="2" t="s">
        <v>117</v>
      </c>
      <c r="F173" s="9">
        <v>64</v>
      </c>
      <c r="G173" s="10">
        <v>5.89</v>
      </c>
      <c r="H173" s="10">
        <f>G173*$R$6</f>
        <v>7.500915</v>
      </c>
      <c r="I173" s="11">
        <f t="shared" si="55"/>
        <v>480.05856</v>
      </c>
      <c r="J173" s="5"/>
      <c r="K173" s="32">
        <f>'MEMORIA BM 08'!E163</f>
        <v>0</v>
      </c>
      <c r="L173" s="31">
        <f t="shared" si="56"/>
        <v>0</v>
      </c>
      <c r="M173" s="80">
        <f t="shared" si="57"/>
        <v>0</v>
      </c>
      <c r="N173" s="80">
        <f t="shared" si="58"/>
        <v>0</v>
      </c>
      <c r="O173" s="6">
        <f t="shared" si="59"/>
        <v>0</v>
      </c>
      <c r="P173" s="37">
        <f t="shared" si="60"/>
        <v>480.05856</v>
      </c>
      <c r="Q173" s="379">
        <f t="shared" si="54"/>
        <v>0</v>
      </c>
    </row>
    <row r="174" spans="1:17" ht="25.5" x14ac:dyDescent="0.25">
      <c r="A174" s="36" t="s">
        <v>413</v>
      </c>
      <c r="B174" s="2" t="s">
        <v>414</v>
      </c>
      <c r="C174" s="371" t="s">
        <v>415</v>
      </c>
      <c r="D174" s="2" t="s">
        <v>21</v>
      </c>
      <c r="E174" s="2" t="s">
        <v>117</v>
      </c>
      <c r="F174" s="9">
        <v>5</v>
      </c>
      <c r="G174" s="10">
        <v>10.46</v>
      </c>
      <c r="H174" s="10">
        <f>G174*$R$6</f>
        <v>13.320810000000002</v>
      </c>
      <c r="I174" s="11">
        <f t="shared" si="55"/>
        <v>66.604050000000001</v>
      </c>
      <c r="J174" s="5"/>
      <c r="K174" s="32">
        <f>'MEMORIA BM 08'!E164</f>
        <v>0</v>
      </c>
      <c r="L174" s="31">
        <f t="shared" si="56"/>
        <v>0</v>
      </c>
      <c r="M174" s="80">
        <f t="shared" si="57"/>
        <v>0</v>
      </c>
      <c r="N174" s="80">
        <f t="shared" si="58"/>
        <v>0</v>
      </c>
      <c r="O174" s="6">
        <f t="shared" si="59"/>
        <v>0</v>
      </c>
      <c r="P174" s="37">
        <f t="shared" si="60"/>
        <v>66.604050000000001</v>
      </c>
      <c r="Q174" s="379">
        <f t="shared" si="54"/>
        <v>0</v>
      </c>
    </row>
    <row r="175" spans="1:17" ht="25.5" x14ac:dyDescent="0.25">
      <c r="A175" s="36" t="s">
        <v>416</v>
      </c>
      <c r="B175" s="2" t="s">
        <v>417</v>
      </c>
      <c r="C175" s="371" t="s">
        <v>418</v>
      </c>
      <c r="D175" s="2" t="s">
        <v>21</v>
      </c>
      <c r="E175" s="2" t="s">
        <v>117</v>
      </c>
      <c r="F175" s="9">
        <v>20</v>
      </c>
      <c r="G175" s="10">
        <v>12.41</v>
      </c>
      <c r="H175" s="10">
        <f>G175*$R$6</f>
        <v>15.804135</v>
      </c>
      <c r="I175" s="11">
        <f t="shared" si="55"/>
        <v>316.08269999999999</v>
      </c>
      <c r="J175" s="5"/>
      <c r="K175" s="32">
        <f>'MEMORIA BM 08'!E165</f>
        <v>0</v>
      </c>
      <c r="L175" s="31">
        <f t="shared" si="56"/>
        <v>0</v>
      </c>
      <c r="M175" s="80">
        <f t="shared" si="57"/>
        <v>0</v>
      </c>
      <c r="N175" s="80">
        <f t="shared" si="58"/>
        <v>0</v>
      </c>
      <c r="O175" s="6">
        <f t="shared" si="59"/>
        <v>0</v>
      </c>
      <c r="P175" s="37">
        <f t="shared" si="60"/>
        <v>316.08269999999999</v>
      </c>
      <c r="Q175" s="379">
        <f t="shared" si="54"/>
        <v>0</v>
      </c>
    </row>
    <row r="176" spans="1:17" ht="25.5" x14ac:dyDescent="0.25">
      <c r="A176" s="36" t="s">
        <v>419</v>
      </c>
      <c r="B176" s="2" t="s">
        <v>420</v>
      </c>
      <c r="C176" s="371" t="s">
        <v>421</v>
      </c>
      <c r="D176" s="2" t="s">
        <v>21</v>
      </c>
      <c r="E176" s="2" t="s">
        <v>117</v>
      </c>
      <c r="F176" s="9">
        <v>1</v>
      </c>
      <c r="G176" s="10">
        <v>8.6199999999999992</v>
      </c>
      <c r="H176" s="10">
        <f>G176*$R$6</f>
        <v>10.97757</v>
      </c>
      <c r="I176" s="11">
        <f t="shared" si="55"/>
        <v>10.97757</v>
      </c>
      <c r="J176" s="5"/>
      <c r="K176" s="32">
        <f>'MEMORIA BM 08'!E166</f>
        <v>0</v>
      </c>
      <c r="L176" s="31">
        <f t="shared" si="56"/>
        <v>0</v>
      </c>
      <c r="M176" s="80">
        <f t="shared" si="57"/>
        <v>0</v>
      </c>
      <c r="N176" s="80">
        <f t="shared" si="58"/>
        <v>0</v>
      </c>
      <c r="O176" s="6">
        <f t="shared" si="59"/>
        <v>0</v>
      </c>
      <c r="P176" s="37">
        <f t="shared" si="60"/>
        <v>10.97757</v>
      </c>
      <c r="Q176" s="379">
        <f t="shared" si="54"/>
        <v>0</v>
      </c>
    </row>
    <row r="177" spans="1:17" ht="25.5" x14ac:dyDescent="0.25">
      <c r="A177" s="36" t="s">
        <v>422</v>
      </c>
      <c r="B177" s="2" t="s">
        <v>423</v>
      </c>
      <c r="C177" s="371" t="s">
        <v>424</v>
      </c>
      <c r="D177" s="2" t="s">
        <v>21</v>
      </c>
      <c r="E177" s="2" t="s">
        <v>117</v>
      </c>
      <c r="F177" s="9">
        <v>2</v>
      </c>
      <c r="G177" s="10">
        <v>15.64</v>
      </c>
      <c r="H177" s="10">
        <f>G177*$R$6</f>
        <v>19.917540000000002</v>
      </c>
      <c r="I177" s="11">
        <f t="shared" si="55"/>
        <v>39.835080000000005</v>
      </c>
      <c r="J177" s="5"/>
      <c r="K177" s="32">
        <f>'MEMORIA BM 08'!E167</f>
        <v>0</v>
      </c>
      <c r="L177" s="31">
        <f t="shared" si="56"/>
        <v>0</v>
      </c>
      <c r="M177" s="80">
        <f t="shared" si="57"/>
        <v>0</v>
      </c>
      <c r="N177" s="80">
        <f t="shared" si="58"/>
        <v>0</v>
      </c>
      <c r="O177" s="6">
        <f t="shared" si="59"/>
        <v>0</v>
      </c>
      <c r="P177" s="37">
        <f t="shared" si="60"/>
        <v>39.835080000000005</v>
      </c>
      <c r="Q177" s="379">
        <f t="shared" si="54"/>
        <v>0</v>
      </c>
    </row>
    <row r="178" spans="1:17" ht="25.5" x14ac:dyDescent="0.25">
      <c r="A178" s="36" t="s">
        <v>425</v>
      </c>
      <c r="B178" s="2" t="s">
        <v>426</v>
      </c>
      <c r="C178" s="371" t="s">
        <v>427</v>
      </c>
      <c r="D178" s="2" t="s">
        <v>21</v>
      </c>
      <c r="E178" s="2" t="s">
        <v>117</v>
      </c>
      <c r="F178" s="9">
        <v>2</v>
      </c>
      <c r="G178" s="10">
        <v>6.91</v>
      </c>
      <c r="H178" s="10">
        <f>G178*$R$6</f>
        <v>8.7998850000000015</v>
      </c>
      <c r="I178" s="11">
        <f t="shared" si="55"/>
        <v>17.599770000000003</v>
      </c>
      <c r="J178" s="5"/>
      <c r="K178" s="32">
        <f>'MEMORIA BM 08'!E168</f>
        <v>0</v>
      </c>
      <c r="L178" s="31">
        <f t="shared" si="56"/>
        <v>0</v>
      </c>
      <c r="M178" s="80">
        <f t="shared" si="57"/>
        <v>0</v>
      </c>
      <c r="N178" s="80">
        <f t="shared" si="58"/>
        <v>0</v>
      </c>
      <c r="O178" s="6">
        <f t="shared" si="59"/>
        <v>0</v>
      </c>
      <c r="P178" s="37">
        <f t="shared" si="60"/>
        <v>17.599770000000003</v>
      </c>
      <c r="Q178" s="379">
        <f t="shared" si="54"/>
        <v>0</v>
      </c>
    </row>
    <row r="179" spans="1:17" ht="25.5" x14ac:dyDescent="0.25">
      <c r="A179" s="36" t="s">
        <v>428</v>
      </c>
      <c r="B179" s="2" t="s">
        <v>429</v>
      </c>
      <c r="C179" s="371" t="s">
        <v>430</v>
      </c>
      <c r="D179" s="2" t="s">
        <v>21</v>
      </c>
      <c r="E179" s="2" t="s">
        <v>117</v>
      </c>
      <c r="F179" s="9">
        <v>22</v>
      </c>
      <c r="G179" s="10">
        <v>8.26</v>
      </c>
      <c r="H179" s="10">
        <f>G179*$R$6</f>
        <v>10.51911</v>
      </c>
      <c r="I179" s="11">
        <f t="shared" si="55"/>
        <v>231.42041999999998</v>
      </c>
      <c r="J179" s="5"/>
      <c r="K179" s="32">
        <f>'MEMORIA BM 08'!E169</f>
        <v>0</v>
      </c>
      <c r="L179" s="31">
        <f t="shared" si="56"/>
        <v>0</v>
      </c>
      <c r="M179" s="80">
        <f t="shared" si="57"/>
        <v>0</v>
      </c>
      <c r="N179" s="80">
        <f t="shared" si="58"/>
        <v>0</v>
      </c>
      <c r="O179" s="6">
        <f t="shared" si="59"/>
        <v>0</v>
      </c>
      <c r="P179" s="37">
        <f t="shared" si="60"/>
        <v>231.42041999999998</v>
      </c>
      <c r="Q179" s="379">
        <f t="shared" si="54"/>
        <v>0</v>
      </c>
    </row>
    <row r="180" spans="1:17" ht="25.5" x14ac:dyDescent="0.25">
      <c r="A180" s="36" t="s">
        <v>431</v>
      </c>
      <c r="B180" s="2" t="s">
        <v>432</v>
      </c>
      <c r="C180" s="371" t="s">
        <v>433</v>
      </c>
      <c r="D180" s="2" t="s">
        <v>21</v>
      </c>
      <c r="E180" s="2" t="s">
        <v>117</v>
      </c>
      <c r="F180" s="9">
        <v>1</v>
      </c>
      <c r="G180" s="10">
        <v>16.8</v>
      </c>
      <c r="H180" s="10">
        <f>G180*$R$6</f>
        <v>21.394800000000004</v>
      </c>
      <c r="I180" s="11">
        <f t="shared" si="55"/>
        <v>21.394800000000004</v>
      </c>
      <c r="J180" s="5"/>
      <c r="K180" s="32">
        <f>'MEMORIA BM 08'!E170</f>
        <v>0</v>
      </c>
      <c r="L180" s="31">
        <f t="shared" si="56"/>
        <v>0</v>
      </c>
      <c r="M180" s="80">
        <f t="shared" si="57"/>
        <v>0</v>
      </c>
      <c r="N180" s="80">
        <f t="shared" si="58"/>
        <v>0</v>
      </c>
      <c r="O180" s="6">
        <f t="shared" si="59"/>
        <v>0</v>
      </c>
      <c r="P180" s="37">
        <f t="shared" si="60"/>
        <v>21.394800000000004</v>
      </c>
      <c r="Q180" s="379">
        <f t="shared" si="54"/>
        <v>0</v>
      </c>
    </row>
    <row r="181" spans="1:17" ht="38.25" x14ac:dyDescent="0.25">
      <c r="A181" s="36" t="s">
        <v>434</v>
      </c>
      <c r="B181" s="2" t="s">
        <v>435</v>
      </c>
      <c r="C181" s="371" t="s">
        <v>436</v>
      </c>
      <c r="D181" s="2" t="s">
        <v>21</v>
      </c>
      <c r="E181" s="2" t="s">
        <v>117</v>
      </c>
      <c r="F181" s="9">
        <v>17</v>
      </c>
      <c r="G181" s="10">
        <v>18.010000000000002</v>
      </c>
      <c r="H181" s="10">
        <f>G181*$R$6</f>
        <v>22.935735000000005</v>
      </c>
      <c r="I181" s="11">
        <f t="shared" si="55"/>
        <v>389.9074950000001</v>
      </c>
      <c r="J181" s="5"/>
      <c r="K181" s="32">
        <f>'MEMORIA BM 08'!E171</f>
        <v>0</v>
      </c>
      <c r="L181" s="31">
        <f t="shared" si="56"/>
        <v>0</v>
      </c>
      <c r="M181" s="80">
        <f t="shared" si="57"/>
        <v>0</v>
      </c>
      <c r="N181" s="80">
        <f t="shared" si="58"/>
        <v>0</v>
      </c>
      <c r="O181" s="6">
        <f t="shared" si="59"/>
        <v>0</v>
      </c>
      <c r="P181" s="37">
        <f t="shared" si="60"/>
        <v>389.9074950000001</v>
      </c>
      <c r="Q181" s="379">
        <f t="shared" si="54"/>
        <v>0</v>
      </c>
    </row>
    <row r="182" spans="1:17" ht="25.5" x14ac:dyDescent="0.25">
      <c r="A182" s="36" t="s">
        <v>437</v>
      </c>
      <c r="B182" s="2" t="s">
        <v>438</v>
      </c>
      <c r="C182" s="371" t="s">
        <v>439</v>
      </c>
      <c r="D182" s="2" t="s">
        <v>21</v>
      </c>
      <c r="E182" s="2" t="s">
        <v>22</v>
      </c>
      <c r="F182" s="9">
        <v>63.76</v>
      </c>
      <c r="G182" s="10">
        <v>6.01</v>
      </c>
      <c r="H182" s="10">
        <f>G182*$R$6</f>
        <v>7.6537350000000002</v>
      </c>
      <c r="I182" s="11">
        <f t="shared" si="55"/>
        <v>488.00214360000001</v>
      </c>
      <c r="J182" s="5"/>
      <c r="K182" s="32">
        <f>'MEMORIA BM 08'!E172</f>
        <v>0</v>
      </c>
      <c r="L182" s="31">
        <f t="shared" si="56"/>
        <v>0</v>
      </c>
      <c r="M182" s="80">
        <f t="shared" si="57"/>
        <v>0</v>
      </c>
      <c r="N182" s="80">
        <f t="shared" si="58"/>
        <v>0</v>
      </c>
      <c r="O182" s="6">
        <f t="shared" si="59"/>
        <v>0</v>
      </c>
      <c r="P182" s="37">
        <f t="shared" si="60"/>
        <v>488.00214360000001</v>
      </c>
      <c r="Q182" s="379">
        <f t="shared" si="54"/>
        <v>0</v>
      </c>
    </row>
    <row r="183" spans="1:17" ht="25.5" x14ac:dyDescent="0.25">
      <c r="A183" s="36" t="s">
        <v>440</v>
      </c>
      <c r="B183" s="2" t="s">
        <v>441</v>
      </c>
      <c r="C183" s="371" t="s">
        <v>442</v>
      </c>
      <c r="D183" s="2" t="s">
        <v>21</v>
      </c>
      <c r="E183" s="2" t="s">
        <v>22</v>
      </c>
      <c r="F183" s="9">
        <v>148.68</v>
      </c>
      <c r="G183" s="10">
        <v>4.4000000000000004</v>
      </c>
      <c r="H183" s="10">
        <f>G183*$R$6</f>
        <v>5.6034000000000006</v>
      </c>
      <c r="I183" s="11">
        <f t="shared" si="55"/>
        <v>833.11351200000013</v>
      </c>
      <c r="J183" s="5"/>
      <c r="K183" s="32">
        <f>'MEMORIA BM 08'!E173</f>
        <v>0</v>
      </c>
      <c r="L183" s="31">
        <f t="shared" si="56"/>
        <v>0</v>
      </c>
      <c r="M183" s="80">
        <f t="shared" si="57"/>
        <v>0</v>
      </c>
      <c r="N183" s="80">
        <f t="shared" si="58"/>
        <v>0</v>
      </c>
      <c r="O183" s="6">
        <f t="shared" si="59"/>
        <v>0</v>
      </c>
      <c r="P183" s="37">
        <f t="shared" si="60"/>
        <v>833.11351200000013</v>
      </c>
      <c r="Q183" s="379">
        <f t="shared" si="54"/>
        <v>0</v>
      </c>
    </row>
    <row r="184" spans="1:17" ht="25.5" x14ac:dyDescent="0.25">
      <c r="A184" s="36" t="s">
        <v>443</v>
      </c>
      <c r="B184" s="2" t="s">
        <v>444</v>
      </c>
      <c r="C184" s="371" t="s">
        <v>445</v>
      </c>
      <c r="D184" s="2" t="s">
        <v>21</v>
      </c>
      <c r="E184" s="2" t="s">
        <v>22</v>
      </c>
      <c r="F184" s="9">
        <v>28.03</v>
      </c>
      <c r="G184" s="10">
        <v>15.6</v>
      </c>
      <c r="H184" s="10">
        <f>G184*$R$6</f>
        <v>19.866600000000002</v>
      </c>
      <c r="I184" s="11">
        <f t="shared" si="55"/>
        <v>556.86079800000005</v>
      </c>
      <c r="J184" s="5"/>
      <c r="K184" s="32">
        <f>'MEMORIA BM 08'!E174</f>
        <v>0</v>
      </c>
      <c r="L184" s="31">
        <f t="shared" si="56"/>
        <v>0</v>
      </c>
      <c r="M184" s="80">
        <f t="shared" si="57"/>
        <v>0</v>
      </c>
      <c r="N184" s="80">
        <f t="shared" si="58"/>
        <v>0</v>
      </c>
      <c r="O184" s="6">
        <f t="shared" si="59"/>
        <v>0</v>
      </c>
      <c r="P184" s="37">
        <f t="shared" si="60"/>
        <v>556.86079800000005</v>
      </c>
      <c r="Q184" s="379">
        <f t="shared" si="54"/>
        <v>0</v>
      </c>
    </row>
    <row r="185" spans="1:17" ht="38.25" x14ac:dyDescent="0.25">
      <c r="A185" s="36" t="s">
        <v>446</v>
      </c>
      <c r="B185" s="2" t="s">
        <v>447</v>
      </c>
      <c r="C185" s="371" t="s">
        <v>448</v>
      </c>
      <c r="D185" s="2" t="s">
        <v>21</v>
      </c>
      <c r="E185" s="2" t="s">
        <v>22</v>
      </c>
      <c r="F185" s="9">
        <v>65.42</v>
      </c>
      <c r="G185" s="10">
        <v>14.3</v>
      </c>
      <c r="H185" s="10">
        <f>G185*$R$6</f>
        <v>18.211050000000004</v>
      </c>
      <c r="I185" s="11">
        <f t="shared" si="55"/>
        <v>1191.3668910000004</v>
      </c>
      <c r="J185" s="5"/>
      <c r="K185" s="32">
        <f>'MEMORIA BM 08'!E175</f>
        <v>0</v>
      </c>
      <c r="L185" s="31">
        <f t="shared" si="56"/>
        <v>0</v>
      </c>
      <c r="M185" s="80">
        <f t="shared" si="57"/>
        <v>0</v>
      </c>
      <c r="N185" s="80">
        <f t="shared" si="58"/>
        <v>0</v>
      </c>
      <c r="O185" s="6">
        <f t="shared" si="59"/>
        <v>0</v>
      </c>
      <c r="P185" s="37">
        <f t="shared" si="60"/>
        <v>1191.3668910000004</v>
      </c>
      <c r="Q185" s="379">
        <f t="shared" si="54"/>
        <v>0</v>
      </c>
    </row>
    <row r="186" spans="1:17" ht="38.25" x14ac:dyDescent="0.25">
      <c r="A186" s="36" t="s">
        <v>449</v>
      </c>
      <c r="B186" s="2" t="s">
        <v>450</v>
      </c>
      <c r="C186" s="371" t="s">
        <v>451</v>
      </c>
      <c r="D186" s="2" t="s">
        <v>21</v>
      </c>
      <c r="E186" s="2" t="s">
        <v>22</v>
      </c>
      <c r="F186" s="9">
        <v>38.299999999999997</v>
      </c>
      <c r="G186" s="10">
        <v>10.55</v>
      </c>
      <c r="H186" s="10">
        <f>G186*$R$6</f>
        <v>13.435425000000002</v>
      </c>
      <c r="I186" s="11">
        <f t="shared" si="55"/>
        <v>514.57677750000005</v>
      </c>
      <c r="J186" s="5"/>
      <c r="K186" s="32">
        <f>'MEMORIA BM 08'!E176</f>
        <v>0</v>
      </c>
      <c r="L186" s="31">
        <f t="shared" si="56"/>
        <v>0</v>
      </c>
      <c r="M186" s="80">
        <f t="shared" si="57"/>
        <v>0</v>
      </c>
      <c r="N186" s="80">
        <f t="shared" si="58"/>
        <v>0</v>
      </c>
      <c r="O186" s="6">
        <f t="shared" si="59"/>
        <v>0</v>
      </c>
      <c r="P186" s="37">
        <f t="shared" si="60"/>
        <v>514.57677750000005</v>
      </c>
      <c r="Q186" s="379">
        <f t="shared" si="54"/>
        <v>0</v>
      </c>
    </row>
    <row r="187" spans="1:17" ht="38.25" x14ac:dyDescent="0.25">
      <c r="A187" s="36" t="s">
        <v>452</v>
      </c>
      <c r="B187" s="2" t="s">
        <v>453</v>
      </c>
      <c r="C187" s="371" t="s">
        <v>454</v>
      </c>
      <c r="D187" s="2" t="s">
        <v>21</v>
      </c>
      <c r="E187" s="2" t="s">
        <v>22</v>
      </c>
      <c r="F187" s="9">
        <v>30</v>
      </c>
      <c r="G187" s="10">
        <v>20.3</v>
      </c>
      <c r="H187" s="10">
        <f>G187*$R$6</f>
        <v>25.852050000000002</v>
      </c>
      <c r="I187" s="11">
        <f t="shared" si="55"/>
        <v>775.56150000000002</v>
      </c>
      <c r="J187" s="5"/>
      <c r="K187" s="32">
        <f>'MEMORIA BM 08'!E177</f>
        <v>0</v>
      </c>
      <c r="L187" s="31">
        <f t="shared" si="56"/>
        <v>0</v>
      </c>
      <c r="M187" s="80">
        <f t="shared" si="57"/>
        <v>0</v>
      </c>
      <c r="N187" s="80">
        <f t="shared" si="58"/>
        <v>0</v>
      </c>
      <c r="O187" s="6">
        <f t="shared" si="59"/>
        <v>0</v>
      </c>
      <c r="P187" s="37">
        <f t="shared" si="60"/>
        <v>775.56150000000002</v>
      </c>
      <c r="Q187" s="379">
        <f t="shared" si="54"/>
        <v>0</v>
      </c>
    </row>
    <row r="188" spans="1:17" ht="38.25" x14ac:dyDescent="0.25">
      <c r="A188" s="36" t="s">
        <v>455</v>
      </c>
      <c r="B188" s="2" t="s">
        <v>456</v>
      </c>
      <c r="C188" s="371" t="s">
        <v>457</v>
      </c>
      <c r="D188" s="2" t="s">
        <v>21</v>
      </c>
      <c r="E188" s="2" t="s">
        <v>117</v>
      </c>
      <c r="F188" s="9">
        <v>10</v>
      </c>
      <c r="G188" s="10">
        <v>329.84</v>
      </c>
      <c r="H188" s="10">
        <f>G188*$R$6</f>
        <v>420.05124000000001</v>
      </c>
      <c r="I188" s="11">
        <f t="shared" si="55"/>
        <v>4200.5123999999996</v>
      </c>
      <c r="J188" s="5"/>
      <c r="K188" s="32">
        <f>'MEMORIA BM 08'!E178</f>
        <v>0</v>
      </c>
      <c r="L188" s="31">
        <f t="shared" si="56"/>
        <v>0</v>
      </c>
      <c r="M188" s="80">
        <f t="shared" si="57"/>
        <v>0</v>
      </c>
      <c r="N188" s="80">
        <f t="shared" si="58"/>
        <v>0</v>
      </c>
      <c r="O188" s="6">
        <f t="shared" si="59"/>
        <v>0</v>
      </c>
      <c r="P188" s="37">
        <f t="shared" si="60"/>
        <v>4200.5123999999996</v>
      </c>
      <c r="Q188" s="379">
        <f t="shared" si="54"/>
        <v>0</v>
      </c>
    </row>
    <row r="189" spans="1:17" x14ac:dyDescent="0.25">
      <c r="A189" s="36" t="s">
        <v>458</v>
      </c>
      <c r="B189" s="2" t="s">
        <v>459</v>
      </c>
      <c r="C189" s="371" t="s">
        <v>460</v>
      </c>
      <c r="D189" s="2" t="s">
        <v>21</v>
      </c>
      <c r="E189" s="2" t="s">
        <v>117</v>
      </c>
      <c r="F189" s="9">
        <v>10</v>
      </c>
      <c r="G189" s="10">
        <v>28.68</v>
      </c>
      <c r="H189" s="10">
        <f>G189*$R$6</f>
        <v>36.523980000000002</v>
      </c>
      <c r="I189" s="11">
        <f t="shared" si="55"/>
        <v>365.2398</v>
      </c>
      <c r="J189" s="5"/>
      <c r="K189" s="32">
        <f>'MEMORIA BM 08'!E179</f>
        <v>0</v>
      </c>
      <c r="L189" s="31">
        <f t="shared" si="56"/>
        <v>0</v>
      </c>
      <c r="M189" s="80">
        <f t="shared" si="57"/>
        <v>0</v>
      </c>
      <c r="N189" s="80">
        <f t="shared" si="58"/>
        <v>0</v>
      </c>
      <c r="O189" s="6">
        <f t="shared" si="59"/>
        <v>0</v>
      </c>
      <c r="P189" s="37">
        <f t="shared" si="60"/>
        <v>365.2398</v>
      </c>
      <c r="Q189" s="379">
        <f t="shared" si="54"/>
        <v>0</v>
      </c>
    </row>
    <row r="190" spans="1:17" x14ac:dyDescent="0.25">
      <c r="A190" s="36" t="s">
        <v>461</v>
      </c>
      <c r="B190" s="2" t="s">
        <v>462</v>
      </c>
      <c r="C190" s="371" t="s">
        <v>463</v>
      </c>
      <c r="D190" s="2" t="s">
        <v>21</v>
      </c>
      <c r="E190" s="2" t="s">
        <v>117</v>
      </c>
      <c r="F190" s="9">
        <v>10</v>
      </c>
      <c r="G190" s="10">
        <v>86.47</v>
      </c>
      <c r="H190" s="10">
        <f>G190*$R$6</f>
        <v>110.119545</v>
      </c>
      <c r="I190" s="11">
        <f t="shared" si="55"/>
        <v>1101.1954499999999</v>
      </c>
      <c r="J190" s="5"/>
      <c r="K190" s="32">
        <f>'MEMORIA BM 08'!E180</f>
        <v>0</v>
      </c>
      <c r="L190" s="31">
        <f t="shared" si="56"/>
        <v>0</v>
      </c>
      <c r="M190" s="80">
        <f t="shared" si="57"/>
        <v>0</v>
      </c>
      <c r="N190" s="80">
        <f t="shared" si="58"/>
        <v>0</v>
      </c>
      <c r="O190" s="6">
        <f t="shared" si="59"/>
        <v>0</v>
      </c>
      <c r="P190" s="37">
        <f t="shared" si="60"/>
        <v>1101.1954499999999</v>
      </c>
      <c r="Q190" s="379">
        <f t="shared" si="54"/>
        <v>0</v>
      </c>
    </row>
    <row r="191" spans="1:17" ht="25.5" x14ac:dyDescent="0.25">
      <c r="A191" s="36" t="s">
        <v>464</v>
      </c>
      <c r="B191" s="2" t="s">
        <v>465</v>
      </c>
      <c r="C191" s="371" t="s">
        <v>466</v>
      </c>
      <c r="D191" s="2" t="s">
        <v>21</v>
      </c>
      <c r="E191" s="2" t="s">
        <v>117</v>
      </c>
      <c r="F191" s="9">
        <v>2</v>
      </c>
      <c r="G191" s="10">
        <v>6.61</v>
      </c>
      <c r="H191" s="10">
        <f>G191*$R$6</f>
        <v>8.4178350000000002</v>
      </c>
      <c r="I191" s="11">
        <f t="shared" si="55"/>
        <v>16.83567</v>
      </c>
      <c r="J191" s="5"/>
      <c r="K191" s="32">
        <f>'MEMORIA BM 08'!E181</f>
        <v>0</v>
      </c>
      <c r="L191" s="31">
        <f t="shared" si="56"/>
        <v>0</v>
      </c>
      <c r="M191" s="80">
        <f t="shared" si="57"/>
        <v>0</v>
      </c>
      <c r="N191" s="80">
        <f t="shared" si="58"/>
        <v>0</v>
      </c>
      <c r="O191" s="6">
        <f t="shared" si="59"/>
        <v>0</v>
      </c>
      <c r="P191" s="37">
        <f t="shared" si="60"/>
        <v>16.83567</v>
      </c>
      <c r="Q191" s="379">
        <f t="shared" si="54"/>
        <v>0</v>
      </c>
    </row>
    <row r="192" spans="1:17" ht="25.5" x14ac:dyDescent="0.25">
      <c r="A192" s="36" t="s">
        <v>467</v>
      </c>
      <c r="B192" s="2" t="s">
        <v>468</v>
      </c>
      <c r="C192" s="371" t="s">
        <v>469</v>
      </c>
      <c r="D192" s="2" t="s">
        <v>21</v>
      </c>
      <c r="E192" s="2" t="s">
        <v>117</v>
      </c>
      <c r="F192" s="9">
        <v>3</v>
      </c>
      <c r="G192" s="10">
        <v>451.43</v>
      </c>
      <c r="H192" s="10">
        <f>G192*$R$6</f>
        <v>574.89610500000003</v>
      </c>
      <c r="I192" s="11">
        <f t="shared" si="55"/>
        <v>1724.6883150000001</v>
      </c>
      <c r="J192" s="5"/>
      <c r="K192" s="32">
        <f>'MEMORIA BM 08'!E182</f>
        <v>0</v>
      </c>
      <c r="L192" s="31">
        <f t="shared" si="56"/>
        <v>0</v>
      </c>
      <c r="M192" s="80">
        <f t="shared" si="57"/>
        <v>0</v>
      </c>
      <c r="N192" s="80">
        <f t="shared" si="58"/>
        <v>0</v>
      </c>
      <c r="O192" s="6">
        <f t="shared" si="59"/>
        <v>0</v>
      </c>
      <c r="P192" s="37">
        <f t="shared" si="60"/>
        <v>1724.6883150000001</v>
      </c>
      <c r="Q192" s="379">
        <f t="shared" si="54"/>
        <v>0</v>
      </c>
    </row>
    <row r="193" spans="1:17" ht="25.5" x14ac:dyDescent="0.25">
      <c r="A193" s="36" t="s">
        <v>470</v>
      </c>
      <c r="B193" s="2" t="s">
        <v>471</v>
      </c>
      <c r="C193" s="371" t="s">
        <v>472</v>
      </c>
      <c r="D193" s="2" t="s">
        <v>21</v>
      </c>
      <c r="E193" s="2" t="s">
        <v>117</v>
      </c>
      <c r="F193" s="9">
        <v>4</v>
      </c>
      <c r="G193" s="10">
        <v>20.2</v>
      </c>
      <c r="H193" s="10">
        <f>G193*$R$6</f>
        <v>25.724700000000002</v>
      </c>
      <c r="I193" s="11">
        <f t="shared" si="55"/>
        <v>102.89880000000001</v>
      </c>
      <c r="J193" s="5"/>
      <c r="K193" s="32">
        <f>'MEMORIA BM 08'!E183</f>
        <v>0</v>
      </c>
      <c r="L193" s="31">
        <f t="shared" si="56"/>
        <v>0</v>
      </c>
      <c r="M193" s="80">
        <f t="shared" si="57"/>
        <v>0</v>
      </c>
      <c r="N193" s="80">
        <f t="shared" si="58"/>
        <v>0</v>
      </c>
      <c r="O193" s="6">
        <f t="shared" si="59"/>
        <v>0</v>
      </c>
      <c r="P193" s="37">
        <f t="shared" si="60"/>
        <v>102.89880000000001</v>
      </c>
      <c r="Q193" s="379">
        <f t="shared" si="54"/>
        <v>0</v>
      </c>
    </row>
    <row r="194" spans="1:17" ht="38.25" x14ac:dyDescent="0.25">
      <c r="A194" s="36" t="s">
        <v>473</v>
      </c>
      <c r="B194" s="2" t="s">
        <v>474</v>
      </c>
      <c r="C194" s="371" t="s">
        <v>475</v>
      </c>
      <c r="D194" s="2" t="s">
        <v>21</v>
      </c>
      <c r="E194" s="2" t="s">
        <v>117</v>
      </c>
      <c r="F194" s="9">
        <v>1</v>
      </c>
      <c r="G194" s="10">
        <v>136.12</v>
      </c>
      <c r="H194" s="10">
        <f>G194*$R$6</f>
        <v>173.34882000000002</v>
      </c>
      <c r="I194" s="11">
        <f t="shared" si="55"/>
        <v>173.34882000000002</v>
      </c>
      <c r="J194" s="5"/>
      <c r="K194" s="32">
        <f>'MEMORIA BM 08'!E184</f>
        <v>0</v>
      </c>
      <c r="L194" s="31">
        <f t="shared" si="56"/>
        <v>0</v>
      </c>
      <c r="M194" s="80">
        <f t="shared" si="57"/>
        <v>0</v>
      </c>
      <c r="N194" s="80">
        <f t="shared" si="58"/>
        <v>0</v>
      </c>
      <c r="O194" s="6">
        <f t="shared" si="59"/>
        <v>0</v>
      </c>
      <c r="P194" s="37">
        <f t="shared" si="60"/>
        <v>173.34882000000002</v>
      </c>
      <c r="Q194" s="379">
        <f t="shared" si="54"/>
        <v>0</v>
      </c>
    </row>
    <row r="195" spans="1:17" ht="38.25" x14ac:dyDescent="0.25">
      <c r="A195" s="36" t="s">
        <v>476</v>
      </c>
      <c r="B195" s="2" t="s">
        <v>477</v>
      </c>
      <c r="C195" s="371" t="s">
        <v>478</v>
      </c>
      <c r="D195" s="2" t="s">
        <v>21</v>
      </c>
      <c r="E195" s="2" t="s">
        <v>117</v>
      </c>
      <c r="F195" s="9">
        <v>4</v>
      </c>
      <c r="G195" s="10">
        <v>187.71</v>
      </c>
      <c r="H195" s="10">
        <f>G195*$R$6</f>
        <v>239.04868500000003</v>
      </c>
      <c r="I195" s="11">
        <f t="shared" si="55"/>
        <v>956.19474000000014</v>
      </c>
      <c r="J195" s="5"/>
      <c r="K195" s="32">
        <f>'MEMORIA BM 08'!E185</f>
        <v>0</v>
      </c>
      <c r="L195" s="31">
        <f t="shared" si="56"/>
        <v>0</v>
      </c>
      <c r="M195" s="80">
        <f t="shared" si="57"/>
        <v>0</v>
      </c>
      <c r="N195" s="80">
        <f t="shared" si="58"/>
        <v>0</v>
      </c>
      <c r="O195" s="6">
        <f t="shared" si="59"/>
        <v>0</v>
      </c>
      <c r="P195" s="37">
        <f t="shared" si="60"/>
        <v>956.19474000000014</v>
      </c>
      <c r="Q195" s="379">
        <f t="shared" si="54"/>
        <v>0</v>
      </c>
    </row>
    <row r="196" spans="1:17" ht="38.25" x14ac:dyDescent="0.25">
      <c r="A196" s="36" t="s">
        <v>479</v>
      </c>
      <c r="B196" s="2" t="s">
        <v>480</v>
      </c>
      <c r="C196" s="371" t="s">
        <v>481</v>
      </c>
      <c r="D196" s="2" t="s">
        <v>21</v>
      </c>
      <c r="E196" s="2" t="s">
        <v>117</v>
      </c>
      <c r="F196" s="9">
        <v>4</v>
      </c>
      <c r="G196" s="10">
        <v>64.790000000000006</v>
      </c>
      <c r="H196" s="10">
        <f>G196*$R$6</f>
        <v>82.510065000000012</v>
      </c>
      <c r="I196" s="11">
        <f t="shared" si="55"/>
        <v>330.04026000000005</v>
      </c>
      <c r="J196" s="5"/>
      <c r="K196" s="32">
        <f>'MEMORIA BM 08'!E186</f>
        <v>0</v>
      </c>
      <c r="L196" s="31">
        <f t="shared" si="56"/>
        <v>0</v>
      </c>
      <c r="M196" s="80">
        <f t="shared" si="57"/>
        <v>0</v>
      </c>
      <c r="N196" s="80">
        <f t="shared" si="58"/>
        <v>0</v>
      </c>
      <c r="O196" s="6">
        <f t="shared" si="59"/>
        <v>0</v>
      </c>
      <c r="P196" s="37">
        <f t="shared" si="60"/>
        <v>330.04026000000005</v>
      </c>
      <c r="Q196" s="379">
        <f t="shared" si="54"/>
        <v>0</v>
      </c>
    </row>
    <row r="197" spans="1:17" ht="38.25" x14ac:dyDescent="0.25">
      <c r="A197" s="36" t="s">
        <v>482</v>
      </c>
      <c r="B197" s="2" t="s">
        <v>483</v>
      </c>
      <c r="C197" s="371" t="s">
        <v>484</v>
      </c>
      <c r="D197" s="2" t="s">
        <v>21</v>
      </c>
      <c r="E197" s="2" t="s">
        <v>117</v>
      </c>
      <c r="F197" s="9">
        <v>8</v>
      </c>
      <c r="G197" s="10">
        <v>148.03</v>
      </c>
      <c r="H197" s="10">
        <f>G197*$R$6</f>
        <v>188.51620500000001</v>
      </c>
      <c r="I197" s="11">
        <f t="shared" si="55"/>
        <v>1508.1296400000001</v>
      </c>
      <c r="J197" s="5"/>
      <c r="K197" s="32">
        <f>'MEMORIA BM 08'!E187</f>
        <v>0</v>
      </c>
      <c r="L197" s="31">
        <f t="shared" si="56"/>
        <v>0</v>
      </c>
      <c r="M197" s="80">
        <f t="shared" si="57"/>
        <v>0</v>
      </c>
      <c r="N197" s="80">
        <f t="shared" si="58"/>
        <v>0</v>
      </c>
      <c r="O197" s="6">
        <f t="shared" si="59"/>
        <v>0</v>
      </c>
      <c r="P197" s="37">
        <f t="shared" si="60"/>
        <v>1508.1296400000001</v>
      </c>
      <c r="Q197" s="379">
        <f t="shared" si="54"/>
        <v>0</v>
      </c>
    </row>
    <row r="198" spans="1:17" ht="25.5" x14ac:dyDescent="0.25">
      <c r="A198" s="36" t="s">
        <v>485</v>
      </c>
      <c r="B198" s="2" t="s">
        <v>486</v>
      </c>
      <c r="C198" s="371" t="s">
        <v>487</v>
      </c>
      <c r="D198" s="2" t="s">
        <v>21</v>
      </c>
      <c r="E198" s="2" t="s">
        <v>117</v>
      </c>
      <c r="F198" s="9">
        <v>8</v>
      </c>
      <c r="G198" s="10">
        <v>55.37</v>
      </c>
      <c r="H198" s="10">
        <f>G198*$R$6</f>
        <v>70.513694999999998</v>
      </c>
      <c r="I198" s="11">
        <f t="shared" si="55"/>
        <v>564.10955999999999</v>
      </c>
      <c r="J198" s="5"/>
      <c r="K198" s="32">
        <f>'MEMORIA BM 08'!E188</f>
        <v>0</v>
      </c>
      <c r="L198" s="31">
        <f t="shared" si="56"/>
        <v>0</v>
      </c>
      <c r="M198" s="80">
        <f t="shared" si="57"/>
        <v>0</v>
      </c>
      <c r="N198" s="80">
        <f t="shared" si="58"/>
        <v>0</v>
      </c>
      <c r="O198" s="6">
        <f t="shared" si="59"/>
        <v>0</v>
      </c>
      <c r="P198" s="37">
        <f t="shared" si="60"/>
        <v>564.10955999999999</v>
      </c>
      <c r="Q198" s="379">
        <f t="shared" si="54"/>
        <v>0</v>
      </c>
    </row>
    <row r="199" spans="1:17" ht="25.5" x14ac:dyDescent="0.25">
      <c r="A199" s="36" t="s">
        <v>488</v>
      </c>
      <c r="B199" s="2" t="s">
        <v>489</v>
      </c>
      <c r="C199" s="371" t="s">
        <v>490</v>
      </c>
      <c r="D199" s="2" t="s">
        <v>21</v>
      </c>
      <c r="E199" s="2" t="s">
        <v>117</v>
      </c>
      <c r="F199" s="9">
        <v>1</v>
      </c>
      <c r="G199" s="10">
        <v>26.81</v>
      </c>
      <c r="H199" s="10">
        <f>G199*$R$6</f>
        <v>34.142535000000002</v>
      </c>
      <c r="I199" s="11">
        <f t="shared" si="55"/>
        <v>34.142535000000002</v>
      </c>
      <c r="J199" s="5"/>
      <c r="K199" s="32">
        <f>'MEMORIA BM 08'!E189</f>
        <v>0</v>
      </c>
      <c r="L199" s="31">
        <f t="shared" si="56"/>
        <v>0</v>
      </c>
      <c r="M199" s="80">
        <f t="shared" si="57"/>
        <v>0</v>
      </c>
      <c r="N199" s="80">
        <f t="shared" si="58"/>
        <v>0</v>
      </c>
      <c r="O199" s="6">
        <f t="shared" si="59"/>
        <v>0</v>
      </c>
      <c r="P199" s="37">
        <f t="shared" si="60"/>
        <v>34.142535000000002</v>
      </c>
      <c r="Q199" s="379">
        <f t="shared" si="54"/>
        <v>0</v>
      </c>
    </row>
    <row r="200" spans="1:17" ht="25.5" x14ac:dyDescent="0.25">
      <c r="A200" s="36" t="s">
        <v>491</v>
      </c>
      <c r="B200" s="2" t="s">
        <v>492</v>
      </c>
      <c r="C200" s="371" t="s">
        <v>493</v>
      </c>
      <c r="D200" s="2" t="s">
        <v>21</v>
      </c>
      <c r="E200" s="2" t="s">
        <v>117</v>
      </c>
      <c r="F200" s="9">
        <v>2</v>
      </c>
      <c r="G200" s="10">
        <v>190.7</v>
      </c>
      <c r="H200" s="10">
        <f>G200*$R$6</f>
        <v>242.85645</v>
      </c>
      <c r="I200" s="11">
        <f t="shared" si="55"/>
        <v>485.71289999999999</v>
      </c>
      <c r="J200" s="5"/>
      <c r="K200" s="32">
        <f>'MEMORIA BM 08'!E190</f>
        <v>0</v>
      </c>
      <c r="L200" s="31">
        <f t="shared" si="56"/>
        <v>0</v>
      </c>
      <c r="M200" s="80">
        <f t="shared" si="57"/>
        <v>0</v>
      </c>
      <c r="N200" s="80">
        <f t="shared" si="58"/>
        <v>0</v>
      </c>
      <c r="O200" s="6">
        <f t="shared" si="59"/>
        <v>0</v>
      </c>
      <c r="P200" s="37">
        <f t="shared" si="60"/>
        <v>485.71289999999999</v>
      </c>
      <c r="Q200" s="379">
        <f t="shared" si="54"/>
        <v>0</v>
      </c>
    </row>
    <row r="201" spans="1:17" ht="25.5" x14ac:dyDescent="0.25">
      <c r="A201" s="36" t="s">
        <v>494</v>
      </c>
      <c r="B201" s="2" t="s">
        <v>495</v>
      </c>
      <c r="C201" s="371" t="s">
        <v>496</v>
      </c>
      <c r="D201" s="2" t="s">
        <v>21</v>
      </c>
      <c r="E201" s="2" t="s">
        <v>117</v>
      </c>
      <c r="F201" s="9">
        <v>8</v>
      </c>
      <c r="G201" s="10">
        <v>177.5</v>
      </c>
      <c r="H201" s="10">
        <f>G201*$R$6</f>
        <v>226.04625000000001</v>
      </c>
      <c r="I201" s="11">
        <f t="shared" si="55"/>
        <v>1808.3700000000001</v>
      </c>
      <c r="J201" s="5"/>
      <c r="K201" s="32">
        <f>'MEMORIA BM 08'!E191</f>
        <v>0</v>
      </c>
      <c r="L201" s="31">
        <f t="shared" si="56"/>
        <v>0</v>
      </c>
      <c r="M201" s="80">
        <f t="shared" si="57"/>
        <v>0</v>
      </c>
      <c r="N201" s="80">
        <f t="shared" si="58"/>
        <v>0</v>
      </c>
      <c r="O201" s="6">
        <f t="shared" si="59"/>
        <v>0</v>
      </c>
      <c r="P201" s="37">
        <f t="shared" si="60"/>
        <v>1808.3700000000001</v>
      </c>
      <c r="Q201" s="379">
        <f t="shared" si="54"/>
        <v>0</v>
      </c>
    </row>
    <row r="202" spans="1:17" ht="51" x14ac:dyDescent="0.25">
      <c r="A202" s="36" t="s">
        <v>497</v>
      </c>
      <c r="B202" s="2" t="s">
        <v>498</v>
      </c>
      <c r="C202" s="371" t="s">
        <v>499</v>
      </c>
      <c r="D202" s="2" t="s">
        <v>21</v>
      </c>
      <c r="E202" s="2" t="s">
        <v>117</v>
      </c>
      <c r="F202" s="9">
        <v>2</v>
      </c>
      <c r="G202" s="10">
        <v>165.39</v>
      </c>
      <c r="H202" s="10">
        <f>G202*$R$6</f>
        <v>210.624165</v>
      </c>
      <c r="I202" s="11">
        <f t="shared" si="55"/>
        <v>421.24833000000001</v>
      </c>
      <c r="J202" s="5"/>
      <c r="K202" s="32">
        <f>'MEMORIA BM 08'!E192</f>
        <v>0</v>
      </c>
      <c r="L202" s="31">
        <f t="shared" si="56"/>
        <v>0</v>
      </c>
      <c r="M202" s="80">
        <f t="shared" si="57"/>
        <v>0</v>
      </c>
      <c r="N202" s="80">
        <f t="shared" si="58"/>
        <v>0</v>
      </c>
      <c r="O202" s="6">
        <f t="shared" si="59"/>
        <v>0</v>
      </c>
      <c r="P202" s="37">
        <f t="shared" si="60"/>
        <v>421.24833000000001</v>
      </c>
      <c r="Q202" s="379">
        <f t="shared" si="54"/>
        <v>0</v>
      </c>
    </row>
    <row r="203" spans="1:17" ht="25.5" x14ac:dyDescent="0.25">
      <c r="A203" s="36" t="s">
        <v>500</v>
      </c>
      <c r="B203" s="2" t="s">
        <v>501</v>
      </c>
      <c r="C203" s="371" t="s">
        <v>502</v>
      </c>
      <c r="D203" s="2" t="s">
        <v>21</v>
      </c>
      <c r="E203" s="2" t="s">
        <v>117</v>
      </c>
      <c r="F203" s="9">
        <v>10</v>
      </c>
      <c r="G203" s="10">
        <v>22.08</v>
      </c>
      <c r="H203" s="10">
        <f>G203*$R$6</f>
        <v>28.118880000000001</v>
      </c>
      <c r="I203" s="11">
        <f t="shared" si="55"/>
        <v>281.18880000000001</v>
      </c>
      <c r="J203" s="5"/>
      <c r="K203" s="32">
        <f>'MEMORIA BM 08'!E193</f>
        <v>0</v>
      </c>
      <c r="L203" s="31">
        <f t="shared" si="56"/>
        <v>0</v>
      </c>
      <c r="M203" s="80">
        <f t="shared" si="57"/>
        <v>0</v>
      </c>
      <c r="N203" s="80">
        <f t="shared" si="58"/>
        <v>0</v>
      </c>
      <c r="O203" s="6">
        <f t="shared" si="59"/>
        <v>0</v>
      </c>
      <c r="P203" s="37">
        <f t="shared" si="60"/>
        <v>281.18880000000001</v>
      </c>
      <c r="Q203" s="379">
        <f t="shared" si="54"/>
        <v>0</v>
      </c>
    </row>
    <row r="204" spans="1:17" ht="25.5" x14ac:dyDescent="0.25">
      <c r="A204" s="36" t="s">
        <v>503</v>
      </c>
      <c r="B204" s="2" t="s">
        <v>504</v>
      </c>
      <c r="C204" s="371" t="s">
        <v>505</v>
      </c>
      <c r="D204" s="2" t="s">
        <v>21</v>
      </c>
      <c r="E204" s="2" t="s">
        <v>117</v>
      </c>
      <c r="F204" s="9">
        <v>2</v>
      </c>
      <c r="G204" s="10">
        <v>117.18</v>
      </c>
      <c r="H204" s="10">
        <f>G204*$R$6</f>
        <v>149.22873000000001</v>
      </c>
      <c r="I204" s="11">
        <f t="shared" si="55"/>
        <v>298.45746000000003</v>
      </c>
      <c r="J204" s="5"/>
      <c r="K204" s="32">
        <f>'MEMORIA BM 08'!E194</f>
        <v>0</v>
      </c>
      <c r="L204" s="31">
        <f t="shared" si="56"/>
        <v>0</v>
      </c>
      <c r="M204" s="80">
        <f t="shared" si="57"/>
        <v>0</v>
      </c>
      <c r="N204" s="80">
        <f t="shared" si="58"/>
        <v>0</v>
      </c>
      <c r="O204" s="6">
        <f t="shared" si="59"/>
        <v>0</v>
      </c>
      <c r="P204" s="37">
        <f t="shared" si="60"/>
        <v>298.45746000000003</v>
      </c>
      <c r="Q204" s="379">
        <f t="shared" si="54"/>
        <v>0</v>
      </c>
    </row>
    <row r="205" spans="1:17" ht="25.5" x14ac:dyDescent="0.25">
      <c r="A205" s="36" t="s">
        <v>506</v>
      </c>
      <c r="B205" s="2" t="s">
        <v>507</v>
      </c>
      <c r="C205" s="371" t="s">
        <v>508</v>
      </c>
      <c r="D205" s="2" t="s">
        <v>21</v>
      </c>
      <c r="E205" s="2" t="s">
        <v>117</v>
      </c>
      <c r="F205" s="9">
        <v>1</v>
      </c>
      <c r="G205" s="10">
        <v>84.73</v>
      </c>
      <c r="H205" s="10">
        <f>G205*$R$6</f>
        <v>107.90365500000001</v>
      </c>
      <c r="I205" s="11">
        <f t="shared" si="55"/>
        <v>107.90365500000001</v>
      </c>
      <c r="J205" s="5"/>
      <c r="K205" s="32">
        <f>'MEMORIA BM 08'!E195</f>
        <v>0</v>
      </c>
      <c r="L205" s="31">
        <f t="shared" si="56"/>
        <v>0</v>
      </c>
      <c r="M205" s="80">
        <f t="shared" si="57"/>
        <v>0</v>
      </c>
      <c r="N205" s="80">
        <f t="shared" si="58"/>
        <v>0</v>
      </c>
      <c r="O205" s="6">
        <f t="shared" si="59"/>
        <v>0</v>
      </c>
      <c r="P205" s="37">
        <f t="shared" si="60"/>
        <v>107.90365500000001</v>
      </c>
      <c r="Q205" s="379">
        <f t="shared" si="54"/>
        <v>0</v>
      </c>
    </row>
    <row r="206" spans="1:17" ht="25.5" x14ac:dyDescent="0.25">
      <c r="A206" s="36" t="s">
        <v>509</v>
      </c>
      <c r="B206" s="2" t="s">
        <v>510</v>
      </c>
      <c r="C206" s="371" t="s">
        <v>511</v>
      </c>
      <c r="D206" s="2" t="s">
        <v>21</v>
      </c>
      <c r="E206" s="2" t="s">
        <v>117</v>
      </c>
      <c r="F206" s="9">
        <v>1</v>
      </c>
      <c r="G206" s="10">
        <v>28.98</v>
      </c>
      <c r="H206" s="10">
        <f>G206*$R$6</f>
        <v>36.906030000000001</v>
      </c>
      <c r="I206" s="11">
        <f t="shared" si="55"/>
        <v>36.906030000000001</v>
      </c>
      <c r="J206" s="5"/>
      <c r="K206" s="32">
        <f>'MEMORIA BM 08'!E196</f>
        <v>0</v>
      </c>
      <c r="L206" s="31">
        <f t="shared" si="56"/>
        <v>0</v>
      </c>
      <c r="M206" s="80">
        <f t="shared" si="57"/>
        <v>0</v>
      </c>
      <c r="N206" s="80">
        <f t="shared" si="58"/>
        <v>0</v>
      </c>
      <c r="O206" s="6">
        <f t="shared" si="59"/>
        <v>0</v>
      </c>
      <c r="P206" s="37">
        <f t="shared" si="60"/>
        <v>36.906030000000001</v>
      </c>
      <c r="Q206" s="379">
        <f t="shared" si="54"/>
        <v>0</v>
      </c>
    </row>
    <row r="207" spans="1:17" ht="25.5" x14ac:dyDescent="0.25">
      <c r="A207" s="36" t="s">
        <v>512</v>
      </c>
      <c r="B207" s="2" t="s">
        <v>513</v>
      </c>
      <c r="C207" s="371" t="s">
        <v>514</v>
      </c>
      <c r="D207" s="2" t="s">
        <v>21</v>
      </c>
      <c r="E207" s="2" t="s">
        <v>117</v>
      </c>
      <c r="F207" s="9">
        <v>13</v>
      </c>
      <c r="G207" s="10">
        <v>31.62</v>
      </c>
      <c r="H207" s="10">
        <f>G207*$R$6</f>
        <v>40.268070000000002</v>
      </c>
      <c r="I207" s="11">
        <f t="shared" si="55"/>
        <v>523.48491000000001</v>
      </c>
      <c r="J207" s="5"/>
      <c r="K207" s="32">
        <f>'MEMORIA BM 08'!E197</f>
        <v>0</v>
      </c>
      <c r="L207" s="31">
        <f t="shared" si="56"/>
        <v>0</v>
      </c>
      <c r="M207" s="80">
        <f t="shared" si="57"/>
        <v>0</v>
      </c>
      <c r="N207" s="80">
        <f t="shared" si="58"/>
        <v>0</v>
      </c>
      <c r="O207" s="6">
        <f t="shared" si="59"/>
        <v>0</v>
      </c>
      <c r="P207" s="37">
        <f t="shared" si="60"/>
        <v>523.48491000000001</v>
      </c>
      <c r="Q207" s="379">
        <f t="shared" si="54"/>
        <v>0</v>
      </c>
    </row>
    <row r="208" spans="1:17" ht="38.25" x14ac:dyDescent="0.25">
      <c r="A208" s="36" t="s">
        <v>515</v>
      </c>
      <c r="B208" s="2" t="s">
        <v>516</v>
      </c>
      <c r="C208" s="371" t="s">
        <v>517</v>
      </c>
      <c r="D208" s="2" t="s">
        <v>21</v>
      </c>
      <c r="E208" s="2" t="s">
        <v>117</v>
      </c>
      <c r="F208" s="9">
        <v>2</v>
      </c>
      <c r="G208" s="10">
        <v>71.67</v>
      </c>
      <c r="H208" s="10">
        <f>G208*$R$6</f>
        <v>91.27174500000001</v>
      </c>
      <c r="I208" s="11">
        <f t="shared" si="55"/>
        <v>182.54349000000002</v>
      </c>
      <c r="J208" s="5"/>
      <c r="K208" s="32">
        <f>'MEMORIA BM 08'!E198</f>
        <v>0</v>
      </c>
      <c r="L208" s="31">
        <f t="shared" si="56"/>
        <v>0</v>
      </c>
      <c r="M208" s="80">
        <f t="shared" si="57"/>
        <v>0</v>
      </c>
      <c r="N208" s="80">
        <f t="shared" si="58"/>
        <v>0</v>
      </c>
      <c r="O208" s="6">
        <f t="shared" si="59"/>
        <v>0</v>
      </c>
      <c r="P208" s="37">
        <f t="shared" si="60"/>
        <v>182.54349000000002</v>
      </c>
      <c r="Q208" s="379">
        <f t="shared" si="54"/>
        <v>0</v>
      </c>
    </row>
    <row r="209" spans="1:17" ht="25.5" x14ac:dyDescent="0.25">
      <c r="A209" s="36" t="s">
        <v>518</v>
      </c>
      <c r="B209" s="2" t="s">
        <v>519</v>
      </c>
      <c r="C209" s="371" t="s">
        <v>520</v>
      </c>
      <c r="D209" s="2" t="s">
        <v>21</v>
      </c>
      <c r="E209" s="2" t="s">
        <v>117</v>
      </c>
      <c r="F209" s="9">
        <v>20</v>
      </c>
      <c r="G209" s="10">
        <v>27.64</v>
      </c>
      <c r="H209" s="10">
        <f>G209*$R$6</f>
        <v>35.199540000000006</v>
      </c>
      <c r="I209" s="11">
        <f t="shared" si="55"/>
        <v>703.99080000000015</v>
      </c>
      <c r="J209" s="5"/>
      <c r="K209" s="32">
        <f>'MEMORIA BM 08'!E199</f>
        <v>0</v>
      </c>
      <c r="L209" s="31">
        <f t="shared" si="56"/>
        <v>0</v>
      </c>
      <c r="M209" s="80">
        <f t="shared" si="57"/>
        <v>0</v>
      </c>
      <c r="N209" s="80">
        <f t="shared" si="58"/>
        <v>0</v>
      </c>
      <c r="O209" s="6">
        <f t="shared" si="59"/>
        <v>0</v>
      </c>
      <c r="P209" s="37">
        <f t="shared" si="60"/>
        <v>703.99080000000015</v>
      </c>
      <c r="Q209" s="379">
        <f t="shared" si="54"/>
        <v>0</v>
      </c>
    </row>
    <row r="210" spans="1:17" ht="38.25" x14ac:dyDescent="0.25">
      <c r="A210" s="36" t="s">
        <v>521</v>
      </c>
      <c r="B210" s="2" t="s">
        <v>522</v>
      </c>
      <c r="C210" s="371" t="s">
        <v>523</v>
      </c>
      <c r="D210" s="2" t="s">
        <v>21</v>
      </c>
      <c r="E210" s="2" t="s">
        <v>117</v>
      </c>
      <c r="F210" s="9">
        <v>12</v>
      </c>
      <c r="G210" s="10">
        <v>5.69</v>
      </c>
      <c r="H210" s="10">
        <f>G210*$R$6</f>
        <v>7.2462150000000012</v>
      </c>
      <c r="I210" s="11">
        <f t="shared" si="55"/>
        <v>86.954580000000021</v>
      </c>
      <c r="J210" s="5"/>
      <c r="K210" s="32">
        <f>'MEMORIA BM 08'!E200</f>
        <v>0</v>
      </c>
      <c r="L210" s="31">
        <f t="shared" si="56"/>
        <v>0</v>
      </c>
      <c r="M210" s="80">
        <f t="shared" si="57"/>
        <v>0</v>
      </c>
      <c r="N210" s="80">
        <f t="shared" si="58"/>
        <v>0</v>
      </c>
      <c r="O210" s="6">
        <f t="shared" si="59"/>
        <v>0</v>
      </c>
      <c r="P210" s="37">
        <f t="shared" si="60"/>
        <v>86.954580000000021</v>
      </c>
      <c r="Q210" s="379">
        <f t="shared" si="54"/>
        <v>0</v>
      </c>
    </row>
    <row r="211" spans="1:17" ht="38.25" x14ac:dyDescent="0.25">
      <c r="A211" s="36" t="s">
        <v>524</v>
      </c>
      <c r="B211" s="2" t="s">
        <v>525</v>
      </c>
      <c r="C211" s="371" t="s">
        <v>526</v>
      </c>
      <c r="D211" s="2" t="s">
        <v>21</v>
      </c>
      <c r="E211" s="2" t="s">
        <v>117</v>
      </c>
      <c r="F211" s="9">
        <v>5</v>
      </c>
      <c r="G211" s="10">
        <v>14.24</v>
      </c>
      <c r="H211" s="10">
        <f>G211*$R$6</f>
        <v>18.134640000000001</v>
      </c>
      <c r="I211" s="11">
        <f t="shared" si="55"/>
        <v>90.673200000000008</v>
      </c>
      <c r="J211" s="5"/>
      <c r="K211" s="32">
        <f>'MEMORIA BM 08'!E201</f>
        <v>0</v>
      </c>
      <c r="L211" s="31">
        <f t="shared" si="56"/>
        <v>0</v>
      </c>
      <c r="M211" s="80">
        <f t="shared" si="57"/>
        <v>0</v>
      </c>
      <c r="N211" s="80">
        <f t="shared" si="58"/>
        <v>0</v>
      </c>
      <c r="O211" s="6">
        <f t="shared" si="59"/>
        <v>0</v>
      </c>
      <c r="P211" s="37">
        <f t="shared" si="60"/>
        <v>90.673200000000008</v>
      </c>
      <c r="Q211" s="379">
        <f t="shared" si="54"/>
        <v>0</v>
      </c>
    </row>
    <row r="212" spans="1:17" ht="38.25" x14ac:dyDescent="0.25">
      <c r="A212" s="36" t="s">
        <v>527</v>
      </c>
      <c r="B212" s="2" t="s">
        <v>528</v>
      </c>
      <c r="C212" s="371" t="s">
        <v>529</v>
      </c>
      <c r="D212" s="2" t="s">
        <v>21</v>
      </c>
      <c r="E212" s="2" t="s">
        <v>117</v>
      </c>
      <c r="F212" s="9">
        <v>36</v>
      </c>
      <c r="G212" s="10">
        <v>7.4</v>
      </c>
      <c r="H212" s="10">
        <f>G212*$R$6</f>
        <v>9.4239000000000015</v>
      </c>
      <c r="I212" s="11">
        <f t="shared" si="55"/>
        <v>339.26040000000006</v>
      </c>
      <c r="J212" s="5"/>
      <c r="K212" s="32">
        <f>'MEMORIA BM 08'!E202</f>
        <v>0</v>
      </c>
      <c r="L212" s="31">
        <f t="shared" si="56"/>
        <v>0</v>
      </c>
      <c r="M212" s="80">
        <f t="shared" si="57"/>
        <v>0</v>
      </c>
      <c r="N212" s="80">
        <f t="shared" si="58"/>
        <v>0</v>
      </c>
      <c r="O212" s="6">
        <f t="shared" si="59"/>
        <v>0</v>
      </c>
      <c r="P212" s="37">
        <f t="shared" si="60"/>
        <v>339.26040000000006</v>
      </c>
      <c r="Q212" s="379">
        <f t="shared" si="54"/>
        <v>0</v>
      </c>
    </row>
    <row r="213" spans="1:17" ht="38.25" x14ac:dyDescent="0.25">
      <c r="A213" s="36" t="s">
        <v>530</v>
      </c>
      <c r="B213" s="2" t="s">
        <v>531</v>
      </c>
      <c r="C213" s="371" t="s">
        <v>532</v>
      </c>
      <c r="D213" s="2" t="s">
        <v>21</v>
      </c>
      <c r="E213" s="2" t="s">
        <v>117</v>
      </c>
      <c r="F213" s="9">
        <v>14</v>
      </c>
      <c r="G213" s="10">
        <v>5.12</v>
      </c>
      <c r="H213" s="10">
        <f>G213*$R$6</f>
        <v>6.5203200000000008</v>
      </c>
      <c r="I213" s="11">
        <f t="shared" si="55"/>
        <v>91.284480000000016</v>
      </c>
      <c r="J213" s="5"/>
      <c r="K213" s="32">
        <f>'MEMORIA BM 08'!E203</f>
        <v>0</v>
      </c>
      <c r="L213" s="31">
        <f t="shared" si="56"/>
        <v>0</v>
      </c>
      <c r="M213" s="80">
        <f t="shared" si="57"/>
        <v>0</v>
      </c>
      <c r="N213" s="80">
        <f t="shared" si="58"/>
        <v>0</v>
      </c>
      <c r="O213" s="6">
        <f t="shared" si="59"/>
        <v>0</v>
      </c>
      <c r="P213" s="37">
        <f t="shared" si="60"/>
        <v>91.284480000000016</v>
      </c>
      <c r="Q213" s="379">
        <f t="shared" si="54"/>
        <v>0</v>
      </c>
    </row>
    <row r="214" spans="1:17" ht="38.25" x14ac:dyDescent="0.25">
      <c r="A214" s="36" t="s">
        <v>533</v>
      </c>
      <c r="B214" s="2" t="s">
        <v>534</v>
      </c>
      <c r="C214" s="371" t="s">
        <v>535</v>
      </c>
      <c r="D214" s="2" t="s">
        <v>21</v>
      </c>
      <c r="E214" s="2" t="s">
        <v>117</v>
      </c>
      <c r="F214" s="9">
        <v>10</v>
      </c>
      <c r="G214" s="10">
        <v>18.22</v>
      </c>
      <c r="H214" s="10">
        <f>G214*$R$6</f>
        <v>23.20317</v>
      </c>
      <c r="I214" s="11">
        <f t="shared" si="55"/>
        <v>232.0317</v>
      </c>
      <c r="J214" s="5"/>
      <c r="K214" s="32">
        <f>'MEMORIA BM 08'!E204</f>
        <v>0</v>
      </c>
      <c r="L214" s="31">
        <f t="shared" si="56"/>
        <v>0</v>
      </c>
      <c r="M214" s="80">
        <f t="shared" si="57"/>
        <v>0</v>
      </c>
      <c r="N214" s="80">
        <f t="shared" si="58"/>
        <v>0</v>
      </c>
      <c r="O214" s="6">
        <f t="shared" si="59"/>
        <v>0</v>
      </c>
      <c r="P214" s="37">
        <f t="shared" si="60"/>
        <v>232.0317</v>
      </c>
      <c r="Q214" s="379">
        <f t="shared" si="54"/>
        <v>0</v>
      </c>
    </row>
    <row r="215" spans="1:17" ht="38.25" x14ac:dyDescent="0.25">
      <c r="A215" s="36" t="s">
        <v>536</v>
      </c>
      <c r="B215" s="2" t="s">
        <v>537</v>
      </c>
      <c r="C215" s="371" t="s">
        <v>538</v>
      </c>
      <c r="D215" s="2" t="s">
        <v>21</v>
      </c>
      <c r="E215" s="2" t="s">
        <v>117</v>
      </c>
      <c r="F215" s="9">
        <v>1</v>
      </c>
      <c r="G215" s="10">
        <v>13.18</v>
      </c>
      <c r="H215" s="10">
        <f>G215*$R$6</f>
        <v>16.78473</v>
      </c>
      <c r="I215" s="11">
        <f t="shared" si="55"/>
        <v>16.78473</v>
      </c>
      <c r="J215" s="5"/>
      <c r="K215" s="32">
        <f>'MEMORIA BM 08'!E205</f>
        <v>0</v>
      </c>
      <c r="L215" s="31">
        <f t="shared" si="56"/>
        <v>0</v>
      </c>
      <c r="M215" s="80">
        <f t="shared" si="57"/>
        <v>0</v>
      </c>
      <c r="N215" s="80">
        <f t="shared" si="58"/>
        <v>0</v>
      </c>
      <c r="O215" s="6">
        <f t="shared" si="59"/>
        <v>0</v>
      </c>
      <c r="P215" s="37">
        <f t="shared" si="60"/>
        <v>16.78473</v>
      </c>
      <c r="Q215" s="379">
        <f t="shared" si="54"/>
        <v>0</v>
      </c>
    </row>
    <row r="216" spans="1:17" ht="25.5" x14ac:dyDescent="0.25">
      <c r="A216" s="36" t="s">
        <v>539</v>
      </c>
      <c r="B216" s="2" t="s">
        <v>540</v>
      </c>
      <c r="C216" s="371" t="s">
        <v>541</v>
      </c>
      <c r="D216" s="2" t="s">
        <v>21</v>
      </c>
      <c r="E216" s="2" t="s">
        <v>117</v>
      </c>
      <c r="F216" s="9">
        <v>8</v>
      </c>
      <c r="G216" s="10">
        <v>15.03</v>
      </c>
      <c r="H216" s="10">
        <f>G216*$R$6</f>
        <v>19.140705000000001</v>
      </c>
      <c r="I216" s="11">
        <f t="shared" si="55"/>
        <v>153.12564</v>
      </c>
      <c r="J216" s="5"/>
      <c r="K216" s="32">
        <f>'MEMORIA BM 08'!E206</f>
        <v>0</v>
      </c>
      <c r="L216" s="31">
        <f t="shared" si="56"/>
        <v>0</v>
      </c>
      <c r="M216" s="80">
        <f t="shared" si="57"/>
        <v>0</v>
      </c>
      <c r="N216" s="80">
        <f t="shared" si="58"/>
        <v>0</v>
      </c>
      <c r="O216" s="6">
        <f t="shared" si="59"/>
        <v>0</v>
      </c>
      <c r="P216" s="37">
        <f t="shared" si="60"/>
        <v>153.12564</v>
      </c>
      <c r="Q216" s="379">
        <f t="shared" si="54"/>
        <v>0</v>
      </c>
    </row>
    <row r="217" spans="1:17" ht="25.5" x14ac:dyDescent="0.25">
      <c r="A217" s="36" t="s">
        <v>542</v>
      </c>
      <c r="B217" s="2" t="s">
        <v>543</v>
      </c>
      <c r="C217" s="371" t="s">
        <v>544</v>
      </c>
      <c r="D217" s="2" t="s">
        <v>21</v>
      </c>
      <c r="E217" s="2" t="s">
        <v>117</v>
      </c>
      <c r="F217" s="9">
        <v>1</v>
      </c>
      <c r="G217" s="10">
        <v>21.66</v>
      </c>
      <c r="H217" s="10">
        <f>G217*$R$6</f>
        <v>27.584010000000003</v>
      </c>
      <c r="I217" s="11">
        <f t="shared" si="55"/>
        <v>27.584010000000003</v>
      </c>
      <c r="J217" s="5"/>
      <c r="K217" s="32">
        <f>'MEMORIA BM 08'!E207</f>
        <v>0</v>
      </c>
      <c r="L217" s="31">
        <f t="shared" si="56"/>
        <v>0</v>
      </c>
      <c r="M217" s="80">
        <f t="shared" si="57"/>
        <v>0</v>
      </c>
      <c r="N217" s="80">
        <f t="shared" si="58"/>
        <v>0</v>
      </c>
      <c r="O217" s="6">
        <f t="shared" si="59"/>
        <v>0</v>
      </c>
      <c r="P217" s="37">
        <f t="shared" si="60"/>
        <v>27.584010000000003</v>
      </c>
      <c r="Q217" s="379">
        <f t="shared" si="54"/>
        <v>0</v>
      </c>
    </row>
    <row r="218" spans="1:17" ht="38.25" x14ac:dyDescent="0.25">
      <c r="A218" s="36" t="s">
        <v>545</v>
      </c>
      <c r="B218" s="2" t="s">
        <v>546</v>
      </c>
      <c r="C218" s="371" t="s">
        <v>547</v>
      </c>
      <c r="D218" s="2" t="s">
        <v>21</v>
      </c>
      <c r="E218" s="2" t="s">
        <v>117</v>
      </c>
      <c r="F218" s="9">
        <v>5</v>
      </c>
      <c r="G218" s="10">
        <v>35.950000000000003</v>
      </c>
      <c r="H218" s="10">
        <f>G218*$R$6</f>
        <v>45.782325000000007</v>
      </c>
      <c r="I218" s="11">
        <f t="shared" si="55"/>
        <v>228.91162500000004</v>
      </c>
      <c r="J218" s="5"/>
      <c r="K218" s="32">
        <f>'MEMORIA BM 08'!E208</f>
        <v>0</v>
      </c>
      <c r="L218" s="31">
        <f t="shared" si="56"/>
        <v>0</v>
      </c>
      <c r="M218" s="80">
        <f t="shared" si="57"/>
        <v>0</v>
      </c>
      <c r="N218" s="80">
        <f t="shared" si="58"/>
        <v>0</v>
      </c>
      <c r="O218" s="6">
        <f t="shared" si="59"/>
        <v>0</v>
      </c>
      <c r="P218" s="37">
        <f t="shared" si="60"/>
        <v>228.91162500000004</v>
      </c>
      <c r="Q218" s="379">
        <f t="shared" si="54"/>
        <v>0</v>
      </c>
    </row>
    <row r="219" spans="1:17" ht="38.25" x14ac:dyDescent="0.25">
      <c r="A219" s="36" t="s">
        <v>548</v>
      </c>
      <c r="B219" s="2" t="s">
        <v>549</v>
      </c>
      <c r="C219" s="371" t="s">
        <v>550</v>
      </c>
      <c r="D219" s="2" t="s">
        <v>21</v>
      </c>
      <c r="E219" s="2" t="s">
        <v>117</v>
      </c>
      <c r="F219" s="9">
        <v>20</v>
      </c>
      <c r="G219" s="10">
        <v>5.17</v>
      </c>
      <c r="H219" s="10">
        <f>G219*$R$6</f>
        <v>6.5839950000000007</v>
      </c>
      <c r="I219" s="11">
        <f t="shared" si="55"/>
        <v>131.6799</v>
      </c>
      <c r="J219" s="5"/>
      <c r="K219" s="32">
        <f>'MEMORIA BM 08'!E209</f>
        <v>0</v>
      </c>
      <c r="L219" s="31">
        <f t="shared" si="56"/>
        <v>0</v>
      </c>
      <c r="M219" s="80">
        <f t="shared" si="57"/>
        <v>0</v>
      </c>
      <c r="N219" s="80">
        <f t="shared" si="58"/>
        <v>0</v>
      </c>
      <c r="O219" s="6">
        <f t="shared" si="59"/>
        <v>0</v>
      </c>
      <c r="P219" s="37">
        <f t="shared" si="60"/>
        <v>131.6799</v>
      </c>
      <c r="Q219" s="379">
        <f t="shared" si="54"/>
        <v>0</v>
      </c>
    </row>
    <row r="220" spans="1:17" ht="38.25" x14ac:dyDescent="0.25">
      <c r="A220" s="36" t="s">
        <v>551</v>
      </c>
      <c r="B220" s="2" t="s">
        <v>552</v>
      </c>
      <c r="C220" s="371" t="s">
        <v>553</v>
      </c>
      <c r="D220" s="2" t="s">
        <v>21</v>
      </c>
      <c r="E220" s="2" t="s">
        <v>117</v>
      </c>
      <c r="F220" s="9">
        <v>4</v>
      </c>
      <c r="G220" s="10">
        <v>9.14</v>
      </c>
      <c r="H220" s="10">
        <f>G220*$R$6</f>
        <v>11.639790000000001</v>
      </c>
      <c r="I220" s="11">
        <f t="shared" si="55"/>
        <v>46.559160000000006</v>
      </c>
      <c r="J220" s="5"/>
      <c r="K220" s="32">
        <f>'MEMORIA BM 08'!E210</f>
        <v>0</v>
      </c>
      <c r="L220" s="31">
        <f t="shared" si="56"/>
        <v>0</v>
      </c>
      <c r="M220" s="80">
        <f t="shared" si="57"/>
        <v>0</v>
      </c>
      <c r="N220" s="80">
        <f t="shared" si="58"/>
        <v>0</v>
      </c>
      <c r="O220" s="6">
        <f t="shared" si="59"/>
        <v>0</v>
      </c>
      <c r="P220" s="37">
        <f t="shared" si="60"/>
        <v>46.559160000000006</v>
      </c>
      <c r="Q220" s="379">
        <f t="shared" si="54"/>
        <v>0</v>
      </c>
    </row>
    <row r="221" spans="1:17" ht="38.25" x14ac:dyDescent="0.25">
      <c r="A221" s="36" t="s">
        <v>554</v>
      </c>
      <c r="B221" s="2" t="s">
        <v>555</v>
      </c>
      <c r="C221" s="371" t="s">
        <v>556</v>
      </c>
      <c r="D221" s="2" t="s">
        <v>21</v>
      </c>
      <c r="E221" s="2" t="s">
        <v>117</v>
      </c>
      <c r="F221" s="9">
        <v>17</v>
      </c>
      <c r="G221" s="10">
        <v>13.97</v>
      </c>
      <c r="H221" s="10">
        <f>G221*$R$6</f>
        <v>17.790795000000003</v>
      </c>
      <c r="I221" s="11">
        <f t="shared" si="55"/>
        <v>302.44351500000005</v>
      </c>
      <c r="J221" s="5"/>
      <c r="K221" s="32">
        <f>'MEMORIA BM 08'!E211</f>
        <v>0</v>
      </c>
      <c r="L221" s="31">
        <f t="shared" si="56"/>
        <v>0</v>
      </c>
      <c r="M221" s="80">
        <f t="shared" si="57"/>
        <v>0</v>
      </c>
      <c r="N221" s="80">
        <f t="shared" si="58"/>
        <v>0</v>
      </c>
      <c r="O221" s="6">
        <f t="shared" si="59"/>
        <v>0</v>
      </c>
      <c r="P221" s="37">
        <f t="shared" si="60"/>
        <v>302.44351500000005</v>
      </c>
      <c r="Q221" s="379">
        <f t="shared" si="54"/>
        <v>0</v>
      </c>
    </row>
    <row r="222" spans="1:17" ht="38.25" x14ac:dyDescent="0.25">
      <c r="A222" s="36" t="s">
        <v>557</v>
      </c>
      <c r="B222" s="2" t="s">
        <v>558</v>
      </c>
      <c r="C222" s="371" t="s">
        <v>559</v>
      </c>
      <c r="D222" s="2" t="s">
        <v>21</v>
      </c>
      <c r="E222" s="2" t="s">
        <v>117</v>
      </c>
      <c r="F222" s="9">
        <v>11</v>
      </c>
      <c r="G222" s="10">
        <v>11.55</v>
      </c>
      <c r="H222" s="10">
        <f>G222*$R$6</f>
        <v>14.708925000000002</v>
      </c>
      <c r="I222" s="11">
        <f t="shared" si="55"/>
        <v>161.79817500000001</v>
      </c>
      <c r="J222" s="5"/>
      <c r="K222" s="32">
        <f>'MEMORIA BM 08'!E212</f>
        <v>0</v>
      </c>
      <c r="L222" s="31">
        <f t="shared" si="56"/>
        <v>0</v>
      </c>
      <c r="M222" s="80">
        <f t="shared" si="57"/>
        <v>0</v>
      </c>
      <c r="N222" s="80">
        <f t="shared" si="58"/>
        <v>0</v>
      </c>
      <c r="O222" s="6">
        <f t="shared" si="59"/>
        <v>0</v>
      </c>
      <c r="P222" s="37">
        <f t="shared" si="60"/>
        <v>161.79817500000001</v>
      </c>
      <c r="Q222" s="379">
        <f t="shared" si="54"/>
        <v>0</v>
      </c>
    </row>
    <row r="223" spans="1:17" ht="25.5" x14ac:dyDescent="0.25">
      <c r="A223" s="36" t="s">
        <v>560</v>
      </c>
      <c r="B223" s="2" t="s">
        <v>561</v>
      </c>
      <c r="C223" s="371" t="s">
        <v>562</v>
      </c>
      <c r="D223" s="2" t="s">
        <v>21</v>
      </c>
      <c r="E223" s="2" t="s">
        <v>117</v>
      </c>
      <c r="F223" s="9">
        <v>1</v>
      </c>
      <c r="G223" s="10">
        <v>12.86</v>
      </c>
      <c r="H223" s="10">
        <f>G223*$R$6</f>
        <v>16.377210000000002</v>
      </c>
      <c r="I223" s="11">
        <f t="shared" si="55"/>
        <v>16.377210000000002</v>
      </c>
      <c r="J223" s="5"/>
      <c r="K223" s="32">
        <f>'MEMORIA BM 08'!E213</f>
        <v>0</v>
      </c>
      <c r="L223" s="31">
        <f t="shared" si="56"/>
        <v>0</v>
      </c>
      <c r="M223" s="80">
        <f t="shared" si="57"/>
        <v>0</v>
      </c>
      <c r="N223" s="80">
        <f t="shared" si="58"/>
        <v>0</v>
      </c>
      <c r="O223" s="6">
        <f t="shared" si="59"/>
        <v>0</v>
      </c>
      <c r="P223" s="37">
        <f t="shared" si="60"/>
        <v>16.377210000000002</v>
      </c>
      <c r="Q223" s="379">
        <f t="shared" si="54"/>
        <v>0</v>
      </c>
    </row>
    <row r="224" spans="1:17" ht="25.5" x14ac:dyDescent="0.25">
      <c r="A224" s="36" t="s">
        <v>563</v>
      </c>
      <c r="B224" s="2" t="s">
        <v>564</v>
      </c>
      <c r="C224" s="371" t="s">
        <v>565</v>
      </c>
      <c r="D224" s="2" t="s">
        <v>21</v>
      </c>
      <c r="E224" s="2" t="s">
        <v>117</v>
      </c>
      <c r="F224" s="9">
        <v>4</v>
      </c>
      <c r="G224" s="10">
        <v>14.75</v>
      </c>
      <c r="H224" s="10">
        <f>G224*$R$6</f>
        <v>18.784125</v>
      </c>
      <c r="I224" s="11">
        <f t="shared" si="55"/>
        <v>75.136499999999998</v>
      </c>
      <c r="J224" s="5"/>
      <c r="K224" s="32">
        <f>'MEMORIA BM 08'!E214</f>
        <v>0</v>
      </c>
      <c r="L224" s="31">
        <f t="shared" si="56"/>
        <v>0</v>
      </c>
      <c r="M224" s="80">
        <f t="shared" si="57"/>
        <v>0</v>
      </c>
      <c r="N224" s="80">
        <f t="shared" si="58"/>
        <v>0</v>
      </c>
      <c r="O224" s="6">
        <f t="shared" si="59"/>
        <v>0</v>
      </c>
      <c r="P224" s="37">
        <f t="shared" si="60"/>
        <v>75.136499999999998</v>
      </c>
      <c r="Q224" s="379">
        <f t="shared" si="54"/>
        <v>0</v>
      </c>
    </row>
    <row r="225" spans="1:17" x14ac:dyDescent="0.25">
      <c r="A225" s="38"/>
      <c r="B225" s="3"/>
      <c r="C225" s="372"/>
      <c r="D225" s="3"/>
      <c r="E225" s="3"/>
      <c r="F225" s="12"/>
      <c r="G225" s="13"/>
      <c r="H225" s="13"/>
      <c r="I225" s="14">
        <f>SUM(I165:I224)</f>
        <v>30647.858192099982</v>
      </c>
      <c r="J225" s="15"/>
      <c r="K225" s="15"/>
      <c r="L225" s="15"/>
      <c r="M225" s="14">
        <f>SUM(M165:M224)</f>
        <v>0</v>
      </c>
      <c r="N225" s="14">
        <f>SUM(N165:N224)</f>
        <v>0</v>
      </c>
      <c r="O225" s="14">
        <f>SUM(O165:O224)</f>
        <v>0</v>
      </c>
      <c r="P225" s="39">
        <f t="shared" si="60"/>
        <v>30647.858192099982</v>
      </c>
      <c r="Q225" s="379">
        <f t="shared" si="54"/>
        <v>0</v>
      </c>
    </row>
    <row r="226" spans="1:17" x14ac:dyDescent="0.25">
      <c r="A226" s="35" t="s">
        <v>566</v>
      </c>
      <c r="B226" s="117" t="s">
        <v>567</v>
      </c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8"/>
      <c r="Q226" s="379"/>
    </row>
    <row r="227" spans="1:17" ht="25.5" x14ac:dyDescent="0.25">
      <c r="A227" s="36" t="s">
        <v>568</v>
      </c>
      <c r="B227" s="2" t="s">
        <v>569</v>
      </c>
      <c r="C227" s="371" t="s">
        <v>570</v>
      </c>
      <c r="D227" s="2" t="s">
        <v>21</v>
      </c>
      <c r="E227" s="2" t="s">
        <v>69</v>
      </c>
      <c r="F227" s="9">
        <v>2197.91</v>
      </c>
      <c r="G227" s="10">
        <v>2.1800000000000002</v>
      </c>
      <c r="H227" s="10">
        <f>G227*$R$6</f>
        <v>2.7762300000000004</v>
      </c>
      <c r="I227" s="11">
        <f>F227*H227</f>
        <v>6101.9036793000005</v>
      </c>
      <c r="J227" s="5"/>
      <c r="K227" s="32">
        <f>'MEMORIA BM 08'!E216</f>
        <v>0</v>
      </c>
      <c r="L227" s="31">
        <f>K227+J227</f>
        <v>0</v>
      </c>
      <c r="M227" s="80">
        <f>J227*H227</f>
        <v>0</v>
      </c>
      <c r="N227" s="80">
        <f>H227*K227</f>
        <v>0</v>
      </c>
      <c r="O227" s="6">
        <f>N227+M227</f>
        <v>0</v>
      </c>
      <c r="P227" s="37">
        <f>I227-O227</f>
        <v>6101.9036793000005</v>
      </c>
      <c r="Q227" s="379">
        <f t="shared" si="54"/>
        <v>0</v>
      </c>
    </row>
    <row r="228" spans="1:17" ht="25.5" x14ac:dyDescent="0.25">
      <c r="A228" s="36" t="s">
        <v>571</v>
      </c>
      <c r="B228" s="2" t="s">
        <v>572</v>
      </c>
      <c r="C228" s="371" t="s">
        <v>573</v>
      </c>
      <c r="D228" s="2" t="s">
        <v>21</v>
      </c>
      <c r="E228" s="2" t="s">
        <v>69</v>
      </c>
      <c r="F228" s="9">
        <v>653.14</v>
      </c>
      <c r="G228" s="10">
        <v>1.89</v>
      </c>
      <c r="H228" s="10">
        <f>G228*$R$6</f>
        <v>2.4069150000000001</v>
      </c>
      <c r="I228" s="11">
        <f t="shared" ref="I228:I235" si="61">F228*H228</f>
        <v>1572.0524631000001</v>
      </c>
      <c r="J228" s="5"/>
      <c r="K228" s="32">
        <f>'MEMORIA BM 08'!E217</f>
        <v>0</v>
      </c>
      <c r="L228" s="31">
        <f t="shared" ref="L228:L235" si="62">K228+J228</f>
        <v>0</v>
      </c>
      <c r="M228" s="80">
        <f t="shared" ref="M228:M235" si="63">J228*H228</f>
        <v>0</v>
      </c>
      <c r="N228" s="80">
        <f t="shared" ref="N228:N235" si="64">H228*K228</f>
        <v>0</v>
      </c>
      <c r="O228" s="6">
        <f t="shared" ref="O228:O235" si="65">N228+M228</f>
        <v>0</v>
      </c>
      <c r="P228" s="37">
        <f t="shared" ref="P228:P236" si="66">I228-O228</f>
        <v>1572.0524631000001</v>
      </c>
      <c r="Q228" s="379">
        <f t="shared" ref="Q228:Q249" si="67">O228/I228</f>
        <v>0</v>
      </c>
    </row>
    <row r="229" spans="1:17" ht="25.5" x14ac:dyDescent="0.25">
      <c r="A229" s="36" t="s">
        <v>574</v>
      </c>
      <c r="B229" s="2" t="s">
        <v>575</v>
      </c>
      <c r="C229" s="371" t="s">
        <v>576</v>
      </c>
      <c r="D229" s="2" t="s">
        <v>21</v>
      </c>
      <c r="E229" s="2" t="s">
        <v>69</v>
      </c>
      <c r="F229" s="9">
        <v>653.14</v>
      </c>
      <c r="G229" s="10">
        <v>13.66</v>
      </c>
      <c r="H229" s="10">
        <f>G229*$R$6</f>
        <v>17.39601</v>
      </c>
      <c r="I229" s="11">
        <f t="shared" si="61"/>
        <v>11362.029971399999</v>
      </c>
      <c r="J229" s="5"/>
      <c r="K229" s="32">
        <f>'MEMORIA BM 08'!E218</f>
        <v>0</v>
      </c>
      <c r="L229" s="31">
        <f t="shared" si="62"/>
        <v>0</v>
      </c>
      <c r="M229" s="80">
        <f t="shared" si="63"/>
        <v>0</v>
      </c>
      <c r="N229" s="80">
        <f t="shared" si="64"/>
        <v>0</v>
      </c>
      <c r="O229" s="6">
        <f t="shared" si="65"/>
        <v>0</v>
      </c>
      <c r="P229" s="37">
        <f t="shared" si="66"/>
        <v>11362.029971399999</v>
      </c>
      <c r="Q229" s="379">
        <f t="shared" si="67"/>
        <v>0</v>
      </c>
    </row>
    <row r="230" spans="1:17" ht="25.5" x14ac:dyDescent="0.25">
      <c r="A230" s="36" t="s">
        <v>577</v>
      </c>
      <c r="B230" s="2" t="s">
        <v>578</v>
      </c>
      <c r="C230" s="371" t="s">
        <v>579</v>
      </c>
      <c r="D230" s="2" t="s">
        <v>12</v>
      </c>
      <c r="E230" s="2" t="s">
        <v>13</v>
      </c>
      <c r="F230" s="9">
        <v>1933.7</v>
      </c>
      <c r="G230" s="10">
        <v>13.49</v>
      </c>
      <c r="H230" s="10">
        <f>G230*$R$6</f>
        <v>17.179515000000002</v>
      </c>
      <c r="I230" s="11">
        <f t="shared" si="61"/>
        <v>33220.028155500004</v>
      </c>
      <c r="J230" s="5"/>
      <c r="K230" s="32">
        <f>'MEMORIA BM 08'!E219</f>
        <v>0</v>
      </c>
      <c r="L230" s="31">
        <f t="shared" si="62"/>
        <v>0</v>
      </c>
      <c r="M230" s="80">
        <f t="shared" si="63"/>
        <v>0</v>
      </c>
      <c r="N230" s="80">
        <f t="shared" si="64"/>
        <v>0</v>
      </c>
      <c r="O230" s="6">
        <f t="shared" si="65"/>
        <v>0</v>
      </c>
      <c r="P230" s="37">
        <f t="shared" si="66"/>
        <v>33220.028155500004</v>
      </c>
      <c r="Q230" s="379">
        <f t="shared" si="67"/>
        <v>0</v>
      </c>
    </row>
    <row r="231" spans="1:17" ht="25.5" x14ac:dyDescent="0.25">
      <c r="A231" s="36" t="s">
        <v>580</v>
      </c>
      <c r="B231" s="2" t="s">
        <v>581</v>
      </c>
      <c r="C231" s="371" t="s">
        <v>582</v>
      </c>
      <c r="D231" s="2" t="s">
        <v>21</v>
      </c>
      <c r="E231" s="2" t="s">
        <v>69</v>
      </c>
      <c r="F231" s="9">
        <v>2197.91</v>
      </c>
      <c r="G231" s="10">
        <v>9.89</v>
      </c>
      <c r="H231" s="10">
        <f>G231*$R$6</f>
        <v>12.594915000000002</v>
      </c>
      <c r="I231" s="11">
        <f t="shared" si="61"/>
        <v>27682.489627650004</v>
      </c>
      <c r="J231" s="5"/>
      <c r="K231" s="32">
        <f>'MEMORIA BM 08'!E220</f>
        <v>0</v>
      </c>
      <c r="L231" s="31">
        <f t="shared" si="62"/>
        <v>0</v>
      </c>
      <c r="M231" s="80">
        <f t="shared" si="63"/>
        <v>0</v>
      </c>
      <c r="N231" s="80">
        <f t="shared" si="64"/>
        <v>0</v>
      </c>
      <c r="O231" s="6">
        <f t="shared" si="65"/>
        <v>0</v>
      </c>
      <c r="P231" s="37">
        <f t="shared" si="66"/>
        <v>27682.489627650004</v>
      </c>
      <c r="Q231" s="379">
        <f t="shared" si="67"/>
        <v>0</v>
      </c>
    </row>
    <row r="232" spans="1:17" ht="25.5" x14ac:dyDescent="0.25">
      <c r="A232" s="36" t="s">
        <v>583</v>
      </c>
      <c r="B232" s="2" t="s">
        <v>584</v>
      </c>
      <c r="C232" s="371" t="s">
        <v>585</v>
      </c>
      <c r="D232" s="2" t="s">
        <v>21</v>
      </c>
      <c r="E232" s="2" t="s">
        <v>69</v>
      </c>
      <c r="F232" s="9">
        <v>653.14</v>
      </c>
      <c r="G232" s="10">
        <v>11.23</v>
      </c>
      <c r="H232" s="10">
        <f>G232*$R$6</f>
        <v>14.301405000000001</v>
      </c>
      <c r="I232" s="11">
        <f t="shared" si="61"/>
        <v>9340.8196617000012</v>
      </c>
      <c r="J232" s="5"/>
      <c r="K232" s="32">
        <f>'MEMORIA BM 08'!E221</f>
        <v>0</v>
      </c>
      <c r="L232" s="31">
        <f t="shared" si="62"/>
        <v>0</v>
      </c>
      <c r="M232" s="80">
        <f t="shared" si="63"/>
        <v>0</v>
      </c>
      <c r="N232" s="80">
        <f t="shared" si="64"/>
        <v>0</v>
      </c>
      <c r="O232" s="6">
        <f t="shared" si="65"/>
        <v>0</v>
      </c>
      <c r="P232" s="37">
        <f t="shared" si="66"/>
        <v>9340.8196617000012</v>
      </c>
      <c r="Q232" s="379">
        <f t="shared" si="67"/>
        <v>0</v>
      </c>
    </row>
    <row r="233" spans="1:17" ht="25.5" x14ac:dyDescent="0.25">
      <c r="A233" s="36" t="s">
        <v>586</v>
      </c>
      <c r="B233" s="2" t="s">
        <v>587</v>
      </c>
      <c r="C233" s="371" t="s">
        <v>588</v>
      </c>
      <c r="D233" s="2" t="s">
        <v>21</v>
      </c>
      <c r="E233" s="2" t="s">
        <v>69</v>
      </c>
      <c r="F233" s="9">
        <v>69.72</v>
      </c>
      <c r="G233" s="10">
        <v>9.9700000000000006</v>
      </c>
      <c r="H233" s="10">
        <f>G233*$R$6</f>
        <v>12.696795000000002</v>
      </c>
      <c r="I233" s="11">
        <f t="shared" si="61"/>
        <v>885.2205474000001</v>
      </c>
      <c r="J233" s="5"/>
      <c r="K233" s="32">
        <f>'MEMORIA BM 08'!E222</f>
        <v>0</v>
      </c>
      <c r="L233" s="31">
        <f t="shared" si="62"/>
        <v>0</v>
      </c>
      <c r="M233" s="80">
        <f t="shared" si="63"/>
        <v>0</v>
      </c>
      <c r="N233" s="80">
        <f t="shared" si="64"/>
        <v>0</v>
      </c>
      <c r="O233" s="6">
        <f t="shared" si="65"/>
        <v>0</v>
      </c>
      <c r="P233" s="37">
        <f t="shared" si="66"/>
        <v>885.2205474000001</v>
      </c>
      <c r="Q233" s="379">
        <f t="shared" si="67"/>
        <v>0</v>
      </c>
    </row>
    <row r="234" spans="1:17" ht="38.25" x14ac:dyDescent="0.25">
      <c r="A234" s="36" t="s">
        <v>589</v>
      </c>
      <c r="B234" s="2" t="s">
        <v>590</v>
      </c>
      <c r="C234" s="371" t="s">
        <v>591</v>
      </c>
      <c r="D234" s="2" t="s">
        <v>21</v>
      </c>
      <c r="E234" s="2" t="s">
        <v>69</v>
      </c>
      <c r="F234" s="9">
        <v>64.91</v>
      </c>
      <c r="G234" s="10">
        <v>8.27</v>
      </c>
      <c r="H234" s="10">
        <f>G234*$R$6</f>
        <v>10.531845000000001</v>
      </c>
      <c r="I234" s="11">
        <f t="shared" si="61"/>
        <v>683.62205895</v>
      </c>
      <c r="J234" s="5"/>
      <c r="K234" s="32">
        <f>'MEMORIA BM 08'!E223</f>
        <v>0</v>
      </c>
      <c r="L234" s="31">
        <f t="shared" si="62"/>
        <v>0</v>
      </c>
      <c r="M234" s="80">
        <f t="shared" si="63"/>
        <v>0</v>
      </c>
      <c r="N234" s="80">
        <f t="shared" si="64"/>
        <v>0</v>
      </c>
      <c r="O234" s="6">
        <f t="shared" si="65"/>
        <v>0</v>
      </c>
      <c r="P234" s="37">
        <f t="shared" si="66"/>
        <v>683.62205895</v>
      </c>
      <c r="Q234" s="379">
        <f t="shared" si="67"/>
        <v>0</v>
      </c>
    </row>
    <row r="235" spans="1:17" ht="38.25" x14ac:dyDescent="0.25">
      <c r="A235" s="36" t="s">
        <v>592</v>
      </c>
      <c r="B235" s="2" t="s">
        <v>593</v>
      </c>
      <c r="C235" s="371" t="s">
        <v>594</v>
      </c>
      <c r="D235" s="2" t="s">
        <v>21</v>
      </c>
      <c r="E235" s="2" t="s">
        <v>69</v>
      </c>
      <c r="F235" s="9">
        <v>64.91</v>
      </c>
      <c r="G235" s="10">
        <v>6.5</v>
      </c>
      <c r="H235" s="10">
        <f>G235*$R$6</f>
        <v>8.2777500000000011</v>
      </c>
      <c r="I235" s="11">
        <f t="shared" si="61"/>
        <v>537.30875250000008</v>
      </c>
      <c r="J235" s="5"/>
      <c r="K235" s="32">
        <f>'MEMORIA BM 08'!E224</f>
        <v>0</v>
      </c>
      <c r="L235" s="31">
        <f t="shared" si="62"/>
        <v>0</v>
      </c>
      <c r="M235" s="80">
        <f t="shared" si="63"/>
        <v>0</v>
      </c>
      <c r="N235" s="80">
        <f t="shared" si="64"/>
        <v>0</v>
      </c>
      <c r="O235" s="6">
        <f t="shared" si="65"/>
        <v>0</v>
      </c>
      <c r="P235" s="37">
        <f t="shared" si="66"/>
        <v>537.30875250000008</v>
      </c>
      <c r="Q235" s="379">
        <f t="shared" si="67"/>
        <v>0</v>
      </c>
    </row>
    <row r="236" spans="1:17" x14ac:dyDescent="0.25">
      <c r="A236" s="38"/>
      <c r="B236" s="3"/>
      <c r="C236" s="372"/>
      <c r="D236" s="3"/>
      <c r="E236" s="3"/>
      <c r="F236" s="12"/>
      <c r="G236" s="13"/>
      <c r="H236" s="13"/>
      <c r="I236" s="14">
        <f>SUM(I227:I235)</f>
        <v>91385.474917500003</v>
      </c>
      <c r="J236" s="15"/>
      <c r="K236" s="15"/>
      <c r="L236" s="15"/>
      <c r="M236" s="14">
        <f>SUM(M227:M235)</f>
        <v>0</v>
      </c>
      <c r="N236" s="14">
        <f>SUM(N227:N235)</f>
        <v>0</v>
      </c>
      <c r="O236" s="14">
        <f>SUM(O227:O235)</f>
        <v>0</v>
      </c>
      <c r="P236" s="39">
        <f t="shared" si="66"/>
        <v>91385.474917500003</v>
      </c>
      <c r="Q236" s="379">
        <f t="shared" si="67"/>
        <v>0</v>
      </c>
    </row>
    <row r="237" spans="1:17" x14ac:dyDescent="0.25">
      <c r="A237" s="35" t="s">
        <v>595</v>
      </c>
      <c r="B237" s="117" t="s">
        <v>596</v>
      </c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8"/>
      <c r="Q237" s="379"/>
    </row>
    <row r="238" spans="1:17" x14ac:dyDescent="0.25">
      <c r="A238" s="36" t="s">
        <v>597</v>
      </c>
      <c r="B238" s="2" t="s">
        <v>598</v>
      </c>
      <c r="C238" s="371" t="s">
        <v>599</v>
      </c>
      <c r="D238" s="2" t="s">
        <v>12</v>
      </c>
      <c r="E238" s="2" t="s">
        <v>13</v>
      </c>
      <c r="F238" s="9">
        <v>1046.48</v>
      </c>
      <c r="G238" s="10">
        <v>1.86</v>
      </c>
      <c r="H238" s="10">
        <f>G238*$R$6</f>
        <v>2.3687100000000001</v>
      </c>
      <c r="I238" s="11">
        <f t="shared" ref="I238:I248" si="68">F238*H238</f>
        <v>2478.8076408000002</v>
      </c>
      <c r="J238" s="5"/>
      <c r="K238" s="32">
        <f>'MEMORIA BM 08'!E226</f>
        <v>0</v>
      </c>
      <c r="L238" s="31">
        <f>K238+J238</f>
        <v>0</v>
      </c>
      <c r="M238" s="80">
        <f>J238*H238</f>
        <v>0</v>
      </c>
      <c r="N238" s="80">
        <f>H238*K238</f>
        <v>0</v>
      </c>
      <c r="O238" s="6">
        <f>N238+M238</f>
        <v>0</v>
      </c>
      <c r="P238" s="37">
        <f>I238-O238</f>
        <v>2478.8076408000002</v>
      </c>
      <c r="Q238" s="379">
        <f t="shared" si="67"/>
        <v>0</v>
      </c>
    </row>
    <row r="239" spans="1:17" x14ac:dyDescent="0.25">
      <c r="A239" s="79" t="s">
        <v>600</v>
      </c>
      <c r="B239" s="78" t="s">
        <v>601</v>
      </c>
      <c r="C239" s="373" t="s">
        <v>602</v>
      </c>
      <c r="D239" s="78" t="s">
        <v>12</v>
      </c>
      <c r="E239" s="78" t="s">
        <v>133</v>
      </c>
      <c r="F239" s="92">
        <v>7</v>
      </c>
      <c r="G239" s="10">
        <v>466.47</v>
      </c>
      <c r="H239" s="10">
        <f>G239*$R$6</f>
        <v>594.04954500000008</v>
      </c>
      <c r="I239" s="11">
        <f t="shared" si="68"/>
        <v>4158.3468150000008</v>
      </c>
      <c r="J239" s="5"/>
      <c r="K239" s="32">
        <f>'MEMORIA BM 08'!E227</f>
        <v>0</v>
      </c>
      <c r="L239" s="31">
        <f>K239+J239</f>
        <v>0</v>
      </c>
      <c r="M239" s="80">
        <f>J239*H239</f>
        <v>0</v>
      </c>
      <c r="N239" s="80">
        <f>H239*K239</f>
        <v>0</v>
      </c>
      <c r="O239" s="6">
        <f>N239+M239</f>
        <v>0</v>
      </c>
      <c r="P239" s="37">
        <f>I239-O239</f>
        <v>4158.3468150000008</v>
      </c>
      <c r="Q239" s="379">
        <f t="shared" si="67"/>
        <v>0</v>
      </c>
    </row>
    <row r="240" spans="1:17" ht="51" x14ac:dyDescent="0.25">
      <c r="A240" s="90" t="s">
        <v>808</v>
      </c>
      <c r="B240" s="87">
        <v>87503</v>
      </c>
      <c r="C240" s="91" t="s">
        <v>68</v>
      </c>
      <c r="D240" s="87" t="s">
        <v>21</v>
      </c>
      <c r="E240" s="87" t="s">
        <v>69</v>
      </c>
      <c r="F240" s="92">
        <v>26.54</v>
      </c>
      <c r="G240" s="10">
        <v>52.58</v>
      </c>
      <c r="H240" s="10">
        <v>58.26</v>
      </c>
      <c r="I240" s="11">
        <f t="shared" si="68"/>
        <v>1546.2203999999999</v>
      </c>
      <c r="J240" s="5"/>
      <c r="K240" s="26">
        <f>'MEMORIA BM 08'!E228</f>
        <v>26.535000000000004</v>
      </c>
      <c r="L240" s="31">
        <f t="shared" ref="L240:L248" si="69">K240+J240</f>
        <v>26.535000000000004</v>
      </c>
      <c r="M240" s="80">
        <f t="shared" ref="M240:M248" si="70">J240*H240</f>
        <v>0</v>
      </c>
      <c r="N240" s="7">
        <f t="shared" ref="N240:N248" si="71">H240*K240</f>
        <v>1545.9291000000001</v>
      </c>
      <c r="O240" s="6">
        <f t="shared" ref="O240:O248" si="72">N240+M240</f>
        <v>1545.9291000000001</v>
      </c>
      <c r="P240" s="37">
        <f t="shared" ref="P240:P248" si="73">I240-O240</f>
        <v>0.29129999999986467</v>
      </c>
      <c r="Q240" s="379">
        <f t="shared" si="67"/>
        <v>0.99981160512434075</v>
      </c>
    </row>
    <row r="241" spans="1:18" ht="25.5" x14ac:dyDescent="0.25">
      <c r="A241" s="90" t="s">
        <v>809</v>
      </c>
      <c r="B241" s="87">
        <v>94319</v>
      </c>
      <c r="C241" s="91" t="s">
        <v>30</v>
      </c>
      <c r="D241" s="87" t="s">
        <v>21</v>
      </c>
      <c r="E241" s="87" t="s">
        <v>31</v>
      </c>
      <c r="F241" s="92">
        <v>30.48</v>
      </c>
      <c r="G241" s="10">
        <v>30.08</v>
      </c>
      <c r="H241" s="10">
        <v>33.33</v>
      </c>
      <c r="I241" s="11">
        <f t="shared" si="68"/>
        <v>1015.8983999999999</v>
      </c>
      <c r="J241" s="5"/>
      <c r="K241" s="26">
        <f>'MEMORIA BM 08'!E229</f>
        <v>30.476480000000002</v>
      </c>
      <c r="L241" s="31">
        <f t="shared" si="69"/>
        <v>30.476480000000002</v>
      </c>
      <c r="M241" s="80">
        <f t="shared" si="70"/>
        <v>0</v>
      </c>
      <c r="N241" s="7">
        <f t="shared" si="71"/>
        <v>1015.7810784000001</v>
      </c>
      <c r="O241" s="6">
        <f t="shared" si="72"/>
        <v>1015.7810784000001</v>
      </c>
      <c r="P241" s="37">
        <f t="shared" si="73"/>
        <v>0.1173215999998547</v>
      </c>
      <c r="Q241" s="379">
        <f t="shared" si="67"/>
        <v>0.9998845144356957</v>
      </c>
    </row>
    <row r="242" spans="1:18" ht="45" x14ac:dyDescent="0.25">
      <c r="A242" s="90" t="s">
        <v>810</v>
      </c>
      <c r="B242" s="87">
        <v>94992</v>
      </c>
      <c r="C242" s="88" t="s">
        <v>811</v>
      </c>
      <c r="D242" s="87" t="s">
        <v>21</v>
      </c>
      <c r="E242" s="87" t="s">
        <v>69</v>
      </c>
      <c r="F242" s="92">
        <v>40.64</v>
      </c>
      <c r="G242" s="10">
        <v>65.22</v>
      </c>
      <c r="H242" s="10">
        <v>72.260000000000005</v>
      </c>
      <c r="I242" s="11">
        <f t="shared" si="68"/>
        <v>2936.6464000000001</v>
      </c>
      <c r="J242" s="5"/>
      <c r="K242" s="26">
        <f>'MEMORIA BM 08'!E230</f>
        <v>40.635300000000001</v>
      </c>
      <c r="L242" s="31">
        <f t="shared" si="69"/>
        <v>40.635300000000001</v>
      </c>
      <c r="M242" s="80">
        <f t="shared" si="70"/>
        <v>0</v>
      </c>
      <c r="N242" s="7">
        <f t="shared" si="71"/>
        <v>2936.3067780000001</v>
      </c>
      <c r="O242" s="6">
        <f t="shared" si="72"/>
        <v>2936.3067780000001</v>
      </c>
      <c r="P242" s="37">
        <f t="shared" si="73"/>
        <v>0.33962199999996301</v>
      </c>
      <c r="Q242" s="379">
        <f t="shared" si="67"/>
        <v>0.99988435039370083</v>
      </c>
    </row>
    <row r="243" spans="1:18" ht="51" x14ac:dyDescent="0.25">
      <c r="A243" s="90" t="s">
        <v>812</v>
      </c>
      <c r="B243" s="87">
        <v>87632</v>
      </c>
      <c r="C243" s="91" t="s">
        <v>153</v>
      </c>
      <c r="D243" s="87" t="s">
        <v>21</v>
      </c>
      <c r="E243" s="87" t="s">
        <v>69</v>
      </c>
      <c r="F243" s="92">
        <v>40.64</v>
      </c>
      <c r="G243" s="10">
        <v>27.26</v>
      </c>
      <c r="H243" s="10">
        <v>30.2</v>
      </c>
      <c r="I243" s="11">
        <f t="shared" si="68"/>
        <v>1227.328</v>
      </c>
      <c r="J243" s="5"/>
      <c r="K243" s="26">
        <f>'MEMORIA BM 08'!E231</f>
        <v>40.635300000000001</v>
      </c>
      <c r="L243" s="31">
        <f t="shared" si="69"/>
        <v>40.635300000000001</v>
      </c>
      <c r="M243" s="80">
        <f t="shared" si="70"/>
        <v>0</v>
      </c>
      <c r="N243" s="7">
        <f t="shared" si="71"/>
        <v>1227.18606</v>
      </c>
      <c r="O243" s="6">
        <f t="shared" si="72"/>
        <v>1227.18606</v>
      </c>
      <c r="P243" s="37">
        <f t="shared" si="73"/>
        <v>0.14193999999997686</v>
      </c>
      <c r="Q243" s="379">
        <f t="shared" si="67"/>
        <v>0.99988435039370083</v>
      </c>
    </row>
    <row r="244" spans="1:18" ht="38.25" x14ac:dyDescent="0.25">
      <c r="A244" s="90" t="s">
        <v>813</v>
      </c>
      <c r="B244" s="87">
        <v>87879</v>
      </c>
      <c r="C244" s="91" t="s">
        <v>173</v>
      </c>
      <c r="D244" s="87" t="s">
        <v>21</v>
      </c>
      <c r="E244" s="87" t="s">
        <v>69</v>
      </c>
      <c r="F244" s="92">
        <v>18.989999999999998</v>
      </c>
      <c r="G244" s="10">
        <v>2.64</v>
      </c>
      <c r="H244" s="10">
        <v>2.92</v>
      </c>
      <c r="I244" s="11">
        <f t="shared" si="68"/>
        <v>55.450799999999994</v>
      </c>
      <c r="J244" s="5"/>
      <c r="K244" s="26">
        <f>'MEMORIA BM 08'!E232</f>
        <v>18.989999999999998</v>
      </c>
      <c r="L244" s="31">
        <f t="shared" si="69"/>
        <v>18.989999999999998</v>
      </c>
      <c r="M244" s="80">
        <f t="shared" si="70"/>
        <v>0</v>
      </c>
      <c r="N244" s="7">
        <f t="shared" si="71"/>
        <v>55.450799999999994</v>
      </c>
      <c r="O244" s="6">
        <f t="shared" si="72"/>
        <v>55.450799999999994</v>
      </c>
      <c r="P244" s="37">
        <f t="shared" si="73"/>
        <v>0</v>
      </c>
      <c r="Q244" s="379">
        <f t="shared" si="67"/>
        <v>1</v>
      </c>
    </row>
    <row r="245" spans="1:18" ht="51" x14ac:dyDescent="0.25">
      <c r="A245" s="90" t="s">
        <v>814</v>
      </c>
      <c r="B245" s="87">
        <v>87547</v>
      </c>
      <c r="C245" s="91" t="s">
        <v>176</v>
      </c>
      <c r="D245" s="87" t="s">
        <v>21</v>
      </c>
      <c r="E245" s="87" t="s">
        <v>69</v>
      </c>
      <c r="F245" s="92">
        <v>18.989999999999998</v>
      </c>
      <c r="G245" s="10">
        <v>14.42</v>
      </c>
      <c r="H245" s="10">
        <v>15.98</v>
      </c>
      <c r="I245" s="11">
        <f t="shared" si="68"/>
        <v>303.46019999999999</v>
      </c>
      <c r="J245" s="5"/>
      <c r="K245" s="26">
        <f>'MEMORIA BM 08'!E233</f>
        <v>18.989999999999998</v>
      </c>
      <c r="L245" s="31">
        <f t="shared" si="69"/>
        <v>18.989999999999998</v>
      </c>
      <c r="M245" s="80">
        <f t="shared" si="70"/>
        <v>0</v>
      </c>
      <c r="N245" s="7">
        <f t="shared" si="71"/>
        <v>303.46019999999999</v>
      </c>
      <c r="O245" s="6">
        <f t="shared" si="72"/>
        <v>303.46019999999999</v>
      </c>
      <c r="P245" s="37">
        <f t="shared" si="73"/>
        <v>0</v>
      </c>
      <c r="Q245" s="379">
        <f t="shared" si="67"/>
        <v>1</v>
      </c>
    </row>
    <row r="246" spans="1:18" ht="25.5" x14ac:dyDescent="0.25">
      <c r="A246" s="90" t="s">
        <v>815</v>
      </c>
      <c r="B246" s="87" t="s">
        <v>578</v>
      </c>
      <c r="C246" s="91" t="s">
        <v>579</v>
      </c>
      <c r="D246" s="87" t="s">
        <v>12</v>
      </c>
      <c r="E246" s="87" t="s">
        <v>13</v>
      </c>
      <c r="F246" s="92">
        <v>18.989999999999998</v>
      </c>
      <c r="G246" s="10">
        <v>13.49</v>
      </c>
      <c r="H246" s="10">
        <v>14.95</v>
      </c>
      <c r="I246" s="11">
        <f t="shared" si="68"/>
        <v>283.90049999999997</v>
      </c>
      <c r="J246" s="5"/>
      <c r="K246" s="32">
        <f>'MEMORIA BM 08'!E234</f>
        <v>0</v>
      </c>
      <c r="L246" s="31">
        <f t="shared" si="69"/>
        <v>0</v>
      </c>
      <c r="M246" s="80">
        <f t="shared" si="70"/>
        <v>0</v>
      </c>
      <c r="N246" s="80">
        <f t="shared" si="71"/>
        <v>0</v>
      </c>
      <c r="O246" s="6">
        <f t="shared" si="72"/>
        <v>0</v>
      </c>
      <c r="P246" s="37">
        <f t="shared" si="73"/>
        <v>283.90049999999997</v>
      </c>
      <c r="Q246" s="379">
        <f t="shared" si="67"/>
        <v>0</v>
      </c>
    </row>
    <row r="247" spans="1:18" ht="25.5" x14ac:dyDescent="0.25">
      <c r="A247" s="90" t="s">
        <v>816</v>
      </c>
      <c r="B247" s="87">
        <v>88485</v>
      </c>
      <c r="C247" s="91" t="s">
        <v>573</v>
      </c>
      <c r="D247" s="87" t="s">
        <v>21</v>
      </c>
      <c r="E247" s="87" t="s">
        <v>69</v>
      </c>
      <c r="F247" s="92">
        <v>18.989999999999998</v>
      </c>
      <c r="G247" s="10">
        <v>1.89</v>
      </c>
      <c r="H247" s="10">
        <v>2.09</v>
      </c>
      <c r="I247" s="11">
        <f t="shared" si="68"/>
        <v>39.689099999999996</v>
      </c>
      <c r="J247" s="5"/>
      <c r="K247" s="32">
        <f>'MEMORIA BM 08'!E235</f>
        <v>0</v>
      </c>
      <c r="L247" s="31">
        <f t="shared" si="69"/>
        <v>0</v>
      </c>
      <c r="M247" s="80">
        <f t="shared" si="70"/>
        <v>0</v>
      </c>
      <c r="N247" s="80">
        <f t="shared" si="71"/>
        <v>0</v>
      </c>
      <c r="O247" s="6">
        <f t="shared" si="72"/>
        <v>0</v>
      </c>
      <c r="P247" s="37">
        <f t="shared" si="73"/>
        <v>39.689099999999996</v>
      </c>
      <c r="Q247" s="379">
        <f t="shared" si="67"/>
        <v>0</v>
      </c>
    </row>
    <row r="248" spans="1:18" ht="25.5" x14ac:dyDescent="0.25">
      <c r="A248" s="90" t="s">
        <v>817</v>
      </c>
      <c r="B248" s="87">
        <v>88489</v>
      </c>
      <c r="C248" s="91" t="s">
        <v>582</v>
      </c>
      <c r="D248" s="87" t="s">
        <v>21</v>
      </c>
      <c r="E248" s="87" t="s">
        <v>69</v>
      </c>
      <c r="F248" s="92">
        <v>18.989999999999998</v>
      </c>
      <c r="G248" s="10">
        <v>9.89</v>
      </c>
      <c r="H248" s="10">
        <v>10.96</v>
      </c>
      <c r="I248" s="11">
        <f t="shared" si="68"/>
        <v>208.13040000000001</v>
      </c>
      <c r="J248" s="5"/>
      <c r="K248" s="32">
        <f>'MEMORIA BM 08'!E236</f>
        <v>0</v>
      </c>
      <c r="L248" s="31">
        <f t="shared" si="69"/>
        <v>0</v>
      </c>
      <c r="M248" s="80">
        <f t="shared" si="70"/>
        <v>0</v>
      </c>
      <c r="N248" s="80">
        <f t="shared" si="71"/>
        <v>0</v>
      </c>
      <c r="O248" s="6">
        <f t="shared" si="72"/>
        <v>0</v>
      </c>
      <c r="P248" s="37">
        <f t="shared" si="73"/>
        <v>208.13040000000001</v>
      </c>
      <c r="Q248" s="379">
        <f t="shared" si="67"/>
        <v>0</v>
      </c>
    </row>
    <row r="249" spans="1:18" x14ac:dyDescent="0.25">
      <c r="A249" s="38"/>
      <c r="B249" s="3"/>
      <c r="C249" s="372"/>
      <c r="D249" s="3"/>
      <c r="E249" s="3"/>
      <c r="F249" s="12"/>
      <c r="G249" s="13"/>
      <c r="H249" s="13"/>
      <c r="I249" s="14">
        <f>SUM(I238:I248)</f>
        <v>14253.878655799999</v>
      </c>
      <c r="J249" s="15"/>
      <c r="K249" s="15"/>
      <c r="L249" s="15"/>
      <c r="M249" s="14">
        <f>SUM(M238:M248)</f>
        <v>0</v>
      </c>
      <c r="N249" s="14">
        <f>SUM(N238:N248)</f>
        <v>7084.1140164000008</v>
      </c>
      <c r="O249" s="14">
        <f>SUM(O238:O248)</f>
        <v>7084.1140164000008</v>
      </c>
      <c r="P249" s="39">
        <f>I249-O249</f>
        <v>7169.7646393999985</v>
      </c>
      <c r="Q249" s="379">
        <f t="shared" si="67"/>
        <v>0.49699553275749453</v>
      </c>
    </row>
    <row r="250" spans="1:18" x14ac:dyDescent="0.25">
      <c r="A250" s="113" t="s">
        <v>612</v>
      </c>
      <c r="B250" s="114"/>
      <c r="C250" s="114"/>
      <c r="D250" s="114"/>
      <c r="E250" s="114"/>
      <c r="F250" s="114"/>
      <c r="G250" s="114"/>
      <c r="H250" s="114"/>
      <c r="I250" s="114"/>
      <c r="J250" s="129">
        <f>I249+I236+I225+I163+I114+I107+I103+I87+I80+I70+I58+I38+I32+I21+I13</f>
        <v>1388203.5276546001</v>
      </c>
      <c r="K250" s="129"/>
      <c r="L250" s="129"/>
      <c r="M250" s="111">
        <f>M249+M236+M225+M163+M114+M107+M103+M87+M80+M70+M58+M38+M32+M21+M13</f>
        <v>877423.32823863998</v>
      </c>
      <c r="N250" s="131">
        <f>N249+N236+N225+N163+N114+N107+N103+N87+N80+N70+N58+N38+N32+N21+N13</f>
        <v>41473.370740500002</v>
      </c>
      <c r="O250" s="111">
        <f>O249+O236+O225+O163+O114+O107+O103+O87+O80+O70+O58+O38+O32+O21+O13</f>
        <v>918896.69897913991</v>
      </c>
      <c r="P250" s="133">
        <f>P249+P236+P225+P163+P114+P107+P103+P87+P80+P70+P58+P38+P32+P21+P13</f>
        <v>469306.82867546001</v>
      </c>
    </row>
    <row r="251" spans="1:18" x14ac:dyDescent="0.25">
      <c r="A251" s="113"/>
      <c r="B251" s="114"/>
      <c r="C251" s="114"/>
      <c r="D251" s="114"/>
      <c r="E251" s="114"/>
      <c r="F251" s="114"/>
      <c r="G251" s="114"/>
      <c r="H251" s="114"/>
      <c r="I251" s="114"/>
      <c r="J251" s="129"/>
      <c r="K251" s="129"/>
      <c r="L251" s="129"/>
      <c r="M251" s="111"/>
      <c r="N251" s="131"/>
      <c r="O251" s="111"/>
      <c r="P251" s="133"/>
    </row>
    <row r="252" spans="1:18" ht="15.75" thickBot="1" x14ac:dyDescent="0.3">
      <c r="A252" s="115"/>
      <c r="B252" s="116"/>
      <c r="C252" s="116"/>
      <c r="D252" s="116"/>
      <c r="E252" s="116"/>
      <c r="F252" s="116"/>
      <c r="G252" s="116"/>
      <c r="H252" s="116"/>
      <c r="I252" s="116"/>
      <c r="J252" s="130"/>
      <c r="K252" s="130"/>
      <c r="L252" s="130"/>
      <c r="M252" s="112"/>
      <c r="N252" s="132"/>
      <c r="O252" s="112"/>
      <c r="P252" s="134"/>
    </row>
    <row r="254" spans="1:18" ht="21" x14ac:dyDescent="0.35">
      <c r="A254" s="230"/>
      <c r="C254" s="359" t="s">
        <v>860</v>
      </c>
      <c r="F254" s="358"/>
      <c r="G254" s="358"/>
      <c r="H254" s="352"/>
      <c r="I254" s="352"/>
      <c r="J254" s="353"/>
      <c r="K254" s="354"/>
      <c r="L254" s="352"/>
      <c r="M254" s="356"/>
      <c r="N254" s="356"/>
      <c r="O254" s="357"/>
      <c r="P254" s="357"/>
      <c r="Q254" s="296"/>
      <c r="R254" s="230"/>
    </row>
    <row r="255" spans="1:18" ht="21" x14ac:dyDescent="0.25">
      <c r="A255" s="230"/>
      <c r="C255" s="360"/>
      <c r="D255" s="375"/>
      <c r="E255" s="375"/>
      <c r="F255" s="358"/>
      <c r="G255" s="358"/>
      <c r="H255" s="352"/>
      <c r="I255" s="352"/>
      <c r="J255" s="353"/>
      <c r="K255" s="354"/>
      <c r="L255" s="352"/>
      <c r="M255" s="356"/>
      <c r="N255" s="356"/>
      <c r="O255" s="357"/>
      <c r="P255" s="357"/>
      <c r="Q255" s="296"/>
      <c r="R255" s="230"/>
    </row>
    <row r="256" spans="1:18" ht="21" x14ac:dyDescent="0.25">
      <c r="A256" s="230"/>
      <c r="C256" s="361"/>
      <c r="D256" s="375"/>
      <c r="E256" s="375"/>
      <c r="F256" s="358"/>
      <c r="G256" s="358"/>
      <c r="H256" s="352"/>
      <c r="I256" s="352"/>
      <c r="J256" s="353"/>
      <c r="K256" s="354"/>
      <c r="L256" s="352"/>
      <c r="M256" s="356"/>
      <c r="N256" s="356"/>
      <c r="O256" s="357"/>
      <c r="P256" s="357"/>
      <c r="Q256" s="296"/>
      <c r="R256" s="230"/>
    </row>
    <row r="257" spans="1:18" x14ac:dyDescent="0.25">
      <c r="A257" s="230"/>
      <c r="C257"/>
      <c r="D257" s="375"/>
      <c r="E257" s="375"/>
      <c r="F257" s="358"/>
      <c r="G257" s="358"/>
      <c r="H257" s="352"/>
      <c r="I257" s="352"/>
      <c r="J257" s="353"/>
      <c r="K257" s="354"/>
      <c r="L257" s="352"/>
      <c r="M257" s="356"/>
      <c r="N257" s="356"/>
      <c r="O257" s="357"/>
      <c r="P257" s="357"/>
      <c r="Q257" s="296"/>
      <c r="R257" s="230"/>
    </row>
    <row r="258" spans="1:18" x14ac:dyDescent="0.25">
      <c r="A258" s="230"/>
      <c r="C258"/>
      <c r="D258" s="375"/>
      <c r="E258" s="375"/>
      <c r="F258" s="358"/>
      <c r="G258" s="358"/>
      <c r="H258" s="352"/>
      <c r="I258" s="352"/>
      <c r="J258" s="353"/>
      <c r="K258" s="354"/>
      <c r="L258" s="352"/>
      <c r="M258" s="356"/>
      <c r="N258" s="356"/>
      <c r="O258" s="357"/>
      <c r="P258" s="357"/>
      <c r="Q258" s="296"/>
      <c r="R258" s="230"/>
    </row>
    <row r="259" spans="1:18" ht="28.5" x14ac:dyDescent="0.25">
      <c r="A259" s="230"/>
      <c r="C259" s="362"/>
      <c r="D259" s="375"/>
      <c r="E259" s="375"/>
      <c r="F259" s="358"/>
      <c r="G259" s="358"/>
      <c r="H259" s="352"/>
      <c r="I259" s="352"/>
      <c r="J259" s="353"/>
      <c r="K259" s="354"/>
      <c r="L259" s="352"/>
      <c r="M259" s="356"/>
      <c r="N259" s="356"/>
      <c r="O259" s="357"/>
      <c r="P259" s="357"/>
      <c r="Q259" s="296"/>
      <c r="R259" s="230"/>
    </row>
    <row r="260" spans="1:18" x14ac:dyDescent="0.25">
      <c r="A260" s="230"/>
      <c r="C260"/>
      <c r="D260" s="375"/>
      <c r="E260" s="375"/>
      <c r="F260" s="358"/>
      <c r="G260" s="358"/>
      <c r="H260" s="352"/>
      <c r="I260" s="352"/>
      <c r="J260" s="353"/>
      <c r="K260" s="354"/>
      <c r="L260" s="352"/>
      <c r="M260" s="356"/>
      <c r="N260" s="356"/>
      <c r="O260" s="357"/>
      <c r="P260" s="357"/>
      <c r="Q260" s="296"/>
      <c r="R260" s="230"/>
    </row>
    <row r="261" spans="1:18" x14ac:dyDescent="0.25">
      <c r="A261" s="230"/>
      <c r="C261"/>
      <c r="D261" s="375"/>
      <c r="E261" s="375"/>
      <c r="F261" s="358"/>
      <c r="G261" s="358"/>
      <c r="H261" s="352"/>
      <c r="I261" s="352"/>
      <c r="J261" s="353"/>
      <c r="K261" s="354"/>
      <c r="L261" s="352"/>
      <c r="M261" s="356"/>
      <c r="N261" s="356"/>
      <c r="O261" s="357"/>
      <c r="P261" s="357"/>
      <c r="Q261" s="296"/>
      <c r="R261" s="230"/>
    </row>
    <row r="262" spans="1:18" x14ac:dyDescent="0.25">
      <c r="A262" s="230"/>
      <c r="C262"/>
      <c r="D262" s="375"/>
      <c r="E262" s="375"/>
      <c r="F262" s="358"/>
      <c r="G262" s="358"/>
      <c r="H262" s="352"/>
      <c r="I262" s="352"/>
      <c r="J262" s="353"/>
      <c r="K262" s="354"/>
      <c r="L262" s="352"/>
      <c r="M262" s="356"/>
      <c r="N262" s="356"/>
      <c r="O262" s="357"/>
      <c r="P262" s="357"/>
      <c r="Q262" s="296"/>
      <c r="R262" s="230"/>
    </row>
    <row r="263" spans="1:18" x14ac:dyDescent="0.25">
      <c r="A263" s="230"/>
      <c r="C263" t="s">
        <v>864</v>
      </c>
      <c r="D263" s="375"/>
      <c r="E263" s="375"/>
      <c r="F263" s="358"/>
      <c r="G263" s="358"/>
      <c r="H263" s="352"/>
      <c r="I263" s="352"/>
      <c r="J263" s="353"/>
      <c r="K263" s="354"/>
      <c r="L263" s="352"/>
      <c r="M263" s="356"/>
      <c r="N263" s="356"/>
      <c r="O263" s="357"/>
      <c r="P263" s="357"/>
      <c r="Q263" s="296"/>
      <c r="R263" s="230"/>
    </row>
    <row r="264" spans="1:18" x14ac:dyDescent="0.25">
      <c r="A264" s="230"/>
      <c r="C264" t="s">
        <v>865</v>
      </c>
      <c r="D264" s="375"/>
      <c r="E264" s="375"/>
      <c r="F264" s="358"/>
      <c r="G264" s="358"/>
      <c r="H264" s="352"/>
      <c r="I264" s="352"/>
      <c r="J264" s="353"/>
      <c r="K264" s="354"/>
      <c r="L264" s="352"/>
      <c r="M264" s="356"/>
      <c r="N264" s="356"/>
      <c r="O264" s="357"/>
      <c r="P264" s="357"/>
      <c r="Q264" s="296"/>
      <c r="R264" s="230"/>
    </row>
    <row r="273" spans="16:16" ht="15.75" thickBot="1" x14ac:dyDescent="0.3"/>
    <row r="274" spans="16:16" ht="15.75" thickBot="1" x14ac:dyDescent="0.3">
      <c r="P274" s="368">
        <f>'BM-07_ACUMULADO'!N268</f>
        <v>875616.97482053505</v>
      </c>
    </row>
    <row r="275" spans="16:16" x14ac:dyDescent="0.25">
      <c r="P275" s="369" t="s">
        <v>866</v>
      </c>
    </row>
    <row r="277" spans="16:16" x14ac:dyDescent="0.25">
      <c r="P277" s="367">
        <f>P274-M250</f>
        <v>-1806.3534181049326</v>
      </c>
    </row>
  </sheetData>
  <mergeCells count="37">
    <mergeCell ref="J250:L252"/>
    <mergeCell ref="N250:N252"/>
    <mergeCell ref="O250:O252"/>
    <mergeCell ref="P250:P25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22:P22"/>
    <mergeCell ref="B33:P33"/>
    <mergeCell ref="N1:P2"/>
    <mergeCell ref="N3:P3"/>
    <mergeCell ref="N4:P5"/>
    <mergeCell ref="J6:L6"/>
    <mergeCell ref="M6:P6"/>
    <mergeCell ref="A1:C3"/>
    <mergeCell ref="D1:M2"/>
    <mergeCell ref="M250:M252"/>
    <mergeCell ref="A250:I252"/>
    <mergeCell ref="B81:P81"/>
    <mergeCell ref="B88:P88"/>
    <mergeCell ref="B104:P104"/>
    <mergeCell ref="B108:P108"/>
    <mergeCell ref="B115:P115"/>
    <mergeCell ref="B39:P39"/>
    <mergeCell ref="B51:P51"/>
    <mergeCell ref="B164:P164"/>
    <mergeCell ref="B226:P226"/>
    <mergeCell ref="B237:P237"/>
    <mergeCell ref="B59:P59"/>
    <mergeCell ref="B71:P71"/>
  </mergeCells>
  <conditionalFormatting sqref="J8:J249 J265:J1048576 J253">
    <cfRule type="cellIs" dxfId="11" priority="8" operator="greaterThan">
      <formula>0</formula>
    </cfRule>
  </conditionalFormatting>
  <conditionalFormatting sqref="N8:N253 N265:N1048576">
    <cfRule type="cellIs" dxfId="10" priority="7" operator="greaterThan">
      <formula>0</formula>
    </cfRule>
  </conditionalFormatting>
  <conditionalFormatting sqref="K8:K249 K265:K1048576 K253">
    <cfRule type="cellIs" dxfId="9" priority="6" operator="greaterThan">
      <formula>0</formula>
    </cfRule>
  </conditionalFormatting>
  <conditionalFormatting sqref="Q1:Q6 Q8:Q253 R6 Q265:Q1048576">
    <cfRule type="cellIs" dxfId="8" priority="3" operator="greaterThan">
      <formula>1</formula>
    </cfRule>
  </conditionalFormatting>
  <conditionalFormatting sqref="L254:L264">
    <cfRule type="cellIs" dxfId="7" priority="2" operator="greaterThan">
      <formula>0</formula>
    </cfRule>
  </conditionalFormatting>
  <conditionalFormatting sqref="M254:M264">
    <cfRule type="cellIs" dxfId="6" priority="1" operator="greaterThan">
      <formula>0</formula>
    </cfRule>
  </conditionalFormatting>
  <pageMargins left="0.7" right="0.7" top="0.75" bottom="0.75" header="0.3" footer="0.3"/>
  <pageSetup paperSize="9" scale="41" fitToHeight="0" orientation="landscape" r:id="rId1"/>
  <rowBreaks count="8" manualBreakCount="8">
    <brk id="35" max="16" man="1"/>
    <brk id="60" max="16" man="1"/>
    <brk id="85" max="16" man="1"/>
    <brk id="117" max="16" man="1"/>
    <brk id="141" max="16" man="1"/>
    <brk id="173" max="16" man="1"/>
    <brk id="201" max="16" man="1"/>
    <brk id="230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42"/>
  <sheetViews>
    <sheetView tabSelected="1" view="pageBreakPreview" topLeftCell="A225" zoomScale="70" zoomScaleNormal="100" zoomScaleSheetLayoutView="70" workbookViewId="0">
      <selection activeCell="D237" sqref="D237"/>
    </sheetView>
  </sheetViews>
  <sheetFormatPr defaultRowHeight="15" x14ac:dyDescent="0.25"/>
  <cols>
    <col min="2" max="2" width="65.710937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 x14ac:dyDescent="0.25">
      <c r="A1" s="150" t="s">
        <v>611</v>
      </c>
      <c r="B1" s="150"/>
      <c r="C1" s="140" t="s">
        <v>828</v>
      </c>
      <c r="D1" s="141"/>
      <c r="E1" s="142"/>
      <c r="F1" s="68"/>
      <c r="G1" s="68"/>
      <c r="H1" s="68"/>
      <c r="I1" s="68"/>
      <c r="J1" s="68"/>
      <c r="K1" s="68"/>
      <c r="L1" s="68"/>
      <c r="M1" s="68"/>
      <c r="N1" s="153"/>
      <c r="O1" s="153"/>
      <c r="P1" s="153"/>
    </row>
    <row r="2" spans="1:16" ht="15" customHeight="1" x14ac:dyDescent="0.25">
      <c r="A2" s="151"/>
      <c r="B2" s="151"/>
      <c r="C2" s="143"/>
      <c r="D2" s="144"/>
      <c r="E2" s="145"/>
      <c r="F2" s="68"/>
      <c r="G2" s="68"/>
      <c r="H2" s="68"/>
      <c r="I2" s="68"/>
      <c r="J2" s="68"/>
      <c r="K2" s="68"/>
      <c r="L2" s="68"/>
      <c r="M2" s="68"/>
      <c r="N2" s="153"/>
      <c r="O2" s="153"/>
      <c r="P2" s="153"/>
    </row>
    <row r="3" spans="1:16" ht="15" customHeight="1" x14ac:dyDescent="0.25">
      <c r="A3" s="151"/>
      <c r="B3" s="151"/>
      <c r="C3" s="146"/>
      <c r="D3" s="147"/>
      <c r="E3" s="148"/>
      <c r="F3" s="68"/>
      <c r="G3" s="68"/>
      <c r="H3" s="68"/>
      <c r="I3" s="68"/>
      <c r="J3" s="68"/>
      <c r="K3" s="68"/>
      <c r="L3" s="68"/>
      <c r="M3" s="68"/>
      <c r="N3" s="70"/>
      <c r="O3" s="70"/>
      <c r="P3" s="70"/>
    </row>
    <row r="4" spans="1:16" ht="15" customHeight="1" x14ac:dyDescent="0.25">
      <c r="A4" s="151"/>
      <c r="B4" s="151"/>
      <c r="C4" s="149" t="s">
        <v>613</v>
      </c>
      <c r="D4" s="149"/>
      <c r="E4" s="149"/>
      <c r="F4" s="69"/>
      <c r="G4" s="69"/>
      <c r="H4" s="69"/>
      <c r="I4" s="69"/>
      <c r="J4" s="69"/>
      <c r="K4" s="69"/>
      <c r="L4" s="69"/>
      <c r="M4" s="69"/>
      <c r="N4" s="154"/>
      <c r="O4" s="154"/>
      <c r="P4" s="154"/>
    </row>
    <row r="5" spans="1:16" ht="15" customHeight="1" x14ac:dyDescent="0.25">
      <c r="A5" s="152"/>
      <c r="B5" s="152"/>
      <c r="C5" s="149"/>
      <c r="D5" s="149"/>
      <c r="E5" s="149"/>
      <c r="F5" s="69"/>
      <c r="G5" s="69"/>
      <c r="H5" s="69"/>
      <c r="I5" s="69"/>
      <c r="J5" s="69"/>
      <c r="K5" s="69"/>
      <c r="L5" s="69"/>
      <c r="M5" s="69"/>
      <c r="N5" s="71"/>
      <c r="O5" s="71"/>
      <c r="P5" s="71"/>
    </row>
    <row r="6" spans="1:16" ht="26.25" x14ac:dyDescent="0.25">
      <c r="A6" s="159" t="s">
        <v>829</v>
      </c>
      <c r="B6" s="160"/>
      <c r="C6" s="160"/>
      <c r="D6" s="160"/>
      <c r="E6" s="161"/>
    </row>
    <row r="7" spans="1:16" x14ac:dyDescent="0.25">
      <c r="A7" s="156"/>
      <c r="B7" s="157"/>
      <c r="C7" s="157"/>
      <c r="D7" s="157"/>
      <c r="E7" s="158"/>
    </row>
    <row r="8" spans="1:16" x14ac:dyDescent="0.25">
      <c r="A8" s="20" t="s">
        <v>0</v>
      </c>
      <c r="B8" s="21" t="s">
        <v>614</v>
      </c>
      <c r="C8" s="22" t="s">
        <v>615</v>
      </c>
      <c r="D8" s="20" t="s">
        <v>616</v>
      </c>
      <c r="E8" s="23" t="s">
        <v>617</v>
      </c>
    </row>
    <row r="9" spans="1:16" x14ac:dyDescent="0.25">
      <c r="A9" s="156"/>
      <c r="B9" s="157"/>
      <c r="C9" s="157"/>
      <c r="D9" s="157"/>
      <c r="E9" s="158"/>
    </row>
    <row r="10" spans="1:16" x14ac:dyDescent="0.25">
      <c r="A10" s="18">
        <f>'[1]1 MEDIÇÃO'!A9</f>
        <v>1</v>
      </c>
      <c r="B10" s="162" t="str">
        <f>'MEDIÇÃO 08'!B8:P8</f>
        <v>SERVIÇOS PRELIMINARES</v>
      </c>
      <c r="C10" s="163"/>
      <c r="D10" s="163"/>
      <c r="E10" s="163"/>
    </row>
    <row r="11" spans="1:16" x14ac:dyDescent="0.25">
      <c r="A11" s="19" t="str">
        <f>'[1]1 MEDIÇÃO'!A10</f>
        <v xml:space="preserve"> 1.1 </v>
      </c>
      <c r="B11" s="16" t="str">
        <f>'MEDIÇÃO 08'!C9</f>
        <v>Placa de obra em chapa aço galvanizado, instalada</v>
      </c>
      <c r="C11" s="5" t="str">
        <f>'MEDIÇÃO 08'!E9</f>
        <v>m2</v>
      </c>
      <c r="D11" s="17"/>
      <c r="E11" s="25"/>
    </row>
    <row r="12" spans="1:16" ht="30" x14ac:dyDescent="0.25">
      <c r="A12" s="19" t="str">
        <f>'[1]1 MEDIÇÃO'!A11</f>
        <v xml:space="preserve"> 1.2 </v>
      </c>
      <c r="B12" s="16" t="str">
        <f>'MEDIÇÃO 08'!C10</f>
        <v>Barracão para escritório de obra porte pequeno s=25,41m2 com materiais novos</v>
      </c>
      <c r="C12" s="5" t="str">
        <f>'MEDIÇÃO 08'!E10</f>
        <v>un</v>
      </c>
      <c r="D12" s="17"/>
      <c r="E12" s="25"/>
    </row>
    <row r="13" spans="1:16" ht="45" x14ac:dyDescent="0.25">
      <c r="A13" s="19" t="str">
        <f>'[1]1 MEDIÇÃO'!A12</f>
        <v xml:space="preserve"> 1.3 </v>
      </c>
      <c r="B13" s="16" t="str">
        <f>'MEDIÇÃO 08'!C11</f>
        <v>LOCACAO CONVENCIONAL DE OBRA, UTILIZANDO GABARITO DE TÁBUAS CORRIDAS PONTALETADAS A CADA 2,00M -  2 UTILIZAÇÕES. AF_10/2018</v>
      </c>
      <c r="C13" s="5" t="str">
        <f>'MEDIÇÃO 08'!E11</f>
        <v>M</v>
      </c>
      <c r="D13" s="5"/>
      <c r="E13" s="25"/>
    </row>
    <row r="14" spans="1:16" ht="30" x14ac:dyDescent="0.25">
      <c r="A14" s="19" t="str">
        <f>'[1]1 MEDIÇÃO'!A13</f>
        <v xml:space="preserve"> 1.4 </v>
      </c>
      <c r="B14" s="16" t="str">
        <f>'MEDIÇÃO 08'!C12</f>
        <v>Instalação provisória de energia elétrica, aerea, trifasica, em poste galvanizado, exclusive fornecimento do medidor</v>
      </c>
      <c r="C14" s="5" t="str">
        <f>'MEDIÇÃO 08'!E12</f>
        <v>un</v>
      </c>
      <c r="D14" s="17"/>
      <c r="E14" s="25"/>
    </row>
    <row r="15" spans="1:16" x14ac:dyDescent="0.25">
      <c r="A15" s="18" t="str">
        <f>'MEDIÇÃO 08'!A14</f>
        <v>2</v>
      </c>
      <c r="B15" s="155" t="str">
        <f>'MEDIÇÃO 08'!B14:P14</f>
        <v>MOVIMENTO DE TERRA</v>
      </c>
      <c r="C15" s="155"/>
      <c r="D15" s="155"/>
      <c r="E15" s="155"/>
    </row>
    <row r="16" spans="1:16" ht="30" x14ac:dyDescent="0.25">
      <c r="A16" s="5" t="str">
        <f>'MEDIÇÃO 08'!A15</f>
        <v>2.1</v>
      </c>
      <c r="B16" s="24" t="str">
        <f>'MEDIÇÃO 08'!C15</f>
        <v>ATERRO MANUAL DE VALAS COM SOLO ARGILO-ARENOSO E COMPACTAÇÃO MECANIZADA. AF_05/2016</v>
      </c>
      <c r="C16" s="27" t="str">
        <f>'MEDIÇÃO 08'!E15</f>
        <v>M3</v>
      </c>
      <c r="D16" s="81"/>
      <c r="E16" s="82"/>
    </row>
    <row r="17" spans="1:6" ht="30" x14ac:dyDescent="0.25">
      <c r="A17" s="5" t="str">
        <f>'MEDIÇÃO 08'!A16</f>
        <v>2.2</v>
      </c>
      <c r="B17" s="16" t="str">
        <f>'MEDIÇÃO 08'!C16</f>
        <v>ESCAVAÇÃO MANUAL PARA BLOCO DE COROAMENTO OU SAPATA (INCLUINDO ESCAVAÇÃO PARA COLOCAÇÃO DE FÔRMAS). AF_06/2017</v>
      </c>
      <c r="C17" s="5" t="str">
        <f>'MEDIÇÃO 08'!E16</f>
        <v>M3</v>
      </c>
      <c r="D17" s="83"/>
      <c r="E17" s="84"/>
      <c r="F17">
        <f>2*2.45*2.55*1.5</f>
        <v>18.7425</v>
      </c>
    </row>
    <row r="18" spans="1:6" ht="30" x14ac:dyDescent="0.25">
      <c r="A18" s="5" t="str">
        <f>'MEDIÇÃO 08'!A17</f>
        <v>2.3</v>
      </c>
      <c r="B18" s="16" t="str">
        <f>'MEDIÇÃO 08'!C17</f>
        <v>ATERRO MANUAL DE VALAS COM SOLO ARGILO-ARENOSO E COMPACTAÇÃO MECANIZADA. AF_05/2016</v>
      </c>
      <c r="C18" s="5" t="str">
        <f>'MEDIÇÃO 08'!E17</f>
        <v>M3</v>
      </c>
      <c r="D18" s="83"/>
      <c r="E18" s="84"/>
    </row>
    <row r="19" spans="1:6" ht="63.75" x14ac:dyDescent="0.25">
      <c r="A19" s="36" t="s">
        <v>789</v>
      </c>
      <c r="B19" s="8" t="s">
        <v>792</v>
      </c>
      <c r="C19" s="2" t="s">
        <v>31</v>
      </c>
      <c r="D19" s="83"/>
      <c r="E19" s="84"/>
    </row>
    <row r="20" spans="1:6" x14ac:dyDescent="0.25">
      <c r="A20" s="36" t="s">
        <v>790</v>
      </c>
      <c r="B20" s="8" t="s">
        <v>793</v>
      </c>
      <c r="C20" s="2" t="s">
        <v>31</v>
      </c>
      <c r="D20" s="83"/>
      <c r="E20" s="84"/>
    </row>
    <row r="21" spans="1:6" x14ac:dyDescent="0.25">
      <c r="A21" s="36" t="s">
        <v>791</v>
      </c>
      <c r="B21" s="8" t="s">
        <v>794</v>
      </c>
      <c r="C21" s="2" t="s">
        <v>22</v>
      </c>
      <c r="D21" s="83"/>
      <c r="E21" s="84"/>
    </row>
    <row r="22" spans="1:6" x14ac:dyDescent="0.25">
      <c r="A22" s="18" t="str">
        <f>'MEDIÇÃO 08'!A22</f>
        <v>3</v>
      </c>
      <c r="B22" s="155" t="str">
        <f>'MEDIÇÃO 08'!B22:P22</f>
        <v>FUNDAÇÃO</v>
      </c>
      <c r="C22" s="155"/>
      <c r="D22" s="155"/>
      <c r="E22" s="155"/>
    </row>
    <row r="23" spans="1:6" ht="45" x14ac:dyDescent="0.25">
      <c r="A23" s="5" t="str">
        <f>'MEDIÇÃO 08'!A23</f>
        <v>3.1</v>
      </c>
      <c r="B23" s="24" t="str">
        <f>'MEDIÇÃO 08'!C23</f>
        <v>CONCRETO MAGRO PARA LASTRO, TRAÇO 1:4,5:4,5 (EM MASSA SECA DE CIMENTO/ AREIA MÉDIA/ BRITA 1) - PREPARO MECÂNICO COM BETONEIRA 400 L. AF_05/2021</v>
      </c>
      <c r="C23" s="27" t="str">
        <f>'MEDIÇÃO 08'!E23</f>
        <v>M3</v>
      </c>
      <c r="D23" s="95"/>
      <c r="E23" s="84"/>
      <c r="F23">
        <f>2*1.6*1.65*0.1</f>
        <v>0.52800000000000002</v>
      </c>
    </row>
    <row r="24" spans="1:6" x14ac:dyDescent="0.25">
      <c r="A24" s="5" t="str">
        <f>'MEDIÇÃO 08'!A24</f>
        <v>3.2</v>
      </c>
      <c r="B24" s="24" t="str">
        <f>'MEDIÇÃO 08'!C24</f>
        <v>Forma plana para fundações, em tábuas de pinho, 07 usos</v>
      </c>
      <c r="C24" s="27" t="str">
        <f>'MEDIÇÃO 08'!E24</f>
        <v>m²</v>
      </c>
      <c r="D24" s="95"/>
      <c r="E24" s="84"/>
    </row>
    <row r="25" spans="1:6" ht="30" x14ac:dyDescent="0.25">
      <c r="A25" s="5" t="str">
        <f>'MEDIÇÃO 08'!A25</f>
        <v>3.3</v>
      </c>
      <c r="B25" s="24" t="str">
        <f>'MEDIÇÃO 08'!C25</f>
        <v>ARMAÇÃO DE BLOCO, VIGA BALDRAME OU SAPATA UTILIZANDO AÇO CA-50 DE 6,3 MM - MONTAGEM. AF_06/2017</v>
      </c>
      <c r="C25" s="27" t="str">
        <f>'MEDIÇÃO 08'!E25</f>
        <v>KG</v>
      </c>
      <c r="D25" s="40"/>
      <c r="E25" s="31"/>
    </row>
    <row r="26" spans="1:6" ht="30" x14ac:dyDescent="0.25">
      <c r="A26" s="5" t="str">
        <f>'MEDIÇÃO 08'!A26</f>
        <v>3.4</v>
      </c>
      <c r="B26" s="24" t="str">
        <f>'MEDIÇÃO 08'!C26</f>
        <v>ARMAÇÃO DE BLOCO, VIGA BALDRAME OU SAPATA UTILIZANDO AÇO CA-50 DE 10 MM - MONTAGEM. AF_06/2017</v>
      </c>
      <c r="C26" s="27" t="str">
        <f>'MEDIÇÃO 08'!E26</f>
        <v>KG</v>
      </c>
      <c r="D26" s="95"/>
      <c r="E26" s="84"/>
    </row>
    <row r="27" spans="1:6" ht="30" x14ac:dyDescent="0.25">
      <c r="A27" s="5" t="str">
        <f>'MEDIÇÃO 08'!A27</f>
        <v>3.5</v>
      </c>
      <c r="B27" s="24" t="str">
        <f>'MEDIÇÃO 08'!C27</f>
        <v>ARMAÇÃO DE BLOCO, VIGA BALDRAME OU SAPATA UTILIZANDO AÇO CA-50 DE 12,5 MM - MONTAGEM. AF_06/2017</v>
      </c>
      <c r="C27" s="27" t="str">
        <f>'MEDIÇÃO 08'!E27</f>
        <v>KG</v>
      </c>
      <c r="D27" s="41"/>
      <c r="E27" s="31"/>
    </row>
    <row r="28" spans="1:6" ht="30" x14ac:dyDescent="0.25">
      <c r="A28" s="5" t="str">
        <f>'MEDIÇÃO 08'!A28</f>
        <v>3.6</v>
      </c>
      <c r="B28" s="24" t="str">
        <f>'MEDIÇÃO 08'!C28</f>
        <v>ARMAÇÃO DE BLOCO, VIGA BALDRAME E SAPATA UTILIZANDO AÇO CA-60 DE 5 MM - MONTAGEM. AF_06/2017</v>
      </c>
      <c r="C28" s="27" t="str">
        <f>'MEDIÇÃO 08'!E28</f>
        <v>KG</v>
      </c>
      <c r="D28" s="95"/>
      <c r="E28" s="84"/>
      <c r="F28" s="73"/>
    </row>
    <row r="29" spans="1:6" ht="45" x14ac:dyDescent="0.25">
      <c r="A29" s="5" t="str">
        <f>'MEDIÇÃO 08'!A29</f>
        <v>3.7</v>
      </c>
      <c r="B29" s="24" t="str">
        <f>'MEDIÇÃO 08'!C29</f>
        <v>CONCRETO FCK = 25MPA, TRAÇO 1:2,3:2,7 (EM MASSA SECA DE CIMENTO/ AREIA MÉDIA/ BRITA 1) - PREPARO MECÂNICO COM BETONEIRA 400 L. AF_05/2021</v>
      </c>
      <c r="C29" s="27" t="str">
        <f>'MEDIÇÃO 08'!E29</f>
        <v>M3</v>
      </c>
      <c r="D29" s="95"/>
      <c r="E29" s="84"/>
    </row>
    <row r="30" spans="1:6" ht="30" x14ac:dyDescent="0.25">
      <c r="A30" s="5" t="str">
        <f>'MEDIÇÃO 08'!A30</f>
        <v>3.8</v>
      </c>
      <c r="B30" s="24" t="str">
        <f>'MEDIÇÃO 08'!C30</f>
        <v>LANÇAMENTO COM USO DE BOMBA, ADENSAMENTO E ACABAMENTO DE CONCRETO EM ESTRUTURAS. AF_12/2015</v>
      </c>
      <c r="C30" s="27" t="str">
        <f>'MEDIÇÃO 08'!E30</f>
        <v>M3</v>
      </c>
      <c r="D30" s="95"/>
      <c r="E30" s="84"/>
    </row>
    <row r="31" spans="1:6" ht="45" x14ac:dyDescent="0.25">
      <c r="A31" s="5" t="str">
        <f>'MEDIÇÃO 08'!A31</f>
        <v>3.9</v>
      </c>
      <c r="B31" s="88" t="s">
        <v>798</v>
      </c>
      <c r="C31" s="27" t="s">
        <v>69</v>
      </c>
      <c r="D31" s="96"/>
      <c r="E31" s="84"/>
    </row>
    <row r="32" spans="1:6" x14ac:dyDescent="0.25">
      <c r="A32" s="18" t="str">
        <f>'MEDIÇÃO 08'!A33</f>
        <v>4</v>
      </c>
      <c r="B32" s="155" t="str">
        <f>'MEDIÇÃO 08'!B33:P33</f>
        <v>ELEMENTO VAZADO</v>
      </c>
      <c r="C32" s="155"/>
      <c r="D32" s="155"/>
      <c r="E32" s="155"/>
    </row>
    <row r="33" spans="1:7" ht="60" x14ac:dyDescent="0.25">
      <c r="A33" s="5" t="str">
        <f>'MEDIÇÃO 08'!A34</f>
        <v>4.1</v>
      </c>
      <c r="B33" s="16" t="str">
        <f>'MEDIÇÃO 08'!C34</f>
        <v>ALVENARIA DE VEDAÇÃO DE BLOCOS CERÂMICOS FURADOS NA HORIZONTAL DE 9X19X19CM (ESPESSURA 9CM) DE PAREDES COM ÁREA LÍQUIDA MAIOR OU IGUAL A 6M² SEM VÃOS E ARGAMASSA DE ASSENTAMENTO COM PREPARO EM BETONEIRA. AF_06/2014</v>
      </c>
      <c r="C33" s="5" t="str">
        <f>'MEDIÇÃO 08'!E34</f>
        <v>M2</v>
      </c>
      <c r="D33" s="30"/>
      <c r="E33" s="31"/>
    </row>
    <row r="34" spans="1:7" ht="45" x14ac:dyDescent="0.25">
      <c r="A34" s="5" t="str">
        <f>'MEDIÇÃO 08'!A35</f>
        <v>4.2</v>
      </c>
      <c r="B34" s="16" t="str">
        <f>'MEDIÇÃO 08'!C35</f>
        <v>ALVENARIA DE VEDAÇÃO COM ELEMENTO VAZADO DE CONCRETO (COBOGÓ) DE 7X50X50CM E ARGAMASSA DE ASSENTAMENTO COM PREPARO EM BETONEIRA. AF_05/2020</v>
      </c>
      <c r="C34" s="5" t="str">
        <f>'MEDIÇÃO 08'!E35</f>
        <v>M2</v>
      </c>
      <c r="D34" s="30"/>
      <c r="E34" s="31"/>
    </row>
    <row r="35" spans="1:7" ht="60" x14ac:dyDescent="0.25">
      <c r="A35" s="5" t="str">
        <f>'MEDIÇÃO 08'!A36</f>
        <v>4.3</v>
      </c>
      <c r="B35" s="16" t="str">
        <f>'MEDIÇÃO 08'!C36</f>
        <v>ALVENARIA DE VEDAÇÃO DE BLOCOS CERÂMICOS FURADOS NA HORIZONTAL DE 9X19X19CM (ESPESSURA 9CM) DE PAREDES COM ÁREA LÍQUIDA MAIOR OU IGUAL A 6M² SEM VÃOS E ARGAMASSA DE ASSENTAMENTO COM PREPARO EM BETONEIRA. AF_06/2014</v>
      </c>
      <c r="C35" s="5" t="str">
        <f>'MEDIÇÃO 08'!E36</f>
        <v>M2</v>
      </c>
      <c r="D35" s="30"/>
      <c r="E35" s="31"/>
    </row>
    <row r="36" spans="1:7" ht="105" x14ac:dyDescent="0.25">
      <c r="A36" s="5" t="str">
        <f>'MEDIÇÃO 08'!A37</f>
        <v>4.4</v>
      </c>
      <c r="B36" s="16" t="str">
        <f>'MEDIÇÃO 08'!C37</f>
        <v>(COMPOSIÇÃO REPRESENTATIVA) DO SERVIÇO DE ALVENARIA DE VEDAÇÃO DE BLOCOS VAZADOS DE CERÂMICA DE 14X9X19CM (ESPESSURA 14CM, BLOCO DEITADO), PARA EDIFICAÇÃO HABITACIONAL UNIFAMILIAR (CASA) E EDIFICAÇÃO PÚBLICA PADRÃO. AF_12/2014</v>
      </c>
      <c r="C36" s="5" t="str">
        <f>'MEDIÇÃO 08'!E37</f>
        <v>M2</v>
      </c>
      <c r="D36" s="97" t="s">
        <v>818</v>
      </c>
      <c r="E36" s="98">
        <f>120.95+45.124</f>
        <v>166.07400000000001</v>
      </c>
    </row>
    <row r="37" spans="1:7" x14ac:dyDescent="0.25">
      <c r="A37" s="18" t="str">
        <f>'MEDIÇÃO 08'!A39</f>
        <v>5</v>
      </c>
      <c r="B37" s="155" t="s">
        <v>787</v>
      </c>
      <c r="C37" s="155"/>
      <c r="D37" s="155"/>
      <c r="E37" s="155"/>
    </row>
    <row r="38" spans="1:7" ht="45" x14ac:dyDescent="0.25">
      <c r="A38" s="5" t="str">
        <f>'MEDIÇÃO 08'!A40</f>
        <v>5.1</v>
      </c>
      <c r="B38" s="17" t="str">
        <f>'MEDIÇÃO 08'!C40</f>
        <v>Forma plana para estruturas, em compensado plastificado de 12mm, 07 usos, inclusive escoramento - Revisada 07.2015</v>
      </c>
      <c r="C38" s="5" t="str">
        <f>'MEDIÇÃO 08'!E40</f>
        <v>m2</v>
      </c>
      <c r="D38" s="95"/>
      <c r="E38" s="84"/>
      <c r="F38">
        <f>(1*((0.174*3.2*2)+(0.324*3.2*2)))+(1*((0.224*3.2)+(0.324*3.2)))</f>
        <v>4.9408000000000003</v>
      </c>
    </row>
    <row r="39" spans="1:7" ht="45" x14ac:dyDescent="0.25">
      <c r="A39" s="5" t="str">
        <f>'MEDIÇÃO 08'!A41</f>
        <v>5.2</v>
      </c>
      <c r="B39" s="17" t="str">
        <f>'MEDIÇÃO 08'!C41</f>
        <v>ARMAÇÃO DE PILAR OU VIGA DE UMA ESTRUTURA CONVENCIONAL DE CONCRETO ARMADO EM UMA EDIFICAÇÃO TÉRREA OU SOBRADO UTILIZANDO AÇO CA-50 DE 6,3 MM - MONTAGEM. AF_12/2015</v>
      </c>
      <c r="C39" s="5" t="str">
        <f>'MEDIÇÃO 08'!E41</f>
        <v>KG</v>
      </c>
      <c r="D39" s="31"/>
      <c r="E39" s="5"/>
    </row>
    <row r="40" spans="1:7" ht="45" x14ac:dyDescent="0.25">
      <c r="A40" s="5" t="str">
        <f>'MEDIÇÃO 08'!A42</f>
        <v>5.3</v>
      </c>
      <c r="B40" s="17" t="str">
        <f>'MEDIÇÃO 08'!C42</f>
        <v>ARMAÇÃO DE PILAR OU VIGA DE UMA ESTRUTURA CONVENCIONAL DE CONCRETO ARMADO EM UMA EDIFICAÇÃO TÉRREA OU SOBRADO UTILIZANDO AÇO CA-50 DE 10,0 MM - MONTAGEM. AF_12/2015</v>
      </c>
      <c r="C40" s="5" t="str">
        <f>'MEDIÇÃO 08'!E42</f>
        <v>KG</v>
      </c>
      <c r="D40" s="95"/>
      <c r="E40" s="84"/>
      <c r="G40">
        <f>166.07*0.0025</f>
        <v>0.41517500000000002</v>
      </c>
    </row>
    <row r="41" spans="1:7" ht="45" x14ac:dyDescent="0.25">
      <c r="A41" s="5" t="str">
        <f>'MEDIÇÃO 08'!A43</f>
        <v>5.4</v>
      </c>
      <c r="B41" s="17" t="str">
        <f>'MEDIÇÃO 08'!C43</f>
        <v>ARMAÇÃO DE PILAR OU VIGA DE UMA ESTRUTURA CONVENCIONAL DE CONCRETO ARMADO EM UMA EDIFICAÇÃO TÉRREA OU SOBRADO UTILIZANDO AÇO CA-50 DE 12,5 MM - MONTAGEM. AF_12/2015</v>
      </c>
      <c r="C41" s="5" t="str">
        <f>'MEDIÇÃO 08'!E43</f>
        <v>KG</v>
      </c>
      <c r="D41" s="95"/>
      <c r="E41" s="84"/>
    </row>
    <row r="42" spans="1:7" ht="45" x14ac:dyDescent="0.25">
      <c r="A42" s="5" t="str">
        <f>'MEDIÇÃO 08'!A44</f>
        <v>5.5</v>
      </c>
      <c r="B42" s="17" t="str">
        <f>'MEDIÇÃO 08'!C44</f>
        <v>ARMAÇÃO DE PILAR OU VIGA DE UMA ESTRUTURA CONVENCIONAL DE CONCRETO ARMADO EM UMA EDIFICAÇÃO TÉRREA OU SOBRADO UTILIZANDO AÇO CA-60 DE 5,0 MM - MONTAGEM. AF_12/2015</v>
      </c>
      <c r="C42" s="5" t="str">
        <f>'MEDIÇÃO 08'!E44</f>
        <v>KG</v>
      </c>
      <c r="D42" s="83"/>
      <c r="E42" s="84"/>
    </row>
    <row r="43" spans="1:7" ht="45" x14ac:dyDescent="0.25">
      <c r="A43" s="5" t="str">
        <f>'MEDIÇÃO 08'!A45</f>
        <v>5.6</v>
      </c>
      <c r="B43" s="17" t="str">
        <f>'MEDIÇÃO 08'!C45</f>
        <v>CONCRETO FCK = 25MPA, TRAÇO 1:2,3:2,7 (EM MASSA SECA DE CIMENTO/ AREIA MÉDIA/ BRITA 1) - PREPARO MECÂNICO COM BETONEIRA 600 L. AF_05/2021</v>
      </c>
      <c r="C43" s="5" t="str">
        <f>'MEDIÇÃO 08'!E45</f>
        <v>M3</v>
      </c>
      <c r="D43" s="83"/>
      <c r="E43" s="84"/>
    </row>
    <row r="44" spans="1:7" ht="30" x14ac:dyDescent="0.25">
      <c r="A44" s="5" t="str">
        <f>'MEDIÇÃO 08'!A46</f>
        <v>5.7</v>
      </c>
      <c r="B44" s="17" t="str">
        <f>'MEDIÇÃO 08'!C46</f>
        <v>LANÇAMENTO COM USO DE BOMBA, ADENSAMENTO E ACABAMENTO DE CONCRETO EM ESTRUTURAS. AF_12/2015</v>
      </c>
      <c r="C44" s="5" t="str">
        <f>'MEDIÇÃO 08'!E46</f>
        <v>M3</v>
      </c>
      <c r="D44" s="83"/>
      <c r="E44" s="84"/>
    </row>
    <row r="45" spans="1:7" ht="45" x14ac:dyDescent="0.25">
      <c r="A45" s="5" t="str">
        <f>'MEDIÇÃO 08'!A47</f>
        <v>5.8</v>
      </c>
      <c r="B45" s="17" t="str">
        <f>'MEDIÇÃO 08'!C47</f>
        <v>LAJE PRÉ-MOLDADA UNIDIRECIONAL, BIAPOIADA, PARA PISO, ENCHIMENTO EM CERÂMICA, VIGOTA CONVENCIONAL, ALTURA TOTAL DA LAJE (ENCHIMENTO+CAPA) = (8+4). AF_11/2020</v>
      </c>
      <c r="C45" s="5" t="str">
        <f>'MEDIÇÃO 08'!E47</f>
        <v>M2</v>
      </c>
      <c r="D45" s="17"/>
      <c r="E45" s="5"/>
    </row>
    <row r="46" spans="1:7" ht="30" x14ac:dyDescent="0.25">
      <c r="A46" s="5" t="str">
        <f>'MEDIÇÃO 08'!A48</f>
        <v>5.9</v>
      </c>
      <c r="B46" s="17" t="str">
        <f>'MEDIÇÃO 08'!C48</f>
        <v>VERGA PRÉ-MOLDADA PARA PORTAS COM ATÉ 1,5 M DE VÃO. AF_03/2016</v>
      </c>
      <c r="C46" s="5" t="str">
        <f>'MEDIÇÃO 08'!E48</f>
        <v>M</v>
      </c>
      <c r="D46" s="30"/>
      <c r="E46" s="31"/>
    </row>
    <row r="47" spans="1:7" ht="30" x14ac:dyDescent="0.25">
      <c r="A47" s="5" t="str">
        <f>'MEDIÇÃO 08'!A49</f>
        <v>5.10</v>
      </c>
      <c r="B47" s="17" t="str">
        <f>'MEDIÇÃO 08'!C49</f>
        <v>VERGA PRÉ-MOLDADA PARA JANELAS COM ATÉ 1,5 M DE VÃO. AF_03/2016</v>
      </c>
      <c r="C47" s="5" t="str">
        <f>'MEDIÇÃO 08'!E49</f>
        <v>M</v>
      </c>
      <c r="D47" s="30"/>
      <c r="E47" s="31"/>
    </row>
    <row r="48" spans="1:7" ht="45" x14ac:dyDescent="0.25">
      <c r="A48" s="5" t="str">
        <f>'MEDIÇÃO 08'!A50</f>
        <v>5.10.1</v>
      </c>
      <c r="B48" s="17" t="str">
        <f>'MEDIÇÃO 08'!C50</f>
        <v>ARMAÇÃO DE PILAR OU VIGA DE UMA ESTRUTURA CONVENCIONAL DE CONCRETO ARMADO EM UMA EDIFICAÇÃO TÉRREA OU SOBRADO UTILIZANDO AÇO CA-50 DE 8,0 MM - MONTAGEM. AF_12/2015</v>
      </c>
      <c r="C48" s="5" t="str">
        <f>'MEDIÇÃO 08'!E50</f>
        <v>M2</v>
      </c>
      <c r="D48" s="96"/>
      <c r="E48" s="84"/>
    </row>
    <row r="49" spans="1:5" x14ac:dyDescent="0.25">
      <c r="A49" s="28" t="str">
        <f>'MEDIÇÃO 08'!A51</f>
        <v>5.11</v>
      </c>
      <c r="B49" s="164" t="str">
        <f>'MEDIÇÃO 08'!B51:P51</f>
        <v>MURO DE CONTORNO</v>
      </c>
      <c r="C49" s="165"/>
      <c r="D49" s="165"/>
      <c r="E49" s="166"/>
    </row>
    <row r="50" spans="1:5" ht="45" x14ac:dyDescent="0.25">
      <c r="A50" s="5" t="str">
        <f>'MEDIÇÃO 08'!A52</f>
        <v>5.11.1</v>
      </c>
      <c r="B50" s="17" t="str">
        <f>'MEDIÇÃO 08'!C52</f>
        <v>Muro em alvenaria bloco cerâmico, e= 0,09m, c/ alv de pedra granítica, 0,35 x 0,60m, colunas (9x20cm) e cintamento (9x15cm) superior e inferior concreto armado fck = 15,0 Mpa cada 3,00m, chapisco e reboco</v>
      </c>
      <c r="C50" s="5" t="str">
        <f>'MEDIÇÃO 08'!E52</f>
        <v>m2</v>
      </c>
      <c r="D50" s="99"/>
      <c r="E50" s="5"/>
    </row>
    <row r="51" spans="1:5" ht="30" x14ac:dyDescent="0.25">
      <c r="A51" s="5" t="str">
        <f>'MEDIÇÃO 08'!A53</f>
        <v>5.11.2</v>
      </c>
      <c r="B51" s="17" t="str">
        <f>'MEDIÇÃO 08'!C53</f>
        <v>ESCAVAÇÃO MANUAL PARA BLOCO DE COROAMENTO OU SAPATA (INCLUINDO ESCAVAÇÃO PARA COLOCAÇÃO DE FÔRMAS). AF_06/2017</v>
      </c>
      <c r="C51" s="5" t="str">
        <f>'MEDIÇÃO 08'!E53</f>
        <v>un</v>
      </c>
      <c r="D51" s="100"/>
      <c r="E51" s="9"/>
    </row>
    <row r="52" spans="1:5" ht="60" x14ac:dyDescent="0.25">
      <c r="A52" s="5" t="str">
        <f>'MEDIÇÃO 08'!A54</f>
        <v>5.11.3</v>
      </c>
      <c r="B52" s="17" t="str">
        <f>'MEDIÇÃO 08'!C54</f>
        <v>ALVENARIA DE VEDAÇÃO DE BLOCOS CERÂMICOS FURADOS NA HORIZONTAL DE 9X19X19CM (ESPESSURA 9CM) DE PAREDES COM ÁREA LÍQUIDA MAIOR OU IGUAL A 6M² SEM VÃOS E ARGAMASSA DE ASSENTAMENTO COM PREPARO EM BETONEIRA. AF_06/2014</v>
      </c>
      <c r="C52" s="5" t="str">
        <f>'MEDIÇÃO 08'!E54</f>
        <v>M2</v>
      </c>
      <c r="D52" s="100"/>
      <c r="E52" s="9"/>
    </row>
    <row r="53" spans="1:5" ht="45" x14ac:dyDescent="0.25">
      <c r="A53" s="5" t="str">
        <f>'MEDIÇÃO 08'!A55</f>
        <v>5.11.4</v>
      </c>
      <c r="B53" s="17" t="str">
        <f>'MEDIÇÃO 08'!C55</f>
        <v>CONCRETO FCK = 25MPA, TRAÇO 1:2,3:2,7 (EM MASSA SECA DE CIMENTO/ AREIA MÉDIA/ BRITA 1) - PREPARO MECÂNICO COM BETONEIRA 400 L. AF_05/2021</v>
      </c>
      <c r="C53" s="5" t="str">
        <f>'MEDIÇÃO 08'!E55</f>
        <v>M3</v>
      </c>
      <c r="D53" s="100"/>
      <c r="E53" s="9"/>
    </row>
    <row r="54" spans="1:5" ht="45" x14ac:dyDescent="0.25">
      <c r="A54" s="5" t="str">
        <f>'MEDIÇÃO 08'!A56</f>
        <v>5.11.5</v>
      </c>
      <c r="B54" s="17" t="str">
        <f>'MEDIÇÃO 08'!C56</f>
        <v>CHAPISCO APLICADO EM ALVENARIAS E ESTRUTURAS DE CONCRETO INTERNAS, COM COLHER DE PEDREIRO.  ARGAMASSA TRAÇO 1:3 COM PREPARO EM BETONEIRA 400L. AF_06/2014</v>
      </c>
      <c r="C54" s="5" t="str">
        <f>'MEDIÇÃO 08'!E56</f>
        <v>M2</v>
      </c>
      <c r="D54" s="100" t="s">
        <v>819</v>
      </c>
      <c r="E54" s="9">
        <v>120</v>
      </c>
    </row>
    <row r="55" spans="1:5" ht="60" x14ac:dyDescent="0.25">
      <c r="A55" s="5" t="str">
        <f>'MEDIÇÃO 08'!A57</f>
        <v>5.11.6</v>
      </c>
      <c r="B55" s="17" t="str">
        <f>'MEDIÇÃO 08'!C57</f>
        <v>MASSA ÚNICA, PARA RECEBIMENTO DE PINTURA, EM ARGAMASSA TRAÇO 1:2:8, PREPARO MECÂNICO COM BETONEIRA 400L, APLICADA MANUALMENTE EM FACES INTERNAS DE PAREDES, ESPESSURA DE 10MM, COM EXECUÇÃO DE TALISCAS. AF_06/2014</v>
      </c>
      <c r="C55" s="5" t="str">
        <f>'MEDIÇÃO 08'!E57</f>
        <v>M2</v>
      </c>
      <c r="D55" s="100" t="s">
        <v>819</v>
      </c>
      <c r="E55" s="9">
        <v>120</v>
      </c>
    </row>
    <row r="56" spans="1:5" x14ac:dyDescent="0.25">
      <c r="A56" s="18" t="str">
        <f>'MEDIÇÃO 08'!A59</f>
        <v>6</v>
      </c>
      <c r="B56" s="155" t="str">
        <f>'MEDIÇÃO 08'!B59:P59</f>
        <v>COBERTA</v>
      </c>
      <c r="C56" s="155"/>
      <c r="D56" s="155"/>
      <c r="E56" s="155"/>
    </row>
    <row r="57" spans="1:5" ht="30" x14ac:dyDescent="0.25">
      <c r="A57" s="5" t="str">
        <f>'MEDIÇÃO 08'!A60</f>
        <v>6.1</v>
      </c>
      <c r="B57" s="17" t="str">
        <f>'MEDIÇÃO 08'!C60</f>
        <v>TELHAMENTO COM TELHA CERÂMICA CAPA-CANAL, TIPO COLONIAL, COM ATÉ 2 ÁGUAS, INCLUSO TRANSPORTE VERTICAL. AF_07/2019</v>
      </c>
      <c r="C57" s="5" t="str">
        <f>'MEDIÇÃO 08'!E60</f>
        <v>M2</v>
      </c>
      <c r="D57" s="17"/>
      <c r="E57" s="5"/>
    </row>
    <row r="58" spans="1:5" ht="45" x14ac:dyDescent="0.25">
      <c r="A58" s="5" t="str">
        <f>'MEDIÇÃO 08'!A61</f>
        <v>6.2</v>
      </c>
      <c r="B58" s="17" t="str">
        <f>'MEDIÇÃO 08'!C61</f>
        <v>FABRICAÇÃO E INSTALAÇÃO DE TESOURA INTEIRA EM MADEIRA NÃO APARELHADA, VÃO DE 8 M, PARA TELHA CERÂMICA OU DE CONCRETO, INCLUSO IÇAMENTO. AF_07/2019</v>
      </c>
      <c r="C58" s="5" t="str">
        <f>'MEDIÇÃO 08'!E61</f>
        <v>UN</v>
      </c>
      <c r="D58" s="17"/>
      <c r="E58" s="5"/>
    </row>
    <row r="59" spans="1:5" ht="45" x14ac:dyDescent="0.25">
      <c r="A59" s="5" t="str">
        <f>'MEDIÇÃO 08'!A62</f>
        <v>6.3</v>
      </c>
      <c r="B59" s="17" t="str">
        <f>'MEDIÇÃO 08'!C62</f>
        <v>FABRICAÇÃO E INSTALAÇÃO DE TESOURA INTEIRA EM MADEIRA NÃO APARELHADA, VÃO DE 10 M, PARA TELHA CERÂMICA OU DE CONCRETO, INCLUSO IÇAMENTO. AF_07/2019</v>
      </c>
      <c r="C59" s="5" t="str">
        <f>'MEDIÇÃO 08'!E62</f>
        <v>UN</v>
      </c>
      <c r="D59" s="17"/>
      <c r="E59" s="5"/>
    </row>
    <row r="60" spans="1:5" ht="45" x14ac:dyDescent="0.25">
      <c r="A60" s="5" t="str">
        <f>'MEDIÇÃO 08'!A63</f>
        <v>6.4</v>
      </c>
      <c r="B60" s="17" t="str">
        <f>'MEDIÇÃO 08'!C63</f>
        <v>CUMEEIRA PARA TELHA CERÂMICA EMBOÇADA COM ARGAMASSA TRAÇO 1:2:9 (CIMENTO, CAL E AREIA) PARA TELHADOS COM ATÉ 2 ÁGUAS, INCLUSO TRANSPORTE VERTICAL. AF_07/2019</v>
      </c>
      <c r="C60" s="5" t="str">
        <f>'MEDIÇÃO 08'!E63</f>
        <v>M</v>
      </c>
      <c r="D60" s="5" t="s">
        <v>785</v>
      </c>
      <c r="E60" s="5">
        <v>98.35</v>
      </c>
    </row>
    <row r="61" spans="1:5" ht="45" x14ac:dyDescent="0.25">
      <c r="A61" s="5" t="str">
        <f>'MEDIÇÃO 08'!A64</f>
        <v>6.5</v>
      </c>
      <c r="B61" s="17" t="str">
        <f>'MEDIÇÃO 08'!C64</f>
        <v>TRAMA DE MADEIRA COMPOSTA POR RIPAS, CAIBROS E TERÇAS PARA TELHADOS DE ATÉ 2 ÁGUAS PARA TELHA DE ENCAIXE DE CERÂMICA OU DE CONCRETO, INCLUSO TRANSPORTE VERTICAL. AF_07/2019</v>
      </c>
      <c r="C61" s="5" t="str">
        <f>'MEDIÇÃO 08'!E64</f>
        <v>M2</v>
      </c>
      <c r="D61" s="17"/>
      <c r="E61" s="5"/>
    </row>
    <row r="62" spans="1:5" ht="30" x14ac:dyDescent="0.25">
      <c r="A62" s="5" t="str">
        <f>'MEDIÇÃO 08'!A65</f>
        <v>6.6</v>
      </c>
      <c r="B62" s="17" t="str">
        <f>'MEDIÇÃO 08'!C65</f>
        <v>FORRO EM PLACAS DE GESSO, PARA AMBIENTES COMERCIAIS. AF_05/2017_P</v>
      </c>
      <c r="C62" s="5" t="str">
        <f>'MEDIÇÃO 08'!E65</f>
        <v>M2</v>
      </c>
      <c r="D62" s="17"/>
      <c r="E62" s="5"/>
    </row>
    <row r="63" spans="1:5" ht="30" x14ac:dyDescent="0.25">
      <c r="A63" s="5" t="str">
        <f>'MEDIÇÃO 08'!A66</f>
        <v>6.7</v>
      </c>
      <c r="B63" s="17" t="str">
        <f>'MEDIÇÃO 08'!C66</f>
        <v>Fornecimento e implantação de viga em concreto pré-moldado, seção = 12x20cm</v>
      </c>
      <c r="C63" s="5" t="str">
        <f>'MEDIÇÃO 08'!E66</f>
        <v>m</v>
      </c>
      <c r="D63" s="17"/>
      <c r="E63" s="5"/>
    </row>
    <row r="64" spans="1:5" ht="45" x14ac:dyDescent="0.25">
      <c r="A64" s="5" t="str">
        <f>'MEDIÇÃO 08'!A67</f>
        <v>6.8</v>
      </c>
      <c r="B64" s="17" t="str">
        <f>'MEDIÇÃO 08'!C67</f>
        <v>CALHA EM CHAPA DE AÇO GALVANIZADO NÚMERO 24, DESENVOLVIMENTO DE 50 CM, INCLUSO TRANSPORTE VERTICAL. AF_07/2019</v>
      </c>
      <c r="C64" s="5" t="str">
        <f>'MEDIÇÃO 08'!E67</f>
        <v>M</v>
      </c>
      <c r="D64" s="5"/>
      <c r="E64" s="5"/>
    </row>
    <row r="65" spans="1:5" ht="45" x14ac:dyDescent="0.25">
      <c r="A65" s="5" t="str">
        <f>'MEDIÇÃO 08'!A68</f>
        <v>6.9</v>
      </c>
      <c r="B65" s="17" t="str">
        <f>'MEDIÇÃO 08'!C68</f>
        <v>TUBO PVC, SÉRIE R, ÁGUA PLUVIAL, DN 75 MM, FORNECIDO E INSTALADO EM CONDUTORES VERTICAIS DE ÁGUAS PLUVIAIS. AF_12/2014</v>
      </c>
      <c r="C65" s="5" t="str">
        <f>'MEDIÇÃO 08'!E68</f>
        <v>M</v>
      </c>
      <c r="D65" s="5" t="s">
        <v>784</v>
      </c>
      <c r="E65" s="5">
        <v>72</v>
      </c>
    </row>
    <row r="66" spans="1:5" ht="30" x14ac:dyDescent="0.25">
      <c r="A66" s="5" t="str">
        <f>'MEDIÇÃO 08'!A69</f>
        <v>6.10</v>
      </c>
      <c r="B66" s="17" t="str">
        <f>'MEDIÇÃO 08'!C69</f>
        <v>TUBO PVC, SÉRIE R, ÁGUA PLUVIAL, DN 100 MM, FORNECIDO E INSTALADO EM RAMAL DE ENCAMINHAMENTO. AF_12/2014</v>
      </c>
      <c r="C66" s="5" t="str">
        <f>'MEDIÇÃO 08'!E69</f>
        <v>M</v>
      </c>
      <c r="D66" s="5"/>
      <c r="E66" s="5"/>
    </row>
    <row r="67" spans="1:5" x14ac:dyDescent="0.25">
      <c r="A67" s="18" t="str">
        <f>'MEDIÇÃO 08'!A71</f>
        <v>7</v>
      </c>
      <c r="B67" s="155" t="str">
        <f>'MEDIÇÃO 08'!B71:P71</f>
        <v>PAVIMENTAÇÃO</v>
      </c>
      <c r="C67" s="155"/>
      <c r="D67" s="155"/>
      <c r="E67" s="155"/>
    </row>
    <row r="68" spans="1:5" ht="390" x14ac:dyDescent="0.25">
      <c r="A68" s="5" t="str">
        <f>'MEDIÇÃO 08'!A72</f>
        <v>7.1</v>
      </c>
      <c r="B68" s="17" t="str">
        <f>'MEDIÇÃO 08'!C72</f>
        <v>LASTRO DE CONCRETO MAGRO, APLICADO EM PISOS, LAJES SOBRE SOLO OU RADIERS, ESPESSURA DE 5 CM. AF_07/2016</v>
      </c>
      <c r="C68" s="5" t="str">
        <f>'MEDIÇÃO 08'!E72</f>
        <v>M2</v>
      </c>
      <c r="D68" s="17" t="s">
        <v>786</v>
      </c>
      <c r="E68" s="5">
        <f>944.79-607.82</f>
        <v>336.96999999999991</v>
      </c>
    </row>
    <row r="69" spans="1:5" ht="390" x14ac:dyDescent="0.25">
      <c r="A69" s="5" t="str">
        <f>'MEDIÇÃO 08'!A73</f>
        <v>7.2</v>
      </c>
      <c r="B69" s="17" t="str">
        <f>'MEDIÇÃO 08'!C73</f>
        <v>Fornecimento e instalação de tela aço soldada nervurada CA-60, malha 15x15cm, ferro 4.2mm, painel 2x3m, (1,50kg/m²), Malha Pop Reforçada Gerdau ou similar</v>
      </c>
      <c r="C69" s="5" t="str">
        <f>'MEDIÇÃO 08'!E73</f>
        <v>m2</v>
      </c>
      <c r="D69" s="17" t="s">
        <v>786</v>
      </c>
      <c r="E69" s="5">
        <f>944.79-607.82</f>
        <v>336.96999999999991</v>
      </c>
    </row>
    <row r="70" spans="1:5" ht="390" x14ac:dyDescent="0.25">
      <c r="A70" s="5" t="str">
        <f>'MEDIÇÃO 08'!A74</f>
        <v>7.3</v>
      </c>
      <c r="B70" s="17" t="str">
        <f>'MEDIÇÃO 08'!C74</f>
        <v>CONTRAPISO EM ARGAMASSA TRAÇO 1:4 (CIMENTO E AREIA), PREPARO MANUAL, APLICADO EM ÁREAS SECAS SOBRE LAJE, ADERIDO, ACABAMENTO NÃO REFORÇADO, ESPESSURA 3CM. AF_07/2021</v>
      </c>
      <c r="C70" s="5" t="str">
        <f>'MEDIÇÃO 08'!E74</f>
        <v>M2</v>
      </c>
      <c r="D70" s="17" t="s">
        <v>786</v>
      </c>
      <c r="E70" s="5">
        <f>944.79-607.82</f>
        <v>336.96999999999991</v>
      </c>
    </row>
    <row r="71" spans="1:5" ht="30" x14ac:dyDescent="0.25">
      <c r="A71" s="5" t="str">
        <f>'MEDIÇÃO 08'!A75</f>
        <v>7.4</v>
      </c>
      <c r="B71" s="17" t="str">
        <f>'MEDIÇÃO 08'!C75</f>
        <v>LASTRO COM MATERIAL GRANULAR (AREIA MÉDIA), APLICADO EM PISOS OU LAJES SOBRE SOLO, ESPESSURA DE *10 CM*. AF_07/2019</v>
      </c>
      <c r="C71" s="5" t="str">
        <f>'MEDIÇÃO 08'!E75</f>
        <v>M3</v>
      </c>
      <c r="D71" s="5"/>
      <c r="E71" s="5"/>
    </row>
    <row r="72" spans="1:5" ht="60" x14ac:dyDescent="0.25">
      <c r="A72" s="5" t="str">
        <f>'MEDIÇÃO 08'!A76</f>
        <v>7.5</v>
      </c>
      <c r="B72" s="17" t="str">
        <f>'MEDIÇÃO 08'!C76</f>
        <v>ASSENTAMENTO DE GUIA (MEIO-FIO) EM TRECHO RETO, CONFECCIONADA EM CONCRETO PRÉ-FABRICADO, DIMENSÕES 100X15X13X30 CM (COMPRIMENTO X BASE INFERIOR X BASE SUPERIOR X ALTURA), PARA VIAS URBANAS (USO VIÁRIO). AF_06/2016</v>
      </c>
      <c r="C72" s="5" t="str">
        <f>'MEDIÇÃO 08'!E76</f>
        <v>M</v>
      </c>
      <c r="D72" s="17"/>
      <c r="E72" s="5"/>
    </row>
    <row r="73" spans="1:5" ht="53.25" customHeight="1" x14ac:dyDescent="0.25">
      <c r="A73" s="5" t="str">
        <f>'MEDIÇÃO 08'!A77</f>
        <v>7.6</v>
      </c>
      <c r="B73" s="17" t="str">
        <f>'MEDIÇÃO 08'!C77</f>
        <v>RODAPÉ EM MARMORITE, ALTURA 10CM. AF_09/2020</v>
      </c>
      <c r="C73" s="5" t="str">
        <f>'MEDIÇÃO 08'!E77</f>
        <v>M</v>
      </c>
      <c r="D73" s="17"/>
      <c r="E73" s="5"/>
    </row>
    <row r="74" spans="1:5" ht="45" x14ac:dyDescent="0.25">
      <c r="A74" s="5" t="str">
        <f>'MEDIÇÃO 08'!A78</f>
        <v>7.7</v>
      </c>
      <c r="B74" s="17" t="str">
        <f>'MEDIÇÃO 08'!C78</f>
        <v>EXECUÇÃO DE PÁTIO/ESTACIONAMENTO EM PISO INTERTRAVADO, COM BLOCO RETANGULAR COR NATURAL DE 20 X 10 CM, ESPESSURA 6 CM. AF_12/2015</v>
      </c>
      <c r="C74" s="5" t="str">
        <f>'MEDIÇÃO 08'!E78</f>
        <v>M2</v>
      </c>
      <c r="D74" s="17"/>
      <c r="E74" s="5"/>
    </row>
    <row r="75" spans="1:5" ht="30" x14ac:dyDescent="0.25">
      <c r="A75" s="5" t="str">
        <f>'MEDIÇÃO 08'!A79</f>
        <v>7.8</v>
      </c>
      <c r="B75" s="17" t="str">
        <f>'MEDIÇÃO 08'!C79</f>
        <v>PISO EM GRANILITE, MARMORITE OU GRANITINA, AGREGADO COR PRETO, CINZA, PALHA OU BRANCO, E=  *8* MM (INCLUSO EXECUCAO)</v>
      </c>
      <c r="C75" s="5" t="str">
        <f>'MEDIÇÃO 08'!E79</f>
        <v>M2</v>
      </c>
      <c r="D75" s="17"/>
      <c r="E75" s="5"/>
    </row>
    <row r="76" spans="1:5" x14ac:dyDescent="0.25">
      <c r="A76" s="18" t="str">
        <f>'MEDIÇÃO 08'!A81</f>
        <v>8</v>
      </c>
      <c r="B76" s="155" t="str">
        <f>'MEDIÇÃO 08'!B81:P81</f>
        <v>REVESTIMENTOS</v>
      </c>
      <c r="C76" s="155"/>
      <c r="D76" s="155"/>
      <c r="E76" s="155"/>
    </row>
    <row r="77" spans="1:5" ht="45" x14ac:dyDescent="0.25">
      <c r="A77" s="5" t="str">
        <f>'MEDIÇÃO 08'!A82</f>
        <v>8.1</v>
      </c>
      <c r="B77" s="17" t="str">
        <f>'MEDIÇÃO 08'!C82</f>
        <v>CHAPISCO APLICADO EM ALVENARIAS E ESTRUTURAS DE CONCRETO INTERNAS, COM COLHER DE PEDREIRO.  ARGAMASSA TRAÇO 1:3 COM PREPARO EM BETONEIRA 400L. AF_06/2014</v>
      </c>
      <c r="C77" s="5" t="str">
        <f>'MEDIÇÃO 08'!E82</f>
        <v>M2</v>
      </c>
      <c r="D77" s="30"/>
      <c r="E77" s="31"/>
    </row>
    <row r="78" spans="1:5" ht="150" x14ac:dyDescent="0.25">
      <c r="A78" s="5" t="str">
        <f>'MEDIÇÃO 08'!A83</f>
        <v>8.2</v>
      </c>
      <c r="B78" s="17" t="str">
        <f>'MEDIÇÃO 08'!C83</f>
        <v>MASSA ÚNICA, PARA RECEBIMENTO DE PINTURA, EM ARGAMASSA TRAÇO 1:2:8, PREPARO MECÂNICO COM BETONEIRA 400L, APLICADA MANUALMENTE EM FACES INTERNAS DE PAREDES, ESPESSURA DE 10MM, COM EXECUÇÃO DE TALISCAS. AF_06/2014</v>
      </c>
      <c r="C78" s="5" t="str">
        <f>'MEDIÇÃO 08'!E83</f>
        <v>M2</v>
      </c>
      <c r="D78" s="30" t="s">
        <v>788</v>
      </c>
      <c r="E78" s="31">
        <f>(63.56+27.56+38.18+38.18+73.32+21+53.28)*2</f>
        <v>630.16000000000008</v>
      </c>
    </row>
    <row r="79" spans="1:5" ht="75" x14ac:dyDescent="0.25">
      <c r="A79" s="5" t="str">
        <f>'MEDIÇÃO 08'!A84</f>
        <v>8.3</v>
      </c>
      <c r="B79" s="17" t="str">
        <f>'MEDIÇÃO 08'!C84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79" s="5" t="str">
        <f>'MEDIÇÃO 08'!E84</f>
        <v>M2</v>
      </c>
      <c r="D79" s="17"/>
      <c r="E79" s="5"/>
    </row>
    <row r="80" spans="1:5" ht="45" x14ac:dyDescent="0.25">
      <c r="A80" s="5" t="str">
        <f>'MEDIÇÃO 08'!A85</f>
        <v>8.4</v>
      </c>
      <c r="B80" s="17" t="str">
        <f>'MEDIÇÃO 08'!C85</f>
        <v>REVESTIMENTO CERÂMICO PARA PISO COM PLACAS TIPO ESMALTADA EXTRA DE DIMENSÕES 45X45 CM APLICADA EM AMBIENTES DE ÁREA MAIOR QUE 10 M2. AF_06/2014</v>
      </c>
      <c r="C80" s="5" t="str">
        <f>'MEDIÇÃO 08'!E85</f>
        <v>M2</v>
      </c>
      <c r="D80" s="17"/>
      <c r="E80" s="5"/>
    </row>
    <row r="81" spans="1:5" ht="200.25" customHeight="1" x14ac:dyDescent="0.25">
      <c r="A81" s="5" t="str">
        <f>'MEDIÇÃO 08'!A86</f>
        <v>8.5</v>
      </c>
      <c r="B81" s="17" t="str">
        <f>'MEDIÇÃO 08'!C86</f>
        <v>ARGAMASSA TRAÇO 1:7 (EM VOLUME DE CIMENTO E AREIA MÉDIA ÚMIDA) COM ADIÇÃO DE PLASTIFICANTE PARA EMBOÇO/MASSA ÚNICA/ASSENTAMENTO DE ALVENARIA DE VEDAÇÃO, PREPARO MECÂNICO COM BETONEIRA 400 L. AF_08/2019</v>
      </c>
      <c r="C81" s="5" t="str">
        <f>'MEDIÇÃO 08'!E86</f>
        <v>M3</v>
      </c>
      <c r="D81" s="104" t="s">
        <v>827</v>
      </c>
      <c r="E81" s="25">
        <f>((45.124+120.95)*0.0025)</f>
        <v>0.41518500000000003</v>
      </c>
    </row>
    <row r="82" spans="1:5" x14ac:dyDescent="0.25">
      <c r="A82" s="18" t="str">
        <f>'MEDIÇÃO 08'!A88</f>
        <v>9</v>
      </c>
      <c r="B82" s="155" t="str">
        <f>'MEDIÇÃO 08'!B88:P88</f>
        <v>ESQUADRIAS, FERRAGENS, VIDROS, BANCADAS E DIVISÓRIAS</v>
      </c>
      <c r="C82" s="155"/>
      <c r="D82" s="155"/>
      <c r="E82" s="155"/>
    </row>
    <row r="83" spans="1:5" ht="60" x14ac:dyDescent="0.25">
      <c r="A83" s="5" t="str">
        <f>'MEDIÇÃO 08'!A89</f>
        <v>9.1</v>
      </c>
      <c r="B83" s="17" t="str">
        <f>'MEDIÇÃO 08'!C89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83" s="5" t="str">
        <f>'MEDIÇÃO 08'!E89</f>
        <v>UN</v>
      </c>
      <c r="D83" s="5"/>
      <c r="E83" s="5"/>
    </row>
    <row r="84" spans="1:5" ht="60" x14ac:dyDescent="0.25">
      <c r="A84" s="5" t="str">
        <f>'MEDIÇÃO 08'!A90</f>
        <v>9.2</v>
      </c>
      <c r="B84" s="17" t="str">
        <f>'MEDIÇÃO 08'!C90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84" s="5" t="str">
        <f>'MEDIÇÃO 08'!E90</f>
        <v>UN</v>
      </c>
      <c r="D84" s="5"/>
      <c r="E84" s="5"/>
    </row>
    <row r="85" spans="1:5" ht="60" x14ac:dyDescent="0.25">
      <c r="A85" s="5" t="str">
        <f>'MEDIÇÃO 08'!A91</f>
        <v>9.3</v>
      </c>
      <c r="B85" s="17" t="str">
        <f>'MEDIÇÃO 08'!C91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85" s="5" t="str">
        <f>'MEDIÇÃO 08'!E91</f>
        <v>UN</v>
      </c>
      <c r="D85" s="5"/>
      <c r="E85" s="5"/>
    </row>
    <row r="86" spans="1:5" ht="60" x14ac:dyDescent="0.25">
      <c r="A86" s="5" t="str">
        <f>'MEDIÇÃO 08'!A92</f>
        <v>9.4</v>
      </c>
      <c r="B86" s="17" t="str">
        <f>'MEDIÇÃO 08'!C92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86" s="5" t="str">
        <f>'MEDIÇÃO 08'!E92</f>
        <v>UN</v>
      </c>
      <c r="D86" s="5"/>
      <c r="E86" s="5"/>
    </row>
    <row r="87" spans="1:5" ht="45" x14ac:dyDescent="0.25">
      <c r="A87" s="5" t="str">
        <f>'MEDIÇÃO 08'!A93</f>
        <v>9.5</v>
      </c>
      <c r="B87" s="17" t="str">
        <f>'MEDIÇÃO 08'!C93</f>
        <v>PORTA EM ALUMÍNIO DE ABRIR TIPO VENEZIANA COM GUARNIÇÃO, FIXAÇÃO COM PARAFUSOS - FORNECIMENTO E INSTALAÇÃO. AF_12/2019</v>
      </c>
      <c r="C87" s="5" t="str">
        <f>'MEDIÇÃO 08'!E93</f>
        <v>M2</v>
      </c>
      <c r="D87" s="5"/>
      <c r="E87" s="5"/>
    </row>
    <row r="88" spans="1:5" ht="30" x14ac:dyDescent="0.25">
      <c r="A88" s="5" t="str">
        <f>'MEDIÇÃO 08'!A94</f>
        <v>9.6</v>
      </c>
      <c r="B88" s="17" t="str">
        <f>'MEDIÇÃO 08'!C94</f>
        <v>Janela basculante, moldura em barra chata de ferro 1x1/4, e cantoneira 1x1x1/4 - exclusive vidro</v>
      </c>
      <c r="C88" s="5" t="str">
        <f>'MEDIÇÃO 08'!E94</f>
        <v>m2</v>
      </c>
      <c r="D88" s="5"/>
      <c r="E88" s="5"/>
    </row>
    <row r="89" spans="1:5" x14ac:dyDescent="0.25">
      <c r="A89" s="5" t="str">
        <f>'MEDIÇÃO 08'!A95</f>
        <v>9.7</v>
      </c>
      <c r="B89" s="17" t="str">
        <f>'MEDIÇÃO 08'!C95</f>
        <v>Vidro fantasia canelado 4 mm</v>
      </c>
      <c r="C89" s="5" t="str">
        <f>'MEDIÇÃO 08'!E95</f>
        <v>m2</v>
      </c>
      <c r="D89" s="5"/>
      <c r="E89" s="5"/>
    </row>
    <row r="90" spans="1:5" ht="60" x14ac:dyDescent="0.25">
      <c r="A90" s="5" t="str">
        <f>'MEDIÇÃO 08'!A96</f>
        <v>9.8</v>
      </c>
      <c r="B90" s="17" t="str">
        <f>'MEDIÇÃO 08'!C96</f>
        <v>JANELA DE ALUMÍNIO DE CORRER COM 2 FOLHAS PARA VIDROS, COM VIDROS, BATENTE, ACABAMENTO COM ACETATO OU BRILHANTE E FERRAGENS. EXCLUSIVE ALIZAR E CONTRAMARCO. FORNECIMENTO E INSTALAÇÃO. AF_12/2019</v>
      </c>
      <c r="C90" s="5" t="str">
        <f>'MEDIÇÃO 08'!E96</f>
        <v>M2</v>
      </c>
      <c r="D90" s="5"/>
      <c r="E90" s="5"/>
    </row>
    <row r="91" spans="1:5" ht="45" x14ac:dyDescent="0.25">
      <c r="A91" s="5" t="str">
        <f>'MEDIÇÃO 08'!A97</f>
        <v>9.9</v>
      </c>
      <c r="B91" s="17" t="str">
        <f>'MEDIÇÃO 08'!C97</f>
        <v>JANELA DE ALUMÍNIO TIPO MAXIM-AR, COM VIDROS, BATENTE E FERRAGENS. EXCLUSIVE ALIZAR, ACABAMENTO E CONTRAMARCO. FORNECIMENTO E INSTALAÇÃO. AF_12/2019</v>
      </c>
      <c r="C91" s="5" t="str">
        <f>'MEDIÇÃO 08'!E97</f>
        <v>M2</v>
      </c>
      <c r="D91" s="5"/>
      <c r="E91" s="5"/>
    </row>
    <row r="92" spans="1:5" ht="45" x14ac:dyDescent="0.25">
      <c r="A92" s="5" t="str">
        <f>'MEDIÇÃO 08'!A98</f>
        <v>9.10</v>
      </c>
      <c r="B92" s="17" t="str">
        <f>'MEDIÇÃO 08'!C98</f>
        <v>Portão de ferro de abrir, quadro em tubo de aço galv.1 1/2", barra quadrada 1/2" na vertical e barra chata de 1 x 3/16" na horizontal, inclusive dobradiças e e ferrolho</v>
      </c>
      <c r="C92" s="5" t="str">
        <f>'MEDIÇÃO 08'!E98</f>
        <v>m2</v>
      </c>
      <c r="D92" s="5"/>
      <c r="E92" s="5"/>
    </row>
    <row r="93" spans="1:5" x14ac:dyDescent="0.25">
      <c r="A93" s="5" t="str">
        <f>'MEDIÇÃO 08'!A99</f>
        <v>9.11</v>
      </c>
      <c r="B93" s="17" t="str">
        <f>'MEDIÇÃO 08'!C99</f>
        <v>Grade ferro 1/2 x 1/2"</v>
      </c>
      <c r="C93" s="5" t="str">
        <f>'MEDIÇÃO 08'!E99</f>
        <v>m2</v>
      </c>
      <c r="D93" s="5"/>
      <c r="E93" s="5"/>
    </row>
    <row r="94" spans="1:5" ht="30" x14ac:dyDescent="0.25">
      <c r="A94" s="5" t="str">
        <f>'MEDIÇÃO 08'!A100</f>
        <v>9.12</v>
      </c>
      <c r="B94" s="17" t="str">
        <f>'MEDIÇÃO 08'!C100</f>
        <v>Divisória em granito cinza andorinha polido, e=2cm, inclusive montagem com ferragens - Rev 02</v>
      </c>
      <c r="C94" s="5" t="str">
        <f>'MEDIÇÃO 08'!E100</f>
        <v>m2</v>
      </c>
      <c r="D94" s="5"/>
      <c r="E94" s="5"/>
    </row>
    <row r="95" spans="1:5" x14ac:dyDescent="0.25">
      <c r="A95" s="5" t="str">
        <f>'MEDIÇÃO 08'!A101</f>
        <v>9.13</v>
      </c>
      <c r="B95" s="17" t="str">
        <f>'MEDIÇÃO 08'!C101</f>
        <v>Bancada em granito cinza andorinha, e=2cm</v>
      </c>
      <c r="C95" s="5" t="str">
        <f>'MEDIÇÃO 08'!E101</f>
        <v>m2</v>
      </c>
      <c r="D95" s="5"/>
      <c r="E95" s="5"/>
    </row>
    <row r="96" spans="1:5" x14ac:dyDescent="0.25">
      <c r="A96" s="5" t="str">
        <f>'MEDIÇÃO 08'!A102</f>
        <v>9.14</v>
      </c>
      <c r="B96" s="17" t="str">
        <f>'MEDIÇÃO 08'!C102</f>
        <v>Bandeira fixa em madeira para vidro</v>
      </c>
      <c r="C96" s="5" t="str">
        <f>'MEDIÇÃO 08'!E102</f>
        <v>m2</v>
      </c>
      <c r="D96" s="5"/>
      <c r="E96" s="5"/>
    </row>
    <row r="97" spans="1:5" x14ac:dyDescent="0.25">
      <c r="A97" s="18" t="str">
        <f>'MEDIÇÃO 08'!A104</f>
        <v>10</v>
      </c>
      <c r="B97" s="155" t="str">
        <f>'MEDIÇÃO 08'!B104:P104</f>
        <v>IMPERMEABILIZAÇÃO</v>
      </c>
      <c r="C97" s="155"/>
      <c r="D97" s="155"/>
      <c r="E97" s="155"/>
    </row>
    <row r="98" spans="1:5" ht="30" x14ac:dyDescent="0.25">
      <c r="A98" s="5" t="str">
        <f>'MEDIÇÃO 08'!A105</f>
        <v>10.1</v>
      </c>
      <c r="B98" s="17" t="str">
        <f>'MEDIÇÃO 08'!C105</f>
        <v>Impermeabilização com asfalto elastomérico c/armação de véu de poliéster, inclusive primer  (p/fundação)</v>
      </c>
      <c r="C98" s="5" t="str">
        <f>'MEDIÇÃO 08'!E105</f>
        <v>m2</v>
      </c>
      <c r="D98" s="17"/>
      <c r="E98" s="25"/>
    </row>
    <row r="99" spans="1:5" ht="164.25" customHeight="1" x14ac:dyDescent="0.25">
      <c r="A99" s="5" t="str">
        <f>'MEDIÇÃO 08'!A106</f>
        <v>10.2</v>
      </c>
      <c r="B99" s="17" t="str">
        <f>'MEDIÇÃO 08'!C106</f>
        <v>IMPERMEABILIZAÇÃO DE SUPERFÍCIE COM MANTA ASFÁLTICA, UMA CAMADA, INCLUSIVE APLICAÇÃO DE PRIMER ASFÁLTICO, E=3MM. AF_06/2018</v>
      </c>
      <c r="C99" s="5" t="str">
        <f>'MEDIÇÃO 08'!E106</f>
        <v>M2</v>
      </c>
      <c r="D99" s="17"/>
      <c r="E99" s="5">
        <v>183.4</v>
      </c>
    </row>
    <row r="100" spans="1:5" x14ac:dyDescent="0.25">
      <c r="A100" s="18" t="str">
        <f>'MEDIÇÃO 08'!A108</f>
        <v>11</v>
      </c>
      <c r="B100" s="155" t="str">
        <f>'MEDIÇÃO 08'!B108:P108</f>
        <v>INSTALAÇÃO DE COMBATE A INCÊNDIO</v>
      </c>
      <c r="C100" s="155"/>
      <c r="D100" s="155"/>
      <c r="E100" s="155"/>
    </row>
    <row r="101" spans="1:5" ht="30" x14ac:dyDescent="0.25">
      <c r="A101" s="5" t="str">
        <f>'MEDIÇÃO 08'!A109</f>
        <v>11.1</v>
      </c>
      <c r="B101" s="17" t="str">
        <f>'MEDIÇÃO 08'!C109</f>
        <v>EXTINTOR DE INCÊNDIO PORTÁTIL COM CARGA DE ÁGUA PRESSURIZADA DE 10 L, CLASSE A - FORNECIMENTO E INSTALAÇÃO. AF_10/2020_P</v>
      </c>
      <c r="C101" s="5" t="str">
        <f>'MEDIÇÃO 08'!E109</f>
        <v>UN</v>
      </c>
      <c r="D101" s="5"/>
      <c r="E101" s="5"/>
    </row>
    <row r="102" spans="1:5" ht="30" x14ac:dyDescent="0.25">
      <c r="A102" s="5" t="str">
        <f>'MEDIÇÃO 08'!A110</f>
        <v>11.2</v>
      </c>
      <c r="B102" s="17" t="str">
        <f>'MEDIÇÃO 08'!C110</f>
        <v>EXTINTOR DE INCÊNDIO PORTÁTIL COM CARGA DE PQS DE 4 KG, CLASSE BC - FORNECIMENTO E INSTALAÇÃO. AF_10/2020_P</v>
      </c>
      <c r="C102" s="5" t="str">
        <f>'MEDIÇÃO 08'!E110</f>
        <v>UN</v>
      </c>
      <c r="D102" s="5"/>
      <c r="E102" s="5"/>
    </row>
    <row r="103" spans="1:5" ht="30" x14ac:dyDescent="0.25">
      <c r="A103" s="5" t="str">
        <f>'MEDIÇÃO 08'!A111</f>
        <v>11.3</v>
      </c>
      <c r="B103" s="17" t="str">
        <f>'MEDIÇÃO 08'!C111</f>
        <v>Luminaria autônoma de emergencia com lâmapda halógena H3/12v, ref. Lux 110, da Luxtron ou similar - Rev.01</v>
      </c>
      <c r="C103" s="5" t="str">
        <f>'MEDIÇÃO 08'!E111</f>
        <v>un</v>
      </c>
      <c r="D103" s="5"/>
      <c r="E103" s="5"/>
    </row>
    <row r="104" spans="1:5" ht="45" x14ac:dyDescent="0.25">
      <c r="A104" s="5" t="str">
        <f>'MEDIÇÃO 08'!A112</f>
        <v>11.4</v>
      </c>
      <c r="B104" s="17" t="str">
        <f>'MEDIÇÃO 08'!C112</f>
        <v>Placa de sinalizacao de seguranca contra incendio, fotoluminescente, retangular, *12 x 40* cm, em pvc *2* mm anti-chamas (simbolos, cores e pictogramas conforme nbr 13434)</v>
      </c>
      <c r="C104" s="5" t="str">
        <f>'MEDIÇÃO 08'!E112</f>
        <v>Un</v>
      </c>
      <c r="D104" s="5"/>
      <c r="E104" s="5"/>
    </row>
    <row r="105" spans="1:5" ht="30" x14ac:dyDescent="0.25">
      <c r="A105" s="5" t="str">
        <f>'MEDIÇÃO 08'!A113</f>
        <v>11.5</v>
      </c>
      <c r="B105" s="17" t="str">
        <f>'MEDIÇÃO 08'!C113</f>
        <v>Placa de sinalizacao, fotoluminescente, em pvc , com logotipo "Extintor de incêndio portátil"- Placa E5</v>
      </c>
      <c r="C105" s="5" t="str">
        <f>'MEDIÇÃO 08'!E113</f>
        <v>un</v>
      </c>
      <c r="D105" s="5"/>
      <c r="E105" s="5"/>
    </row>
    <row r="106" spans="1:5" x14ac:dyDescent="0.25">
      <c r="A106" s="18" t="str">
        <f>'MEDIÇÃO 08'!A115</f>
        <v>12</v>
      </c>
      <c r="B106" s="155" t="str">
        <f>'MEDIÇÃO 08'!B115:P115</f>
        <v>INSTALAÇÕES ELÉTRICAS</v>
      </c>
      <c r="C106" s="155"/>
      <c r="D106" s="155"/>
      <c r="E106" s="155"/>
    </row>
    <row r="107" spans="1:5" x14ac:dyDescent="0.25">
      <c r="A107" s="5" t="str">
        <f>'MEDIÇÃO 08'!A116</f>
        <v>12.1</v>
      </c>
      <c r="B107" s="17" t="str">
        <f>'MEDIÇÃO 08'!C116</f>
        <v>CAIXA DE LIGAÇÃO PVC 4" X 2"</v>
      </c>
      <c r="C107" s="5" t="str">
        <f>'MEDIÇÃO 08'!E116</f>
        <v>UN</v>
      </c>
      <c r="D107" s="5"/>
      <c r="E107" s="5"/>
    </row>
    <row r="108" spans="1:5" ht="30" x14ac:dyDescent="0.25">
      <c r="A108" s="5" t="str">
        <f>'MEDIÇÃO 08'!A117</f>
        <v>12.2</v>
      </c>
      <c r="B108" s="17" t="str">
        <f>'MEDIÇÃO 08'!C117</f>
        <v>CAIXA SEXTAVADA 3" X 3", METÁLICA, INSTALADA EM LAJE - FORNECIMENTO E INSTALAÇÃO. AF_12/2015</v>
      </c>
      <c r="C108" s="5" t="str">
        <f>'MEDIÇÃO 08'!E117</f>
        <v>UN</v>
      </c>
      <c r="D108" s="5"/>
      <c r="E108" s="5"/>
    </row>
    <row r="109" spans="1:5" ht="45" x14ac:dyDescent="0.25">
      <c r="A109" s="5" t="str">
        <f>'MEDIÇÃO 08'!A118</f>
        <v>12.3</v>
      </c>
      <c r="B109" s="17" t="str">
        <f>'MEDIÇÃO 08'!C118</f>
        <v>CURVA 90 GRAUS PARA ELETRODUTO, PVC, ROSCÁVEL, DN 32 MM (1"), PARA CIRCUITOS TERMINAIS, INSTALADA EM PAREDE - FORNECIMENTO E INSTALAÇÃO. AF_12/2015</v>
      </c>
      <c r="C109" s="5" t="str">
        <f>'MEDIÇÃO 08'!E118</f>
        <v>UN</v>
      </c>
      <c r="D109" s="5"/>
      <c r="E109" s="5"/>
    </row>
    <row r="110" spans="1:5" ht="45" x14ac:dyDescent="0.25">
      <c r="A110" s="5" t="str">
        <f>'MEDIÇÃO 08'!A119</f>
        <v>12.4</v>
      </c>
      <c r="B110" s="17" t="str">
        <f>'MEDIÇÃO 08'!C119</f>
        <v>CURVA 90 GRAUS PARA ELETRODUTO, PVC, ROSCÁVEL, DN 40 MM (1 1/4"), PARA CIRCUITOS TERMINAIS, INSTALADA EM PAREDE - FORNECIMENTO E INSTALAÇÃO. AF_12/2015</v>
      </c>
      <c r="C110" s="5" t="str">
        <f>'MEDIÇÃO 08'!E119</f>
        <v>UN</v>
      </c>
      <c r="D110" s="5"/>
      <c r="E110" s="5"/>
    </row>
    <row r="111" spans="1:5" ht="45" x14ac:dyDescent="0.25">
      <c r="A111" s="5" t="str">
        <f>'MEDIÇÃO 08'!A120</f>
        <v>12.5</v>
      </c>
      <c r="B111" s="17" t="str">
        <f>'MEDIÇÃO 08'!C120</f>
        <v>ELETRODUTO FLEXÍVEL CORRUGADO REFORÇADO, PVC, DN 32 MM (1"), PARA CIRCUITOS TERMINAIS, INSTALADO EM PAREDE - FORNECIMENTO E INSTALAÇÃO. AF_12/2015</v>
      </c>
      <c r="C111" s="5" t="str">
        <f>'MEDIÇÃO 08'!E120</f>
        <v>M</v>
      </c>
      <c r="D111" s="5"/>
      <c r="E111" s="5"/>
    </row>
    <row r="112" spans="1:5" ht="45" x14ac:dyDescent="0.25">
      <c r="A112" s="5" t="str">
        <f>'MEDIÇÃO 08'!A121</f>
        <v>12.6</v>
      </c>
      <c r="B112" s="17" t="str">
        <f>'MEDIÇÃO 08'!C121</f>
        <v>ELETRODUTO FLEXÍVEL CORRUGADO, PEAD, DN 40 MM (1 1/4"), PARA CIRCUITOS TERMINAIS, INSTALADO EM PAREDE - FORNECIMENTO E INSTALAÇÃO. AF_12/2015</v>
      </c>
      <c r="C112" s="5" t="str">
        <f>'MEDIÇÃO 08'!E121</f>
        <v>M</v>
      </c>
      <c r="D112" s="5"/>
      <c r="E112" s="5"/>
    </row>
    <row r="113" spans="1:5" ht="45" x14ac:dyDescent="0.25">
      <c r="A113" s="5" t="str">
        <f>'MEDIÇÃO 08'!A122</f>
        <v>12.7</v>
      </c>
      <c r="B113" s="17" t="str">
        <f>'MEDIÇÃO 08'!C122</f>
        <v>ELETRODUTO FLEXÍVEL CORRUGADO REFORÇADO, PVC, DN 20 MM (1/2"), PARA CIRCUITOS TERMINAIS, INSTALADO EM PAREDE - FORNECIMENTO E INSTALAÇÃO. AF_12/2015</v>
      </c>
      <c r="C113" s="5" t="str">
        <f>'MEDIÇÃO 08'!E122</f>
        <v>M</v>
      </c>
      <c r="D113" s="5"/>
      <c r="E113" s="5"/>
    </row>
    <row r="114" spans="1:5" ht="30" x14ac:dyDescent="0.25">
      <c r="A114" s="5" t="str">
        <f>'MEDIÇÃO 08'!A123</f>
        <v>12.8</v>
      </c>
      <c r="B114" s="17" t="str">
        <f>'MEDIÇÃO 08'!C123</f>
        <v>ELETRODUTO RÍGIDO ROSCÁVEL, PVC, DN 50 MM (1 1/2") - FORNECIMENTO E INSTALAÇÃO. AF_12/2015</v>
      </c>
      <c r="C114" s="5" t="str">
        <f>'MEDIÇÃO 08'!E123</f>
        <v>M</v>
      </c>
      <c r="D114" s="5"/>
      <c r="E114" s="5"/>
    </row>
    <row r="115" spans="1:5" ht="45" x14ac:dyDescent="0.25">
      <c r="A115" s="5" t="str">
        <f>'MEDIÇÃO 08'!A124</f>
        <v>12.9</v>
      </c>
      <c r="B115" s="17" t="str">
        <f>'MEDIÇÃO 08'!C124</f>
        <v>ELETRODUTO RÍGIDO ROSCÁVEL, PVC, DN 40 MM (1 1/4"), PARA CIRCUITOS TERMINAIS, INSTALADO EM PAREDE - FORNECIMENTO E INSTALAÇÃO. AF_12/2015</v>
      </c>
      <c r="C115" s="5" t="str">
        <f>'MEDIÇÃO 08'!E124</f>
        <v>M</v>
      </c>
      <c r="D115" s="5"/>
      <c r="E115" s="5"/>
    </row>
    <row r="116" spans="1:5" ht="45" x14ac:dyDescent="0.25">
      <c r="A116" s="5" t="str">
        <f>'MEDIÇÃO 08'!A125</f>
        <v>12.10</v>
      </c>
      <c r="B116" s="17" t="str">
        <f>'MEDIÇÃO 08'!C125</f>
        <v>ELETRODUTO RÍGIDO ROSCÁVEL, PVC, DN 32 MM (1"), PARA CIRCUITOS TERMINAIS, INSTALADO EM PAREDE - FORNECIMENTO E INSTALAÇÃO. AF_12/2015</v>
      </c>
      <c r="C116" s="5" t="str">
        <f>'MEDIÇÃO 08'!E125</f>
        <v>M</v>
      </c>
      <c r="D116" s="5"/>
      <c r="E116" s="5"/>
    </row>
    <row r="117" spans="1:5" ht="45" x14ac:dyDescent="0.25">
      <c r="A117" s="5" t="str">
        <f>'MEDIÇÃO 08'!A126</f>
        <v>12.11</v>
      </c>
      <c r="B117" s="17" t="str">
        <f>'MEDIÇÃO 08'!C126</f>
        <v>LUVA PARA ELETRODUTO, PVC, ROSCÁVEL, DN 32 MM (1"), PARA CIRCUITOS TERMINAIS, INSTALADA EM FORRO - FORNECIMENTO E INSTALAÇÃO. AF_12/2015</v>
      </c>
      <c r="C117" s="5" t="str">
        <f>'MEDIÇÃO 08'!E126</f>
        <v>UN</v>
      </c>
      <c r="D117" s="5"/>
      <c r="E117" s="5"/>
    </row>
    <row r="118" spans="1:5" ht="45" x14ac:dyDescent="0.25">
      <c r="A118" s="5" t="str">
        <f>'MEDIÇÃO 08'!A127</f>
        <v>12.12</v>
      </c>
      <c r="B118" s="17" t="str">
        <f>'MEDIÇÃO 08'!C127</f>
        <v>LUVA PARA ELETRODUTO, PVC, ROSCÁVEL, DN 40 MM (1 1/4"), PARA CIRCUITOS TERMINAIS, INSTALADA EM FORRO - FORNECIMENTO E INSTALAÇÃO. AF_12/2015</v>
      </c>
      <c r="C118" s="5" t="str">
        <f>'MEDIÇÃO 08'!E127</f>
        <v>UN</v>
      </c>
      <c r="D118" s="5"/>
      <c r="E118" s="5"/>
    </row>
    <row r="119" spans="1:5" ht="30" x14ac:dyDescent="0.25">
      <c r="A119" s="5" t="str">
        <f>'MEDIÇÃO 08'!A128</f>
        <v>12.13</v>
      </c>
      <c r="B119" s="17" t="str">
        <f>'MEDIÇÃO 08'!C128</f>
        <v>LUVA PARA ELETRODUTO, PVC, ROSCÁVEL, DN 50 MM (1 1/2") - FORNECIMENTO E INSTALAÇÃO. AF_12/2015</v>
      </c>
      <c r="C119" s="5" t="str">
        <f>'MEDIÇÃO 08'!E128</f>
        <v>UN</v>
      </c>
      <c r="D119" s="5"/>
      <c r="E119" s="5"/>
    </row>
    <row r="120" spans="1:5" ht="45" x14ac:dyDescent="0.25">
      <c r="A120" s="5" t="str">
        <f>'MEDIÇÃO 08'!A129</f>
        <v>12.14</v>
      </c>
      <c r="B120" s="17" t="str">
        <f>'MEDIÇÃO 08'!C129</f>
        <v>QUADRO DE DISTRIBUIÇÃO DE ENERGIA EM CHAPA DE AÇO GALVANIZADO, DE EMBUTIR, COM BARRAMENTO TRIFÁSICO, PARA 24 DISJUNTORES DIN 100A - FORNECIMENTO E INSTALAÇÃO. AF_10/2020</v>
      </c>
      <c r="C120" s="5" t="str">
        <f>'MEDIÇÃO 08'!E129</f>
        <v>UN</v>
      </c>
      <c r="D120" s="5"/>
      <c r="E120" s="5"/>
    </row>
    <row r="121" spans="1:5" ht="45" x14ac:dyDescent="0.25">
      <c r="A121" s="5" t="str">
        <f>'MEDIÇÃO 08'!A130</f>
        <v>12.15</v>
      </c>
      <c r="B121" s="17" t="str">
        <f>'MEDIÇÃO 08'!C130</f>
        <v>QUADRO DE DISTRIBUIÇÃO DE ENERGIA EM CHAPA DE AÇO GALVANIZADO, DE SOBREPOR, COM BARRAMENTO TRIFÁSICO, PARA 18 DISJUNTORES DIN 100A - FORNECIMENTO E INSTALAÇÃO. AF_10/2020</v>
      </c>
      <c r="C121" s="5" t="str">
        <f>'MEDIÇÃO 08'!E130</f>
        <v>UN</v>
      </c>
      <c r="D121" s="5"/>
      <c r="E121" s="5"/>
    </row>
    <row r="122" spans="1:5" x14ac:dyDescent="0.25">
      <c r="A122" s="5" t="str">
        <f>'MEDIÇÃO 08'!A131</f>
        <v>12.16</v>
      </c>
      <c r="B122" s="17" t="str">
        <f>'MEDIÇÃO 08'!C131</f>
        <v>Tomada 2P + T - 10A</v>
      </c>
      <c r="C122" s="5" t="str">
        <f>'MEDIÇÃO 08'!E131</f>
        <v>PC</v>
      </c>
      <c r="D122" s="5"/>
      <c r="E122" s="5"/>
    </row>
    <row r="123" spans="1:5" ht="30" x14ac:dyDescent="0.25">
      <c r="A123" s="5" t="str">
        <f>'MEDIÇÃO 08'!A132</f>
        <v>12.17</v>
      </c>
      <c r="B123" s="17" t="str">
        <f>'MEDIÇÃO 08'!C132</f>
        <v>Tomada 2p+t, ABNT, 10 A, para piso, com placa em metal amarelo e caixa pvc</v>
      </c>
      <c r="C123" s="5" t="str">
        <f>'MEDIÇÃO 08'!E132</f>
        <v>un</v>
      </c>
      <c r="D123" s="5"/>
      <c r="E123" s="5"/>
    </row>
    <row r="124" spans="1:5" ht="30" x14ac:dyDescent="0.25">
      <c r="A124" s="5" t="str">
        <f>'MEDIÇÃO 08'!A133</f>
        <v>12.18</v>
      </c>
      <c r="B124" s="17" t="str">
        <f>'MEDIÇÃO 08'!C133</f>
        <v>TOMADA ALTA DE EMBUTIR (1 MÓDULO), 2P+T 10 A, INCLUINDO SUPORTE E PLACA - FORNECIMENTO E INSTALAÇÃO. AF_12/2015</v>
      </c>
      <c r="C124" s="5" t="str">
        <f>'MEDIÇÃO 08'!E133</f>
        <v>UN</v>
      </c>
      <c r="D124" s="5"/>
      <c r="E124" s="5"/>
    </row>
    <row r="125" spans="1:5" ht="45" x14ac:dyDescent="0.25">
      <c r="A125" s="5" t="str">
        <f>'MEDIÇÃO 08'!A134</f>
        <v>12.19</v>
      </c>
      <c r="B125" s="17" t="str">
        <f>'MEDIÇÃO 08'!C134</f>
        <v>INTERRUPTOR SIMPLES (1 MÓDULO) COM 1 TOMADA DE EMBUTIR 2P+T 10 A,  INCLUINDO SUPORTE E PLACA - FORNECIMENTO E INSTALAÇÃO. AF_12/2015</v>
      </c>
      <c r="C125" s="5" t="str">
        <f>'MEDIÇÃO 08'!E134</f>
        <v>UN</v>
      </c>
      <c r="D125" s="5"/>
      <c r="E125" s="5"/>
    </row>
    <row r="126" spans="1:5" ht="45" x14ac:dyDescent="0.25">
      <c r="A126" s="5" t="str">
        <f>'MEDIÇÃO 08'!A135</f>
        <v>12.20</v>
      </c>
      <c r="B126" s="17" t="str">
        <f>'MEDIÇÃO 08'!C135</f>
        <v>INTERRUPTOR SIMPLES (3 MÓDULOS) COM INTERRUPTOR PARALELO (1 MÓDULO), 10A/250V, INCLUINDO SUPORTE E PLACA - FORNECIMENTO E INSTALAÇÃO. AF_12/2015</v>
      </c>
      <c r="C126" s="5" t="str">
        <f>'MEDIÇÃO 08'!E135</f>
        <v>UN</v>
      </c>
      <c r="D126" s="5"/>
      <c r="E126" s="5"/>
    </row>
    <row r="127" spans="1:5" ht="45" x14ac:dyDescent="0.25">
      <c r="A127" s="5" t="str">
        <f>'MEDIÇÃO 08'!A136</f>
        <v>12.21</v>
      </c>
      <c r="B127" s="17" t="str">
        <f>'MEDIÇÃO 08'!C136</f>
        <v>LUMINÁRIA TIPO CALHA, DE SOBREPOR, COM 2 LÂMPADAS TUBULARES FLUORESCENTES DE 18 W, COM REATOR DE PARTIDA RÁPIDA - FORNECIMENTO E INSTALAÇÃO. AF_02/2020</v>
      </c>
      <c r="C127" s="5" t="str">
        <f>'MEDIÇÃO 08'!E136</f>
        <v>UN</v>
      </c>
      <c r="D127" s="5"/>
      <c r="E127" s="5"/>
    </row>
    <row r="128" spans="1:5" ht="45" x14ac:dyDescent="0.25">
      <c r="A128" s="5" t="str">
        <f>'MEDIÇÃO 08'!A137</f>
        <v>12.22</v>
      </c>
      <c r="B128" s="17" t="str">
        <f>'MEDIÇÃO 08'!C137</f>
        <v>LUMINÁRIA TIPO CALHA, DE SOBREPOR, COM 2 LÂMPADAS TUBULARES FLUORESCENTES DE 36 W, COM REATOR DE PARTIDA RÁPIDA - FORNECIMENTO E INSTALAÇÃO. AF_02/2020</v>
      </c>
      <c r="C128" s="5" t="str">
        <f>'MEDIÇÃO 08'!E137</f>
        <v>UN</v>
      </c>
      <c r="D128" s="5"/>
      <c r="E128" s="5"/>
    </row>
    <row r="129" spans="1:5" ht="45" x14ac:dyDescent="0.25">
      <c r="A129" s="5" t="str">
        <f>'MEDIÇÃO 08'!A138</f>
        <v>12.23</v>
      </c>
      <c r="B129" s="17" t="str">
        <f>'MEDIÇÃO 08'!C138</f>
        <v>CABO DE COBRE FLEXÍVEL ISOLADO, 16 MM², 0,6/1,0 KV, PARA REDE AÉREA DE DISTRIBUIÇÃO DE ENERGIA ELÉTRICA DE BAIXA TENSÃO - FORNECIMENTO E INSTALAÇÃO. AF_07/2020</v>
      </c>
      <c r="C129" s="5" t="str">
        <f>'MEDIÇÃO 08'!E138</f>
        <v>M</v>
      </c>
      <c r="D129" s="5"/>
      <c r="E129" s="5"/>
    </row>
    <row r="130" spans="1:5" ht="45" x14ac:dyDescent="0.25">
      <c r="A130" s="5" t="str">
        <f>'MEDIÇÃO 08'!A139</f>
        <v>12.24</v>
      </c>
      <c r="B130" s="17" t="str">
        <f>'MEDIÇÃO 08'!C139</f>
        <v>CABO DE COBRE FLEXÍVEL ISOLADO, 16 MM², 0,6/1,0 KV, PARA REDE AÉREA DE DISTRIBUIÇÃO DE ENERGIA ELÉTRICA DE BAIXA TENSÃO - FORNECIMENTO E INSTALAÇÃO. AF_07/2020</v>
      </c>
      <c r="C130" s="5" t="str">
        <f>'MEDIÇÃO 08'!E139</f>
        <v>M</v>
      </c>
      <c r="D130" s="5"/>
      <c r="E130" s="5"/>
    </row>
    <row r="131" spans="1:5" ht="45" x14ac:dyDescent="0.25">
      <c r="A131" s="5" t="str">
        <f>'MEDIÇÃO 08'!A140</f>
        <v>12.25</v>
      </c>
      <c r="B131" s="17" t="str">
        <f>'MEDIÇÃO 08'!C140</f>
        <v>CABO DE COBRE FLEXÍVEL ISOLADO, 16 MM², 0,6/1,0 KV, PARA REDE AÉREA DE DISTRIBUIÇÃO DE ENERGIA ELÉTRICA DE BAIXA TENSÃO - FORNECIMENTO E INSTALAÇÃO. AF_07/2020</v>
      </c>
      <c r="C131" s="5" t="str">
        <f>'MEDIÇÃO 08'!E140</f>
        <v>M</v>
      </c>
      <c r="D131" s="5"/>
      <c r="E131" s="5"/>
    </row>
    <row r="132" spans="1:5" ht="30" x14ac:dyDescent="0.25">
      <c r="A132" s="5" t="str">
        <f>'MEDIÇÃO 08'!A141</f>
        <v>12.26</v>
      </c>
      <c r="B132" s="17" t="str">
        <f>'MEDIÇÃO 08'!C141</f>
        <v>Disjuntor bipolar DR 25 A  - Dispositivo residual diferencial, tipo AC, 30MA, ref.5SM1 312-OMB, Siemens ou similar</v>
      </c>
      <c r="C132" s="5" t="str">
        <f>'MEDIÇÃO 08'!E141</f>
        <v>un</v>
      </c>
      <c r="D132" s="5"/>
      <c r="E132" s="5"/>
    </row>
    <row r="133" spans="1:5" ht="30" x14ac:dyDescent="0.25">
      <c r="A133" s="5" t="str">
        <f>'MEDIÇÃO 08'!A142</f>
        <v>12.27</v>
      </c>
      <c r="B133" s="17" t="str">
        <f>'MEDIÇÃO 08'!C142</f>
        <v>DISJUNTOR MONOPOLAR TIPO DIN, CORRENTE NOMINAL DE 25A - FORNECIMENTO E INSTALAÇÃO. AF_10/2020</v>
      </c>
      <c r="C133" s="5" t="str">
        <f>'MEDIÇÃO 08'!E142</f>
        <v>UN</v>
      </c>
      <c r="D133" s="5"/>
      <c r="E133" s="5"/>
    </row>
    <row r="134" spans="1:5" ht="30" x14ac:dyDescent="0.25">
      <c r="A134" s="5" t="str">
        <f>'MEDIÇÃO 08'!A143</f>
        <v>12.28</v>
      </c>
      <c r="B134" s="17" t="str">
        <f>'MEDIÇÃO 08'!C143</f>
        <v>DISJUNTOR MONOPOLAR TIPO DIN, CORRENTE NOMINAL DE 10A - FORNECIMENTO E INSTALAÇÃO. AF_10/2020</v>
      </c>
      <c r="C134" s="5" t="str">
        <f>'MEDIÇÃO 08'!E143</f>
        <v>UN</v>
      </c>
      <c r="D134" s="5"/>
      <c r="E134" s="5"/>
    </row>
    <row r="135" spans="1:5" ht="30" x14ac:dyDescent="0.25">
      <c r="A135" s="5" t="str">
        <f>'MEDIÇÃO 08'!A144</f>
        <v>12.29</v>
      </c>
      <c r="B135" s="17" t="str">
        <f>'MEDIÇÃO 08'!C144</f>
        <v>DISJUNTOR TRIPOLAR TIPO NEMA, CORRENTE NOMINAL DE 10 ATÉ 50A - FORNECIMENTO E INSTALAÇÃO. AF_10/2020</v>
      </c>
      <c r="C135" s="5" t="str">
        <f>'MEDIÇÃO 08'!E144</f>
        <v>UN</v>
      </c>
      <c r="D135" s="5"/>
      <c r="E135" s="5"/>
    </row>
    <row r="136" spans="1:5" ht="30" x14ac:dyDescent="0.25">
      <c r="A136" s="5" t="str">
        <f>'MEDIÇÃO 08'!A145</f>
        <v>12.30</v>
      </c>
      <c r="B136" s="17" t="str">
        <f>'MEDIÇÃO 08'!C145</f>
        <v>DISJUNTOR TRIPOLAR TIPO NEMA, CORRENTE NOMINAL DE 10 ATÉ 50A - FORNECIMENTO E INSTALAÇÃO. AF_10/2020</v>
      </c>
      <c r="C136" s="5" t="str">
        <f>'MEDIÇÃO 08'!E145</f>
        <v>UN</v>
      </c>
      <c r="D136" s="5"/>
      <c r="E136" s="5"/>
    </row>
    <row r="137" spans="1:5" ht="45" x14ac:dyDescent="0.25">
      <c r="A137" s="5" t="str">
        <f>'MEDIÇÃO 08'!A146</f>
        <v>12.31</v>
      </c>
      <c r="B137" s="17" t="str">
        <f>'MEDIÇÃO 08'!C146</f>
        <v>CABO DE COBRE FLEXÍVEL ISOLADO, 4 MM², ANTI-CHAMA 450/750 V, PARA CIRCUITOS TERMINAIS - FORNECIMENTO E INSTALAÇÃO. AF_12/2015</v>
      </c>
      <c r="C137" s="5" t="str">
        <f>'MEDIÇÃO 08'!E146</f>
        <v>M</v>
      </c>
      <c r="D137" s="5"/>
      <c r="E137" s="5"/>
    </row>
    <row r="138" spans="1:5" ht="45" x14ac:dyDescent="0.25">
      <c r="A138" s="5" t="str">
        <f>'MEDIÇÃO 08'!A147</f>
        <v>12.32</v>
      </c>
      <c r="B138" s="17" t="str">
        <f>'MEDIÇÃO 08'!C147</f>
        <v>CABO DE COBRE FLEXÍVEL ISOLADO, 1,5 MM², ANTI-CHAMA 450/750 V, PARA CIRCUITOS TERMINAIS - FORNECIMENTO E INSTALAÇÃO. AF_12/2015</v>
      </c>
      <c r="C138" s="5" t="str">
        <f>'MEDIÇÃO 08'!E147</f>
        <v>M</v>
      </c>
      <c r="D138" s="5"/>
      <c r="E138" s="5"/>
    </row>
    <row r="139" spans="1:5" x14ac:dyDescent="0.25">
      <c r="A139" s="5" t="str">
        <f>'MEDIÇÃO 08'!A148</f>
        <v>12.33</v>
      </c>
      <c r="B139" s="17" t="str">
        <f>'MEDIÇÃO 08'!C148</f>
        <v>CAIXA PARA MEDIDOR TRIFÁSICO - PADRÃO ENERGISA</v>
      </c>
      <c r="C139" s="5" t="str">
        <f>'MEDIÇÃO 08'!E148</f>
        <v>pc</v>
      </c>
      <c r="D139" s="5"/>
      <c r="E139" s="5"/>
    </row>
    <row r="140" spans="1:5" ht="30" x14ac:dyDescent="0.25">
      <c r="A140" s="5" t="str">
        <f>'MEDIÇÃO 08'!A149</f>
        <v>12.34</v>
      </c>
      <c r="B140" s="17" t="str">
        <f>'MEDIÇÃO 08'!C149</f>
        <v>CAIXA DE INSPEÇÃO PARA ATERRAMENTO, CIRCULAR, EM POLIETILENO, DIÂMETRO INTERNO = 0,3 M. AF_12/2020</v>
      </c>
      <c r="C140" s="5" t="str">
        <f>'MEDIÇÃO 08'!E149</f>
        <v>UN</v>
      </c>
      <c r="D140" s="5"/>
      <c r="E140" s="5"/>
    </row>
    <row r="141" spans="1:5" x14ac:dyDescent="0.25">
      <c r="A141" s="5" t="str">
        <f>'MEDIÇÃO 08'!A150</f>
        <v>12.35</v>
      </c>
      <c r="B141" s="17" t="str">
        <f>'MEDIÇÃO 08'!C150</f>
        <v>CAIXA PARA MEDIDOR TRIFÁSICO - PADRÃO ENERGISA</v>
      </c>
      <c r="C141" s="5" t="str">
        <f>'MEDIÇÃO 08'!E150</f>
        <v>PC</v>
      </c>
      <c r="D141" s="5"/>
      <c r="E141" s="5"/>
    </row>
    <row r="142" spans="1:5" x14ac:dyDescent="0.25">
      <c r="A142" s="5" t="str">
        <f>'MEDIÇÃO 08'!A151</f>
        <v>12.36</v>
      </c>
      <c r="B142" s="17" t="str">
        <f>'MEDIÇÃO 08'!C151</f>
        <v>Massa 3M para calafetação (fornecimento)</v>
      </c>
      <c r="C142" s="5" t="str">
        <f>'MEDIÇÃO 08'!E151</f>
        <v>kg</v>
      </c>
      <c r="D142" s="5"/>
      <c r="E142" s="5"/>
    </row>
    <row r="143" spans="1:5" ht="30" x14ac:dyDescent="0.25">
      <c r="A143" s="5" t="str">
        <f>'MEDIÇÃO 08'!A152</f>
        <v>12.37</v>
      </c>
      <c r="B143" s="17" t="str">
        <f>'MEDIÇÃO 08'!C152</f>
        <v>HASTE DE ATERRAMENTO 5/8  PARA SPDA - FORNECIMENTO E INSTALAÇÃO. AF_12/2017</v>
      </c>
      <c r="C143" s="5" t="str">
        <f>'MEDIÇÃO 08'!E152</f>
        <v>UN</v>
      </c>
      <c r="D143" s="5"/>
      <c r="E143" s="5"/>
    </row>
    <row r="144" spans="1:5" x14ac:dyDescent="0.25">
      <c r="A144" s="5" t="str">
        <f>'MEDIÇÃO 08'!A153</f>
        <v>12.38</v>
      </c>
      <c r="B144" s="17" t="str">
        <f>'MEDIÇÃO 08'!C153</f>
        <v>Fita isolante (rolo 20m) 3/4" - Fornecimento</v>
      </c>
      <c r="C144" s="5" t="str">
        <f>'MEDIÇÃO 08'!E153</f>
        <v>Un</v>
      </c>
      <c r="D144" s="5"/>
      <c r="E144" s="5"/>
    </row>
    <row r="145" spans="1:5" ht="45" x14ac:dyDescent="0.25">
      <c r="A145" s="5" t="str">
        <f>'MEDIÇÃO 08'!A154</f>
        <v>12.39</v>
      </c>
      <c r="B145" s="17" t="str">
        <f>'MEDIÇÃO 08'!C154</f>
        <v>CABO DE COBRE FLEXÍVEL ISOLADO, 2,5 MM², ANTI-CHAMA 450/750 V, PARA CIRCUITOS TERMINAIS - FORNECIMENTO E INSTALAÇÃO. AF_12/2015</v>
      </c>
      <c r="C145" s="5" t="str">
        <f>'MEDIÇÃO 08'!E154</f>
        <v>M</v>
      </c>
      <c r="D145" s="5"/>
      <c r="E145" s="5"/>
    </row>
    <row r="146" spans="1:5" ht="45" x14ac:dyDescent="0.25">
      <c r="A146" s="5" t="str">
        <f>'MEDIÇÃO 08'!A155</f>
        <v>12.40</v>
      </c>
      <c r="B146" s="17" t="str">
        <f>'MEDIÇÃO 08'!C155</f>
        <v>CABO DE COBRE FLEXÍVEL ISOLADO, 1,5 MM², ANTI-CHAMA 450/750 V, PARA CIRCUITOS TERMINAIS - FORNECIMENTO E INSTALAÇÃO. AF_12/2015</v>
      </c>
      <c r="C146" s="5" t="str">
        <f>'MEDIÇÃO 08'!E155</f>
        <v>M</v>
      </c>
      <c r="D146" s="5"/>
      <c r="E146" s="5"/>
    </row>
    <row r="147" spans="1:5" ht="45" x14ac:dyDescent="0.25">
      <c r="A147" s="5" t="str">
        <f>'MEDIÇÃO 08'!A156</f>
        <v>12.41</v>
      </c>
      <c r="B147" s="17" t="str">
        <f>'MEDIÇÃO 08'!C156</f>
        <v>CABO DE COBRE FLEXÍVEL ISOLADO, 2,5 MM², ANTI-CHAMA 450/750 V, PARA CIRCUITOS TERMINAIS - FORNECIMENTO E INSTALAÇÃO. AF_12/2015</v>
      </c>
      <c r="C147" s="5" t="str">
        <f>'MEDIÇÃO 08'!E156</f>
        <v>M</v>
      </c>
      <c r="D147" s="5"/>
      <c r="E147" s="5"/>
    </row>
    <row r="148" spans="1:5" ht="45" x14ac:dyDescent="0.25">
      <c r="A148" s="5" t="str">
        <f>'MEDIÇÃO 08'!A157</f>
        <v>12.42</v>
      </c>
      <c r="B148" s="17" t="str">
        <f>'MEDIÇÃO 08'!C157</f>
        <v>CABO DE COBRE FLEXÍVEL ISOLADO, 2,5 MM², ANTI-CHAMA 450/750 V, PARA CIRCUITOS TERMINAIS - FORNECIMENTO E INSTALAÇÃO. AF_12/2015</v>
      </c>
      <c r="C148" s="5" t="str">
        <f>'MEDIÇÃO 08'!E157</f>
        <v>M</v>
      </c>
      <c r="D148" s="5"/>
      <c r="E148" s="5"/>
    </row>
    <row r="149" spans="1:5" ht="60" x14ac:dyDescent="0.25">
      <c r="A149" s="5" t="str">
        <f>'MEDIÇÃO 08'!A158</f>
        <v>12.43</v>
      </c>
      <c r="B149" s="17" t="str">
        <f>'MEDIÇÃO 08'!C158</f>
        <v>KIT DE PORTA DE MADEIRA FRISADA, SEMI-OCA (LEVE OU MÉDIA), PADRÃO POPULAR, 80X210CM, ESPESSURA DE 3,5CM, ITENS INCLUSOS: DOBRADIÇAS, MONTAGEM E INSTALAÇÃO DO BATENTE, SEM FECHADURA - FORNECIMENTO E INSTALAÇÃO. AF_12/2019</v>
      </c>
      <c r="C149" s="5" t="str">
        <f>'MEDIÇÃO 08'!E158</f>
        <v>M</v>
      </c>
      <c r="D149" s="5"/>
      <c r="E149" s="5"/>
    </row>
    <row r="150" spans="1:5" ht="45" x14ac:dyDescent="0.25">
      <c r="A150" s="5" t="str">
        <f>'MEDIÇÃO 08'!A159</f>
        <v>12.44</v>
      </c>
      <c r="B150" s="17" t="str">
        <f>'MEDIÇÃO 08'!C159</f>
        <v>CABO DE COBRE FLEXÍVEL ISOLADO, 10 MM², ANTI-CHAMA 0,6/1,0 KV, PARA CIRCUITOS TERMINAIS - FORNECIMENTO E INSTALAÇÃO. AF_12/2015</v>
      </c>
      <c r="C150" s="5" t="str">
        <f>'MEDIÇÃO 08'!E159</f>
        <v>M</v>
      </c>
      <c r="D150" s="5"/>
      <c r="E150" s="5"/>
    </row>
    <row r="151" spans="1:5" ht="45" x14ac:dyDescent="0.25">
      <c r="A151" s="5" t="str">
        <f>'MEDIÇÃO 08'!A160</f>
        <v>12.45</v>
      </c>
      <c r="B151" s="17" t="str">
        <f>'MEDIÇÃO 08'!C160</f>
        <v>CABO DE COBRE FLEXÍVEL ISOLADO, 10 MM², ANTI-CHAMA 0,6/1,0 KV, PARA CIRCUITOS TERMINAIS - FORNECIMENTO E INSTALAÇÃO. AF_12/2015</v>
      </c>
      <c r="C151" s="5" t="str">
        <f>'MEDIÇÃO 08'!E160</f>
        <v>M</v>
      </c>
      <c r="D151" s="5"/>
      <c r="E151" s="5"/>
    </row>
    <row r="152" spans="1:5" ht="45" x14ac:dyDescent="0.25">
      <c r="A152" s="5" t="str">
        <f>'MEDIÇÃO 08'!A161</f>
        <v>12.46</v>
      </c>
      <c r="B152" s="17" t="str">
        <f>'MEDIÇÃO 08'!C161</f>
        <v>INTERRUPTOR SIMPLES (1 MÓDULO) COM 1 TOMADA DE EMBUTIR 2P+T 10 A,  INCLUINDO SUPORTE E PLACA - FORNECIMENTO E INSTALAÇÃO. AF_12/2015</v>
      </c>
      <c r="C152" s="5" t="str">
        <f>'MEDIÇÃO 08'!E161</f>
        <v>UN</v>
      </c>
      <c r="D152" s="5"/>
      <c r="E152" s="5"/>
    </row>
    <row r="153" spans="1:5" ht="45" x14ac:dyDescent="0.25">
      <c r="A153" s="5" t="str">
        <f>'MEDIÇÃO 08'!A162</f>
        <v>12.47</v>
      </c>
      <c r="B153" s="17" t="str">
        <f>'MEDIÇÃO 08'!C162</f>
        <v>INTERRUPTOR SIMPLES (1 MÓDULO) COM 1 TOMADA DE EMBUTIR 2P+T 10 A,  SEM SUPORTE E SEM PLACA - FORNECIMENTO E INSTALAÇÃO. AF_12/2015</v>
      </c>
      <c r="C153" s="5" t="str">
        <f>'MEDIÇÃO 08'!E162</f>
        <v>UN</v>
      </c>
      <c r="D153" s="5"/>
      <c r="E153" s="5"/>
    </row>
    <row r="154" spans="1:5" x14ac:dyDescent="0.25">
      <c r="A154" s="18" t="str">
        <f>'MEDIÇÃO 08'!A164</f>
        <v>13</v>
      </c>
      <c r="B154" s="155" t="str">
        <f>'MEDIÇÃO 08'!B164:P164</f>
        <v>INSTALAÇÕES HIDRO-SANITÁRIA</v>
      </c>
      <c r="C154" s="155"/>
      <c r="D154" s="155"/>
      <c r="E154" s="155"/>
    </row>
    <row r="155" spans="1:5" ht="45" x14ac:dyDescent="0.25">
      <c r="A155" s="5" t="str">
        <f>'MEDIÇÃO 08'!A165</f>
        <v>13.1</v>
      </c>
      <c r="B155" s="17" t="str">
        <f>'MEDIÇÃO 08'!C165</f>
        <v>CAIXA SIFONADA, PVC, DN 100 X 100 X 50 MM, JUNTA ELÁSTICA, FORNECIDA E INSTALADA EM RAMAL DE DESCARGA OU EM RAMAL DE ESGOTO SANITÁRIO. AF_12/2014</v>
      </c>
      <c r="C155" s="5" t="str">
        <f>'MEDIÇÃO 08'!E165</f>
        <v>UN</v>
      </c>
      <c r="D155" s="5"/>
      <c r="E155" s="5"/>
    </row>
    <row r="156" spans="1:5" ht="30" x14ac:dyDescent="0.25">
      <c r="A156" s="5" t="str">
        <f>'MEDIÇÃO 08'!A166</f>
        <v>13.2</v>
      </c>
      <c r="B156" s="17" t="str">
        <f>'MEDIÇÃO 08'!C166</f>
        <v>CAIXA SIFONADA, PVC, 150 X 150 X 50 MM, COM GRELHA QUADRADA, BRANCA (NBR 5688)</v>
      </c>
      <c r="C156" s="5" t="str">
        <f>'MEDIÇÃO 08'!E166</f>
        <v>UN</v>
      </c>
      <c r="D156" s="5"/>
      <c r="E156" s="5"/>
    </row>
    <row r="157" spans="1:5" ht="45" x14ac:dyDescent="0.25">
      <c r="A157" s="5" t="str">
        <f>'MEDIÇÃO 08'!A167</f>
        <v>13.3</v>
      </c>
      <c r="B157" s="17" t="str">
        <f>'MEDIÇÃO 08'!C167</f>
        <v>RALO SECO, PVC, DN 100 X 40 MM, JUNTA SOLDÁVEL, FORNECIDO E INSTALADO EM RAMAL DE DESCARGA OU EM RAMAL DE ESGOTO SANITÁRIO. AF_12/2014</v>
      </c>
      <c r="C157" s="5" t="str">
        <f>'MEDIÇÃO 08'!E167</f>
        <v>UN</v>
      </c>
      <c r="D157" s="5"/>
      <c r="E157" s="5"/>
    </row>
    <row r="158" spans="1:5" ht="45" x14ac:dyDescent="0.25">
      <c r="A158" s="5" t="str">
        <f>'MEDIÇÃO 08'!A168</f>
        <v>13.4</v>
      </c>
      <c r="B158" s="17" t="str">
        <f>'MEDIÇÃO 08'!C168</f>
        <v>CAIXA ENTERRADA HIDRÁULICA RETANGULAR EM ALVENARIA COM TIJOLOS CERÂMICOS MACIÇOS, DIMENSÕES INTERNAS: 0,6X0,6X0,6 M PARA REDE DE ESGOTO. AF_12/2020</v>
      </c>
      <c r="C158" s="5" t="str">
        <f>'MEDIÇÃO 08'!E168</f>
        <v>UN</v>
      </c>
      <c r="D158" s="5"/>
      <c r="E158" s="5"/>
    </row>
    <row r="159" spans="1:5" ht="30" x14ac:dyDescent="0.25">
      <c r="A159" s="5" t="str">
        <f>'MEDIÇÃO 08'!A169</f>
        <v>13.5</v>
      </c>
      <c r="B159" s="17" t="str">
        <f>'MEDIÇÃO 08'!C169</f>
        <v>BUCHA DE REDUCAO DE PVC, SOLDAVEL, CURTA, COM 60 X 50 MM, PARA AGUA FRIA PREDIAL</v>
      </c>
      <c r="C159" s="5" t="str">
        <f>'MEDIÇÃO 08'!E169</f>
        <v>UN</v>
      </c>
      <c r="D159" s="5"/>
      <c r="E159" s="5"/>
    </row>
    <row r="160" spans="1:5" ht="30" x14ac:dyDescent="0.25">
      <c r="A160" s="5" t="str">
        <f>'MEDIÇÃO 08'!A170</f>
        <v>13.6</v>
      </c>
      <c r="B160" s="17" t="str">
        <f>'MEDIÇÃO 08'!C170</f>
        <v>BUCHA DE REDUCAO DE PVC, SOLDAVEL, CURTA, COM 25 X 20 MM, PARA AGUA FRIA PREDIAL</v>
      </c>
      <c r="C160" s="5" t="str">
        <f>'MEDIÇÃO 08'!E170</f>
        <v>UN</v>
      </c>
      <c r="D160" s="5"/>
      <c r="E160" s="5"/>
    </row>
    <row r="161" spans="1:5" ht="30" x14ac:dyDescent="0.25">
      <c r="A161" s="5" t="str">
        <f>'MEDIÇÃO 08'!A171</f>
        <v>13.7</v>
      </c>
      <c r="B161" s="17" t="str">
        <f>'MEDIÇÃO 08'!C171</f>
        <v>BUCHA DE REDUCAO DE PVC, SOLDAVEL, LONGA, COM 50 X 25 MM, PARA AGUA FRIA PREDIAL</v>
      </c>
      <c r="C161" s="5" t="str">
        <f>'MEDIÇÃO 08'!E171</f>
        <v>UN</v>
      </c>
      <c r="D161" s="5"/>
      <c r="E161" s="5"/>
    </row>
    <row r="162" spans="1:5" ht="30" x14ac:dyDescent="0.25">
      <c r="A162" s="5" t="str">
        <f>'MEDIÇÃO 08'!A172</f>
        <v>13.8</v>
      </c>
      <c r="B162" s="17" t="str">
        <f>'MEDIÇÃO 08'!C172</f>
        <v>BUCHA DE REDUCAO DE PVC, SOLDAVEL, LONGA, COM 50 X 32 MM, PARA AGUA FRIA PREDIAL</v>
      </c>
      <c r="C162" s="5" t="str">
        <f>'MEDIÇÃO 08'!E172</f>
        <v>UN</v>
      </c>
      <c r="D162" s="5"/>
      <c r="E162" s="5"/>
    </row>
    <row r="163" spans="1:5" ht="30" x14ac:dyDescent="0.25">
      <c r="A163" s="5" t="str">
        <f>'MEDIÇÃO 08'!A173</f>
        <v>13.9</v>
      </c>
      <c r="B163" s="17" t="str">
        <f>'MEDIÇÃO 08'!C173</f>
        <v>JOELHO 90 GRAUS, PVC, SOLDÁVEL, DN 25MM, INSTALADO EM RAMAL OU SUB-RAMAL DE ÁGUA - FORNECIMENTO E INSTALAÇÃO. AF_12/2014</v>
      </c>
      <c r="C163" s="5" t="str">
        <f>'MEDIÇÃO 08'!E173</f>
        <v>UN</v>
      </c>
      <c r="D163" s="5"/>
      <c r="E163" s="5"/>
    </row>
    <row r="164" spans="1:5" ht="30" x14ac:dyDescent="0.25">
      <c r="A164" s="5" t="str">
        <f>'MEDIÇÃO 08'!A174</f>
        <v>13.10</v>
      </c>
      <c r="B164" s="17" t="str">
        <f>'MEDIÇÃO 08'!C174</f>
        <v>JOELHO 90 GRAUS, PVC, SOLDÁVEL, DN 50MM, INSTALADO EM PRUMADA DE ÁGUA - FORNECIMENTO E INSTALAÇÃO. AF_12/2014</v>
      </c>
      <c r="C164" s="5" t="str">
        <f>'MEDIÇÃO 08'!E174</f>
        <v>UN</v>
      </c>
      <c r="D164" s="5"/>
      <c r="E164" s="5"/>
    </row>
    <row r="165" spans="1:5" ht="45" x14ac:dyDescent="0.25">
      <c r="A165" s="5" t="str">
        <f>'MEDIÇÃO 08'!A175</f>
        <v>13.11</v>
      </c>
      <c r="B165" s="17" t="str">
        <f>'MEDIÇÃO 08'!C175</f>
        <v>Joelho 90 graus com bucha de latão, pvc, soldável, dn 25mm, x 3/4? instalado em ramal ou sub-ramal de água - fornecimento e instalação. af_12/2014</v>
      </c>
      <c r="C165" s="5" t="str">
        <f>'MEDIÇÃO 08'!E175</f>
        <v>UN</v>
      </c>
      <c r="D165" s="5"/>
      <c r="E165" s="5"/>
    </row>
    <row r="166" spans="1:5" ht="30" x14ac:dyDescent="0.25">
      <c r="A166" s="5" t="str">
        <f>'MEDIÇÃO 08'!A176</f>
        <v>13.12</v>
      </c>
      <c r="B166" s="17" t="str">
        <f>'MEDIÇÃO 08'!C176</f>
        <v>LUVA DE REDUÇÃO, PVC, SOLDÁVEL, DN 50MM X 25MM, INSTALADO EM PRUMADA DE ÁGUA   FORNECIMENTO E INSTALAÇÃO. AF_12/2014</v>
      </c>
      <c r="C166" s="5" t="str">
        <f>'MEDIÇÃO 08'!E176</f>
        <v>UN</v>
      </c>
      <c r="D166" s="5"/>
      <c r="E166" s="5"/>
    </row>
    <row r="167" spans="1:5" ht="30" x14ac:dyDescent="0.25">
      <c r="A167" s="5" t="str">
        <f>'MEDIÇÃO 08'!A177</f>
        <v>13.13</v>
      </c>
      <c r="B167" s="17" t="str">
        <f>'MEDIÇÃO 08'!C177</f>
        <v>TÊ DE REDUÇÃO, PVC, SOLDÁVEL, DN 50MM X 25MM, INSTALADO EM PRUMADA DE ÁGUA - FORNECIMENTO E INSTALAÇÃO. AF_12/2014</v>
      </c>
      <c r="C167" s="5" t="str">
        <f>'MEDIÇÃO 08'!E177</f>
        <v>UN</v>
      </c>
      <c r="D167" s="5"/>
      <c r="E167" s="5"/>
    </row>
    <row r="168" spans="1:5" ht="30" x14ac:dyDescent="0.25">
      <c r="A168" s="5" t="str">
        <f>'MEDIÇÃO 08'!A178</f>
        <v>13.14</v>
      </c>
      <c r="B168" s="17" t="str">
        <f>'MEDIÇÃO 08'!C178</f>
        <v>TE, PVC, SOLDÁVEL, DN 20MM, INSTALADO EM RAMAL OU SUB-RAMAL DE ÁGUA - FORNECIMENTO E INSTALAÇÃO. AF_12/2014</v>
      </c>
      <c r="C168" s="5" t="str">
        <f>'MEDIÇÃO 08'!E178</f>
        <v>UN</v>
      </c>
      <c r="D168" s="5"/>
      <c r="E168" s="5"/>
    </row>
    <row r="169" spans="1:5" ht="30" x14ac:dyDescent="0.25">
      <c r="A169" s="5" t="str">
        <f>'MEDIÇÃO 08'!A179</f>
        <v>13.15</v>
      </c>
      <c r="B169" s="17" t="str">
        <f>'MEDIÇÃO 08'!C179</f>
        <v>TE, PVC, SOLDÁVEL, DN 25MM, INSTALADO EM RAMAL OU SUB-RAMAL DE ÁGUA - FORNECIMENTO E INSTALAÇÃO. AF_12/2014</v>
      </c>
      <c r="C169" s="5" t="str">
        <f>'MEDIÇÃO 08'!E179</f>
        <v>UN</v>
      </c>
      <c r="D169" s="5"/>
      <c r="E169" s="5"/>
    </row>
    <row r="170" spans="1:5" ht="30" x14ac:dyDescent="0.25">
      <c r="A170" s="5" t="str">
        <f>'MEDIÇÃO 08'!A180</f>
        <v>13.16</v>
      </c>
      <c r="B170" s="17" t="str">
        <f>'MEDIÇÃO 08'!C180</f>
        <v>TE, PVC, SOLDÁVEL, DN 50MM, INSTALADO EM PRUMADA DE ÁGUA - FORNECIMENTO E INSTALAÇÃO. AF_12/2014</v>
      </c>
      <c r="C170" s="5" t="str">
        <f>'MEDIÇÃO 08'!E180</f>
        <v>UN</v>
      </c>
      <c r="D170" s="5"/>
      <c r="E170" s="5"/>
    </row>
    <row r="171" spans="1:5" ht="45" x14ac:dyDescent="0.25">
      <c r="A171" s="5" t="str">
        <f>'MEDIÇÃO 08'!A181</f>
        <v>13.17</v>
      </c>
      <c r="B171" s="17" t="str">
        <f>'MEDIÇÃO 08'!C181</f>
        <v>TÊ COM BUCHA DE LATÃO NA BOLSA CENTRAL, PVC, SOLDÁVEL, DN 25MM X 3/4?, INSTALADO EM RAMAL OU SUB-RAMAL DE ÁGUA - FORNECIMENTO E INSTALAÇÃO. AF_03/2015</v>
      </c>
      <c r="C171" s="5" t="str">
        <f>'MEDIÇÃO 08'!E181</f>
        <v>UN</v>
      </c>
      <c r="D171" s="5"/>
      <c r="E171" s="5"/>
    </row>
    <row r="172" spans="1:5" ht="30" x14ac:dyDescent="0.25">
      <c r="A172" s="5" t="str">
        <f>'MEDIÇÃO 08'!A182</f>
        <v>13.18</v>
      </c>
      <c r="B172" s="17" t="str">
        <f>'MEDIÇÃO 08'!C182</f>
        <v>TUBO, PVC, SOLDÁVEL, DN 20MM, INSTALADO EM RAMAL DE DISTRIBUIÇÃO DE ÁGUA - FORNECIMENTO E INSTALAÇÃO. AF_12/2014</v>
      </c>
      <c r="C172" s="5" t="str">
        <f>'MEDIÇÃO 08'!E182</f>
        <v>M</v>
      </c>
      <c r="D172" s="5"/>
      <c r="E172" s="5"/>
    </row>
    <row r="173" spans="1:5" ht="30" x14ac:dyDescent="0.25">
      <c r="A173" s="5" t="str">
        <f>'MEDIÇÃO 08'!A183</f>
        <v>13.19</v>
      </c>
      <c r="B173" s="17" t="str">
        <f>'MEDIÇÃO 08'!C183</f>
        <v>TUBO, PVC, SOLDÁVEL, DN 25MM, INSTALADO EM PRUMADA DE ÁGUA - FORNECIMENTO E INSTALAÇÃO. AF_12/2014</v>
      </c>
      <c r="C173" s="5" t="str">
        <f>'MEDIÇÃO 08'!E183</f>
        <v>M</v>
      </c>
      <c r="D173" s="5"/>
      <c r="E173" s="5"/>
    </row>
    <row r="174" spans="1:5" ht="30" x14ac:dyDescent="0.25">
      <c r="A174" s="5" t="str">
        <f>'MEDIÇÃO 08'!A184</f>
        <v>13.20</v>
      </c>
      <c r="B174" s="17" t="str">
        <f>'MEDIÇÃO 08'!C184</f>
        <v>TUBO, PVC, SOLDÁVEL, DN 50MM, INSTALADO EM PRUMADA DE ÁGUA - FORNECIMENTO E INSTALAÇÃO. AF_12/2014</v>
      </c>
      <c r="C174" s="5" t="str">
        <f>'MEDIÇÃO 08'!E184</f>
        <v>M</v>
      </c>
      <c r="D174" s="5"/>
      <c r="E174" s="5"/>
    </row>
    <row r="175" spans="1:5" ht="45" x14ac:dyDescent="0.25">
      <c r="A175" s="5" t="str">
        <f>'MEDIÇÃO 08'!A185</f>
        <v>13.21</v>
      </c>
      <c r="B175" s="17" t="str">
        <f>'MEDIÇÃO 08'!C185</f>
        <v>TUBO PVC, SERIE NORMAL, ESGOTO PREDIAL, DN 40 MM, FORNECIDO E INSTALADO EM RAMAL DE DESCARGA OU RAMAL DE ESGOTO SANITÁRIO. AF_12/2014</v>
      </c>
      <c r="C175" s="5" t="str">
        <f>'MEDIÇÃO 08'!E185</f>
        <v>M</v>
      </c>
      <c r="D175" s="5"/>
      <c r="E175" s="5"/>
    </row>
    <row r="176" spans="1:5" ht="45" x14ac:dyDescent="0.25">
      <c r="A176" s="5" t="str">
        <f>'MEDIÇÃO 08'!A186</f>
        <v>13.22</v>
      </c>
      <c r="B176" s="17" t="str">
        <f>'MEDIÇÃO 08'!C186</f>
        <v>TUBO PVC, SERIE NORMAL, ESGOTO PREDIAL, DN 50 MM, FORNECIDO E INSTALADO EM PRUMADA DE ESGOTO SANITÁRIO OU VENTILAÇÃO. AF_12/2014</v>
      </c>
      <c r="C176" s="5" t="str">
        <f>'MEDIÇÃO 08'!E186</f>
        <v>M</v>
      </c>
      <c r="D176" s="5"/>
      <c r="E176" s="5"/>
    </row>
    <row r="177" spans="1:5" ht="45" x14ac:dyDescent="0.25">
      <c r="A177" s="5" t="str">
        <f>'MEDIÇÃO 08'!A187</f>
        <v>13.23</v>
      </c>
      <c r="B177" s="17" t="str">
        <f>'MEDIÇÃO 08'!C187</f>
        <v>TUBO PVC, SERIE NORMAL, ESGOTO PREDIAL, DN 100 MM, FORNECIDO E INSTALADO EM PRUMADA DE ESGOTO SANITÁRIO OU VENTILAÇÃO. AF_12/2014</v>
      </c>
      <c r="C177" s="5" t="str">
        <f>'MEDIÇÃO 08'!E187</f>
        <v>M</v>
      </c>
      <c r="D177" s="5"/>
      <c r="E177" s="5"/>
    </row>
    <row r="178" spans="1:5" ht="45" x14ac:dyDescent="0.25">
      <c r="A178" s="5" t="str">
        <f>'MEDIÇÃO 08'!A188</f>
        <v>13.24</v>
      </c>
      <c r="B178" s="17" t="str">
        <f>'MEDIÇÃO 08'!C188</f>
        <v>VASO SANITÁRIO SIFONADO COM CAIXA ACOPLADA LOUÇA BRANCA, INCLUSO ENGATE FLEXÍVEL EM PLÁSTICO BRANCO, 1/2  X 40CM - FORNECIMENTO E INSTALAÇÃO. AF_01/2020</v>
      </c>
      <c r="C178" s="5" t="str">
        <f>'MEDIÇÃO 08'!E188</f>
        <v>UN</v>
      </c>
      <c r="D178" s="5"/>
      <c r="E178" s="5"/>
    </row>
    <row r="179" spans="1:5" x14ac:dyDescent="0.25">
      <c r="A179" s="5" t="str">
        <f>'MEDIÇÃO 08'!A189</f>
        <v>13.25</v>
      </c>
      <c r="B179" s="17" t="str">
        <f>'MEDIÇÃO 08'!C189</f>
        <v>ASSENTO SANITARIO DE PLASTICO, TIPO CONVENCIONAL</v>
      </c>
      <c r="C179" s="5" t="str">
        <f>'MEDIÇÃO 08'!E189</f>
        <v>UN</v>
      </c>
      <c r="D179" s="5"/>
      <c r="E179" s="5"/>
    </row>
    <row r="180" spans="1:5" x14ac:dyDescent="0.25">
      <c r="A180" s="5" t="str">
        <f>'MEDIÇÃO 08'!A190</f>
        <v>13.26</v>
      </c>
      <c r="B180" s="17" t="str">
        <f>'MEDIÇÃO 08'!C190</f>
        <v>DUCHA HIGIENICA PLASTICA COM REGISTRO METALICO 1/2 "</v>
      </c>
      <c r="C180" s="5" t="str">
        <f>'MEDIÇÃO 08'!E190</f>
        <v>UN</v>
      </c>
      <c r="D180" s="5"/>
      <c r="E180" s="5"/>
    </row>
    <row r="181" spans="1:5" ht="30" x14ac:dyDescent="0.25">
      <c r="A181" s="5" t="str">
        <f>'MEDIÇÃO 08'!A191</f>
        <v>13.27</v>
      </c>
      <c r="B181" s="17" t="str">
        <f>'MEDIÇÃO 08'!C191</f>
        <v>DUCHA / CHUVEIRO PLASTICO SIMPLES, 5 '', BRANCO, PARA ACOPLAR EM HASTE 1/2 ", AGUA FRIA</v>
      </c>
      <c r="C181" s="5" t="str">
        <f>'MEDIÇÃO 08'!E191</f>
        <v>UN</v>
      </c>
      <c r="D181" s="5"/>
      <c r="E181" s="5"/>
    </row>
    <row r="182" spans="1:5" ht="30" x14ac:dyDescent="0.25">
      <c r="A182" s="5" t="str">
        <f>'MEDIÇÃO 08'!A192</f>
        <v>13.28</v>
      </c>
      <c r="B182" s="17" t="str">
        <f>'MEDIÇÃO 08'!C192</f>
        <v>MICTÓRIO SIFONADO LOUÇA BRANCA ? PADRÃO MÉDIO ? FORNECIMENTO E INSTALAÇÃO. AF_01/2020</v>
      </c>
      <c r="C182" s="5" t="str">
        <f>'MEDIÇÃO 08'!E192</f>
        <v>UN</v>
      </c>
      <c r="D182" s="5"/>
      <c r="E182" s="5"/>
    </row>
    <row r="183" spans="1:5" ht="30" x14ac:dyDescent="0.25">
      <c r="A183" s="5" t="str">
        <f>'MEDIÇÃO 08'!A193</f>
        <v>13.29</v>
      </c>
      <c r="B183" s="17" t="str">
        <f>'MEDIÇÃO 08'!C193</f>
        <v>TORNEIRA PLÁSTICA 3/4? PARA TANQUE - FORNECIMENTO E INSTALAÇÃO. AF_01/2020</v>
      </c>
      <c r="C183" s="5" t="str">
        <f>'MEDIÇÃO 08'!E193</f>
        <v>UN</v>
      </c>
      <c r="D183" s="5"/>
      <c r="E183" s="5"/>
    </row>
    <row r="184" spans="1:5" ht="45" x14ac:dyDescent="0.25">
      <c r="A184" s="5" t="str">
        <f>'MEDIÇÃO 08'!A194</f>
        <v>13.30</v>
      </c>
      <c r="B184" s="17" t="str">
        <f>'MEDIÇÃO 08'!C194</f>
        <v>KIT CAVALETE PARA MEDIÇÃO DE ÁGUA - ENTRADA PRINCIPAL, EM PVC SOLDÁVEL DN 25 (¾")   FORNECIMENTO E INSTALAÇÃO (EXCLUSIVE HIDRÔMETRO). AF_11/2016</v>
      </c>
      <c r="C184" s="5" t="str">
        <f>'MEDIÇÃO 08'!E194</f>
        <v>UN</v>
      </c>
      <c r="D184" s="5"/>
      <c r="E184" s="5"/>
    </row>
    <row r="185" spans="1:5" ht="45" x14ac:dyDescent="0.25">
      <c r="A185" s="5" t="str">
        <f>'MEDIÇÃO 08'!A195</f>
        <v>13.31</v>
      </c>
      <c r="B185" s="17" t="str">
        <f>'MEDIÇÃO 08'!C195</f>
        <v>CUBA DE EMBUTIR DE AÇO INOXIDÁVEL MÉDIA, INCLUSO VÁLVULA TIPO AMERICANA EM METAL CROMADO E SIFÃO FLEXÍVEL EM PVC - FORNECIMENTO E INSTALAÇÃO. AF_01/2020</v>
      </c>
      <c r="C185" s="5" t="str">
        <f>'MEDIÇÃO 08'!E195</f>
        <v>UN</v>
      </c>
      <c r="D185" s="5"/>
      <c r="E185" s="5"/>
    </row>
    <row r="186" spans="1:5" ht="45" x14ac:dyDescent="0.25">
      <c r="A186" s="5" t="str">
        <f>'MEDIÇÃO 08'!A196</f>
        <v>13.32</v>
      </c>
      <c r="B186" s="17" t="str">
        <f>'MEDIÇÃO 08'!C196</f>
        <v>TORNEIRA CROMADA LONGA, DE PAREDE, 1/2? OU 3/4?, PARA PIA DE COZINHA, PADRÃO POPULAR - FORNECIMENTO E INSTALAÇÃO. AF_01/2020</v>
      </c>
      <c r="C186" s="5" t="str">
        <f>'MEDIÇÃO 08'!E196</f>
        <v>UN</v>
      </c>
      <c r="D186" s="5"/>
      <c r="E186" s="5"/>
    </row>
    <row r="187" spans="1:5" ht="45" x14ac:dyDescent="0.25">
      <c r="A187" s="5" t="str">
        <f>'MEDIÇÃO 08'!A197</f>
        <v>13.33</v>
      </c>
      <c r="B187" s="17" t="str">
        <f>'MEDIÇÃO 08'!C197</f>
        <v>CUBA DE EMBUTIR OVAL EM LOUÇA BRANCA, 35 X 50CM OU EQUIVALENTE, INCLUSO VÁLVULA EM METAL CROMADO E SIFÃO FLEXÍVEL EM PVC - FORNECIMENTO E INSTALAÇÃO. AF_01/2020</v>
      </c>
      <c r="C187" s="5" t="str">
        <f>'MEDIÇÃO 08'!E197</f>
        <v>UN</v>
      </c>
      <c r="D187" s="5"/>
      <c r="E187" s="5"/>
    </row>
    <row r="188" spans="1:5" ht="30" x14ac:dyDescent="0.25">
      <c r="A188" s="5" t="str">
        <f>'MEDIÇÃO 08'!A198</f>
        <v>13.34</v>
      </c>
      <c r="B188" s="17" t="str">
        <f>'MEDIÇÃO 08'!C198</f>
        <v>TORNEIRA CROMADA DE MESA, 1/2? OU 3/4?, PARA LAVATÓRIO, PADRÃO POPULAR - FORNECIMENTO E INSTALAÇÃO. AF_01/2020</v>
      </c>
      <c r="C188" s="5" t="str">
        <f>'MEDIÇÃO 08'!E198</f>
        <v>UN</v>
      </c>
      <c r="D188" s="5"/>
      <c r="E188" s="5"/>
    </row>
    <row r="189" spans="1:5" ht="30" x14ac:dyDescent="0.25">
      <c r="A189" s="5" t="str">
        <f>'MEDIÇÃO 08'!A199</f>
        <v>13.35</v>
      </c>
      <c r="B189" s="17" t="str">
        <f>'MEDIÇÃO 08'!C199</f>
        <v>TORNEIRA DE BOIA PARA CAIXA D'ÁGUA, ROSCÁVEL, 3/4" - FORNECIMENTO E INSTALAÇÃO. AF_08/2021</v>
      </c>
      <c r="C189" s="5" t="str">
        <f>'MEDIÇÃO 08'!E199</f>
        <v>UN</v>
      </c>
      <c r="D189" s="5"/>
      <c r="E189" s="5"/>
    </row>
    <row r="190" spans="1:5" ht="30" x14ac:dyDescent="0.25">
      <c r="A190" s="5" t="str">
        <f>'MEDIÇÃO 08'!A200</f>
        <v>13.36</v>
      </c>
      <c r="B190" s="17" t="str">
        <f>'MEDIÇÃO 08'!C200</f>
        <v>BARRA DE APOIO RETA, EM ACO INOX POLIDO, COMPRIMENTO 70 CM,  FIXADA NA PAREDE - FORNECIMENTO E INSTALAÇÃO. AF_01/2020</v>
      </c>
      <c r="C190" s="5" t="str">
        <f>'MEDIÇÃO 08'!E200</f>
        <v>UN</v>
      </c>
      <c r="D190" s="5"/>
      <c r="E190" s="5"/>
    </row>
    <row r="191" spans="1:5" ht="30" x14ac:dyDescent="0.25">
      <c r="A191" s="5" t="str">
        <f>'MEDIÇÃO 08'!A201</f>
        <v>13.37</v>
      </c>
      <c r="B191" s="17" t="str">
        <f>'MEDIÇÃO 08'!C201</f>
        <v>BARRA DE APOIO RETA, EM ACO INOX POLIDO, COMPRIMENTO 60CM, FIXADA NA PAREDE - FORNECIMENTO E INSTALAÇÃO. AF_01/2020</v>
      </c>
      <c r="C191" s="5" t="str">
        <f>'MEDIÇÃO 08'!E201</f>
        <v>UN</v>
      </c>
      <c r="D191" s="5"/>
      <c r="E191" s="5"/>
    </row>
    <row r="192" spans="1:5" ht="60" x14ac:dyDescent="0.25">
      <c r="A192" s="5" t="str">
        <f>'MEDIÇÃO 08'!A202</f>
        <v>13.38</v>
      </c>
      <c r="B192" s="17" t="str">
        <f>'MEDIÇÃO 08'!C202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92" s="5" t="str">
        <f>'MEDIÇÃO 08'!E202</f>
        <v>UN</v>
      </c>
      <c r="D192" s="5"/>
      <c r="E192" s="5"/>
    </row>
    <row r="193" spans="1:5" ht="30" x14ac:dyDescent="0.25">
      <c r="A193" s="5" t="str">
        <f>'MEDIÇÃO 08'!A203</f>
        <v>13.39</v>
      </c>
      <c r="B193" s="17" t="str">
        <f>'MEDIÇÃO 08'!C203</f>
        <v>PAPELEIRA DE PAREDE EM METAL CROMADO SEM TAMPA, INCLUSO FIXAÇÃO. AF_01/2020</v>
      </c>
      <c r="C193" s="5" t="str">
        <f>'MEDIÇÃO 08'!E203</f>
        <v>UN</v>
      </c>
      <c r="D193" s="5"/>
      <c r="E193" s="5"/>
    </row>
    <row r="194" spans="1:5" ht="30" x14ac:dyDescent="0.25">
      <c r="A194" s="5" t="str">
        <f>'MEDIÇÃO 08'!A204</f>
        <v>13.40</v>
      </c>
      <c r="B194" s="17" t="str">
        <f>'MEDIÇÃO 08'!C204</f>
        <v>REGISTRO DE GAVETA BRUTO, LATÃO, ROSCÁVEL, 2" - FORNECIMENTO E INSTALAÇÃO. AF_08/2021</v>
      </c>
      <c r="C194" s="5" t="str">
        <f>'MEDIÇÃO 08'!E204</f>
        <v>UN</v>
      </c>
      <c r="D194" s="5"/>
      <c r="E194" s="5"/>
    </row>
    <row r="195" spans="1:5" ht="30" x14ac:dyDescent="0.25">
      <c r="A195" s="5" t="str">
        <f>'MEDIÇÃO 08'!A205</f>
        <v>13.41</v>
      </c>
      <c r="B195" s="17" t="str">
        <f>'MEDIÇÃO 08'!C205</f>
        <v>REGISTRO DE GAVETA BRUTO, LATÃO, ROSCÁVEL, 1 1/2" - FORNECIMENTO E INSTALAÇÃO. AF_08/2021</v>
      </c>
      <c r="C195" s="5" t="str">
        <f>'MEDIÇÃO 08'!E205</f>
        <v>UN</v>
      </c>
      <c r="D195" s="5"/>
      <c r="E195" s="5"/>
    </row>
    <row r="196" spans="1:5" ht="30" x14ac:dyDescent="0.25">
      <c r="A196" s="5" t="str">
        <f>'MEDIÇÃO 08'!A206</f>
        <v>13.42</v>
      </c>
      <c r="B196" s="17" t="str">
        <f>'MEDIÇÃO 08'!C206</f>
        <v>REGISTRO DE GAVETA BRUTO, LATÃO, ROSCÁVEL, 1/2" - FORNECIMENTO E INSTALAÇÃO. AF_08/2021</v>
      </c>
      <c r="C196" s="5" t="str">
        <f>'MEDIÇÃO 08'!E206</f>
        <v>UN</v>
      </c>
      <c r="D196" s="5"/>
      <c r="E196" s="5"/>
    </row>
    <row r="197" spans="1:5" ht="30" x14ac:dyDescent="0.25">
      <c r="A197" s="5" t="str">
        <f>'MEDIÇÃO 08'!A207</f>
        <v>13.43</v>
      </c>
      <c r="B197" s="17" t="str">
        <f>'MEDIÇÃO 08'!C207</f>
        <v>REGISTRO DE GAVETA BRUTO, LATÃO, ROSCÁVEL, 3/4" - FORNECIMENTO E INSTALAÇÃO. AF_08/2021</v>
      </c>
      <c r="C197" s="5" t="str">
        <f>'MEDIÇÃO 08'!E207</f>
        <v>UN</v>
      </c>
      <c r="D197" s="5"/>
      <c r="E197" s="5"/>
    </row>
    <row r="198" spans="1:5" ht="45" x14ac:dyDescent="0.25">
      <c r="A198" s="5" t="str">
        <f>'MEDIÇÃO 08'!A208</f>
        <v>13.44</v>
      </c>
      <c r="B198" s="17" t="str">
        <f>'MEDIÇÃO 08'!C208</f>
        <v>REGISTRO DE PRESSÃO BRUTO, LATÃO, ROSCÁVEL, 3/4", COM ACABAMENTO E CANOPLA CROMADOS - FORNECIMENTO E INSTALAÇÃO. AF_08/2021</v>
      </c>
      <c r="C198" s="5" t="str">
        <f>'MEDIÇÃO 08'!E208</f>
        <v>UN</v>
      </c>
      <c r="D198" s="5"/>
      <c r="E198" s="5"/>
    </row>
    <row r="199" spans="1:5" ht="30" x14ac:dyDescent="0.25">
      <c r="A199" s="5" t="str">
        <f>'MEDIÇÃO 08'!A209</f>
        <v>13.45</v>
      </c>
      <c r="B199" s="17" t="str">
        <f>'MEDIÇÃO 08'!C209</f>
        <v>UNIÃO, CPVC, SOLDÁVEL, DN35MM, INSTALADO EM PRUMADA DE ÁGUA ? FORNECIMENTO E INSTALAÇÃO. AF_12/2014</v>
      </c>
      <c r="C199" s="5" t="str">
        <f>'MEDIÇÃO 08'!E209</f>
        <v>UN</v>
      </c>
      <c r="D199" s="5"/>
      <c r="E199" s="5"/>
    </row>
    <row r="200" spans="1:5" ht="45" x14ac:dyDescent="0.25">
      <c r="A200" s="5" t="str">
        <f>'MEDIÇÃO 08'!A210</f>
        <v>13.46</v>
      </c>
      <c r="B200" s="17" t="str">
        <f>'MEDIÇÃO 08'!C210</f>
        <v>JOELHO 45 GRAUS, PVC, SERIE NORMAL, ESGOTO PREDIAL, DN 50 MM, JUNTA ELÁSTICA, FORNECIDO E INSTALADO EM PRUMADA DE ESGOTO SANITÁRIO OU VENTILAÇÃO. AF_12/2014</v>
      </c>
      <c r="C200" s="5" t="str">
        <f>'MEDIÇÃO 08'!E210</f>
        <v>UN</v>
      </c>
      <c r="D200" s="5"/>
      <c r="E200" s="5"/>
    </row>
    <row r="201" spans="1:5" ht="45" x14ac:dyDescent="0.25">
      <c r="A201" s="5" t="str">
        <f>'MEDIÇÃO 08'!A211</f>
        <v>13.47</v>
      </c>
      <c r="B201" s="17" t="str">
        <f>'MEDIÇÃO 08'!C211</f>
        <v>JOELHO 45 GRAUS, PVC, SERIE NORMAL, ESGOTO PREDIAL, DN 100 MM, JUNTA ELÁSTICA, FORNECIDO E INSTALADO EM PRUMADA DE ESGOTO SANITÁRIO OU VENTILAÇÃO. AF_12/2014</v>
      </c>
      <c r="C201" s="5" t="str">
        <f>'MEDIÇÃO 08'!E211</f>
        <v>UN</v>
      </c>
      <c r="D201" s="5"/>
      <c r="E201" s="5"/>
    </row>
    <row r="202" spans="1:5" ht="45" x14ac:dyDescent="0.25">
      <c r="A202" s="5" t="str">
        <f>'MEDIÇÃO 08'!A212</f>
        <v>13.48</v>
      </c>
      <c r="B202" s="17" t="str">
        <f>'MEDIÇÃO 08'!C212</f>
        <v>JOELHO 90 GRAUS, PVC, SERIE NORMAL, ESGOTO PREDIAL, DN 40 MM, JUNTA SOLDÁVEL, FORNECIDO E INSTALADO EM RAMAL DE DESCARGA OU RAMAL DE ESGOTO SANITÁRIO. AF_12/2014</v>
      </c>
      <c r="C202" s="5" t="str">
        <f>'MEDIÇÃO 08'!E212</f>
        <v>UN</v>
      </c>
      <c r="D202" s="5"/>
      <c r="E202" s="5"/>
    </row>
    <row r="203" spans="1:5" ht="45" x14ac:dyDescent="0.25">
      <c r="A203" s="5" t="str">
        <f>'MEDIÇÃO 08'!A213</f>
        <v>13.49</v>
      </c>
      <c r="B203" s="17" t="str">
        <f>'MEDIÇÃO 08'!C213</f>
        <v>JOELHO 90 GRAUS, PVC, SERIE NORMAL, ESGOTO PREDIAL, DN 50 MM, JUNTA ELÁSTICA, FORNECIDO E INSTALADO EM PRUMADA DE ESGOTO SANITÁRIO OU VENTILAÇÃO. AF_12/2014</v>
      </c>
      <c r="C203" s="5" t="str">
        <f>'MEDIÇÃO 08'!E213</f>
        <v>UN</v>
      </c>
      <c r="D203" s="5"/>
      <c r="E203" s="5"/>
    </row>
    <row r="204" spans="1:5" ht="45" x14ac:dyDescent="0.25">
      <c r="A204" s="5" t="str">
        <f>'MEDIÇÃO 08'!A214</f>
        <v>13.50</v>
      </c>
      <c r="B204" s="17" t="str">
        <f>'MEDIÇÃO 08'!C214</f>
        <v>JOELHO 90 GRAUS, PVC, SERIE NORMAL, ESGOTO PREDIAL, DN 100 MM, JUNTA ELÁSTICA, FORNECIDO E INSTALADO EM RAMAL DE DESCARGA OU RAMAL DE ESGOTO SANITÁRIO. AF_12/2014</v>
      </c>
      <c r="C204" s="5" t="str">
        <f>'MEDIÇÃO 08'!E214</f>
        <v>UN</v>
      </c>
      <c r="D204" s="5"/>
      <c r="E204" s="5"/>
    </row>
    <row r="205" spans="1:5" ht="45" x14ac:dyDescent="0.25">
      <c r="A205" s="5" t="str">
        <f>'MEDIÇÃO 08'!A215</f>
        <v>13.51</v>
      </c>
      <c r="B205" s="17" t="str">
        <f>'MEDIÇÃO 08'!C215</f>
        <v>JUNÇÃO SIMPLES, PVC, SERIE NORMAL, ESGOTO PREDIAL, DN 50 X 50 MM, JUNTA ELÁSTICA, FORNECIDO E INSTALADO EM PRUMADA DE ESGOTO SANITÁRIO OU VENTILAÇÃO. AF_12/2014</v>
      </c>
      <c r="C205" s="5" t="str">
        <f>'MEDIÇÃO 08'!E215</f>
        <v>UN</v>
      </c>
      <c r="D205" s="5"/>
      <c r="E205" s="5"/>
    </row>
    <row r="206" spans="1:5" ht="30" x14ac:dyDescent="0.25">
      <c r="A206" s="5" t="str">
        <f>'MEDIÇÃO 08'!A216</f>
        <v>13.52</v>
      </c>
      <c r="B206" s="17" t="str">
        <f>'MEDIÇÃO 08'!C216</f>
        <v>JUNCAO SIMPLES, PVC, DN 100 X 50 MM, SERIE NORMAL PARA ESGOTO PREDIAL</v>
      </c>
      <c r="C206" s="5" t="str">
        <f>'MEDIÇÃO 08'!E216</f>
        <v>UN</v>
      </c>
      <c r="D206" s="5"/>
      <c r="E206" s="5"/>
    </row>
    <row r="207" spans="1:5" ht="30" x14ac:dyDescent="0.25">
      <c r="A207" s="5" t="str">
        <f>'MEDIÇÃO 08'!A217</f>
        <v>13.53</v>
      </c>
      <c r="B207" s="17" t="str">
        <f>'MEDIÇÃO 08'!C217</f>
        <v>JUNCAO SIMPLES, PVC, DN 100 X 75 MM, SERIE NORMAL PARA ESGOTO PREDIAL</v>
      </c>
      <c r="C207" s="5" t="str">
        <f>'MEDIÇÃO 08'!E217</f>
        <v>UN</v>
      </c>
      <c r="D207" s="5"/>
      <c r="E207" s="5"/>
    </row>
    <row r="208" spans="1:5" ht="45" x14ac:dyDescent="0.25">
      <c r="A208" s="5" t="str">
        <f>'MEDIÇÃO 08'!A218</f>
        <v>13.54</v>
      </c>
      <c r="B208" s="17" t="str">
        <f>'MEDIÇÃO 08'!C218</f>
        <v>JUNÇÃO SIMPLES, PVC, SERIE NORMAL, ESGOTO PREDIAL, DN 100 X 100 MM, JUNTA ELÁSTICA, FORNECIDO E INSTALADO EM RAMAL DE DESCARGA OU RAMAL DE ESGOTO SANITÁRIO. AF_12/2014</v>
      </c>
      <c r="C208" s="5" t="str">
        <f>'MEDIÇÃO 08'!E218</f>
        <v>UN</v>
      </c>
      <c r="D208" s="5"/>
      <c r="E208" s="5"/>
    </row>
    <row r="209" spans="1:5" ht="45" x14ac:dyDescent="0.25">
      <c r="A209" s="5" t="str">
        <f>'MEDIÇÃO 08'!A219</f>
        <v>13.55</v>
      </c>
      <c r="B209" s="17" t="str">
        <f>'MEDIÇÃO 08'!C219</f>
        <v>LUVA SIMPLES, PVC, SERIE NORMAL, ESGOTO PREDIAL, DN 50 MM, JUNTA ELÁSTICA, FORNECIDO E INSTALADO EM PRUMADA DE ESGOTO SANITÁRIO OU VENTILAÇÃO. AF_12/2014</v>
      </c>
      <c r="C209" s="5" t="str">
        <f>'MEDIÇÃO 08'!E219</f>
        <v>UN</v>
      </c>
      <c r="D209" s="5"/>
      <c r="E209" s="5"/>
    </row>
    <row r="210" spans="1:5" ht="45" x14ac:dyDescent="0.25">
      <c r="A210" s="5" t="str">
        <f>'MEDIÇÃO 08'!A220</f>
        <v>13.56</v>
      </c>
      <c r="B210" s="17" t="str">
        <f>'MEDIÇÃO 08'!C220</f>
        <v>LUVA SIMPLES, PVC, SERIE NORMAL, ESGOTO PREDIAL, DN 75 MM, JUNTA ELÁSTICA, FORNECIDO E INSTALADO EM PRUMADA DE ESGOTO SANITÁRIO OU VENTILAÇÃO. AF_12/2014</v>
      </c>
      <c r="C210" s="5" t="str">
        <f>'MEDIÇÃO 08'!E220</f>
        <v>UN</v>
      </c>
      <c r="D210" s="5"/>
      <c r="E210" s="5"/>
    </row>
    <row r="211" spans="1:5" ht="45" x14ac:dyDescent="0.25">
      <c r="A211" s="5" t="str">
        <f>'MEDIÇÃO 08'!A221</f>
        <v>13.57</v>
      </c>
      <c r="B211" s="17" t="str">
        <f>'MEDIÇÃO 08'!C221</f>
        <v>LUVA SIMPLES, PVC, SERIE NORMAL, ESGOTO PREDIAL, DN 100 MM, JUNTA ELÁSTICA, FORNECIDO E INSTALADO EM RAMAL DE DESCARGA OU RAMAL DE ESGOTO SANITÁRIO. AF_12/2014</v>
      </c>
      <c r="C211" s="5" t="str">
        <f>'MEDIÇÃO 08'!E221</f>
        <v>UN</v>
      </c>
      <c r="D211" s="5"/>
      <c r="E211" s="5"/>
    </row>
    <row r="212" spans="1:5" ht="45" x14ac:dyDescent="0.25">
      <c r="A212" s="5" t="str">
        <f>'MEDIÇÃO 08'!A222</f>
        <v>13.58</v>
      </c>
      <c r="B212" s="17" t="str">
        <f>'MEDIÇÃO 08'!C222</f>
        <v>TE, PVC, SERIE NORMAL, ESGOTO PREDIAL, DN 50 X 50 MM, JUNTA ELÁSTICA, FORNECIDO E INSTALADO EM PRUMADA DE ESGOTO SANITÁRIO OU VENTILAÇÃO. AF_12/2014</v>
      </c>
      <c r="C212" s="5" t="str">
        <f>'MEDIÇÃO 08'!E222</f>
        <v>UN</v>
      </c>
      <c r="D212" s="5"/>
      <c r="E212" s="5"/>
    </row>
    <row r="213" spans="1:5" ht="30" x14ac:dyDescent="0.25">
      <c r="A213" s="5" t="str">
        <f>'MEDIÇÃO 08'!A223</f>
        <v>13.59</v>
      </c>
      <c r="B213" s="17" t="str">
        <f>'MEDIÇÃO 08'!C223</f>
        <v>TE SANITARIO, PVC, DN 75 X 50 MM, SERIE NORMAL PARA ESGOTO PREDIAL</v>
      </c>
      <c r="C213" s="5" t="str">
        <f>'MEDIÇÃO 08'!E223</f>
        <v>UN</v>
      </c>
      <c r="D213" s="5"/>
      <c r="E213" s="5"/>
    </row>
    <row r="214" spans="1:5" ht="30" x14ac:dyDescent="0.25">
      <c r="A214" s="5" t="str">
        <f>'MEDIÇÃO 08'!A224</f>
        <v>13.60</v>
      </c>
      <c r="B214" s="17" t="str">
        <f>'MEDIÇÃO 08'!C224</f>
        <v>TE SANITARIO, PVC, DN 100 X 75 MM, SERIE NORMAL PARA ESGOTO PREDIAL</v>
      </c>
      <c r="C214" s="5" t="str">
        <f>'MEDIÇÃO 08'!E224</f>
        <v>UN</v>
      </c>
      <c r="D214" s="5"/>
      <c r="E214" s="5"/>
    </row>
    <row r="215" spans="1:5" x14ac:dyDescent="0.25">
      <c r="A215" s="18" t="str">
        <f>'MEDIÇÃO 08'!A226</f>
        <v>14</v>
      </c>
      <c r="B215" s="155" t="str">
        <f>'MEDIÇÃO 08'!B226:P226</f>
        <v>PINTURA</v>
      </c>
      <c r="C215" s="155"/>
      <c r="D215" s="155"/>
      <c r="E215" s="155"/>
    </row>
    <row r="216" spans="1:5" ht="30" x14ac:dyDescent="0.25">
      <c r="A216" s="5" t="str">
        <f>'MEDIÇÃO 08'!A227</f>
        <v>14.1</v>
      </c>
      <c r="B216" s="17" t="str">
        <f>'MEDIÇÃO 08'!C227</f>
        <v>APLICAÇÃO DE FUNDO SELADOR ACRÍLICO EM TETO, UMA DEMÃO. AF_06/2014</v>
      </c>
      <c r="C216" s="5" t="str">
        <f>'MEDIÇÃO 08'!E227</f>
        <v>M2</v>
      </c>
      <c r="D216" s="5"/>
      <c r="E216" s="5"/>
    </row>
    <row r="217" spans="1:5" ht="30" x14ac:dyDescent="0.25">
      <c r="A217" s="5" t="str">
        <f>'MEDIÇÃO 08'!A228</f>
        <v>14.2</v>
      </c>
      <c r="B217" s="17" t="str">
        <f>'MEDIÇÃO 08'!C228</f>
        <v>APLICAÇÃO DE FUNDO SELADOR ACRÍLICO EM PAREDES, UMA DEMÃO. AF_06/2014</v>
      </c>
      <c r="C217" s="5" t="str">
        <f>'MEDIÇÃO 08'!E228</f>
        <v>M2</v>
      </c>
      <c r="D217" s="5"/>
      <c r="E217" s="5"/>
    </row>
    <row r="218" spans="1:5" ht="30" x14ac:dyDescent="0.25">
      <c r="A218" s="5" t="str">
        <f>'MEDIÇÃO 08'!A229</f>
        <v>14.3</v>
      </c>
      <c r="B218" s="17" t="str">
        <f>'MEDIÇÃO 08'!C229</f>
        <v>APLICAÇÃO E LIXAMENTO DE MASSA LÁTEX EM TETO, UMA DEMÃO. AF_06/2014</v>
      </c>
      <c r="C218" s="5" t="str">
        <f>'MEDIÇÃO 08'!E229</f>
        <v>M2</v>
      </c>
      <c r="D218" s="5"/>
      <c r="E218" s="5"/>
    </row>
    <row r="219" spans="1:5" ht="30" x14ac:dyDescent="0.25">
      <c r="A219" s="5" t="str">
        <f>'MEDIÇÃO 08'!A230</f>
        <v>14.4</v>
      </c>
      <c r="B219" s="17" t="str">
        <f>'MEDIÇÃO 08'!C230</f>
        <v>Emassamento de superfície, com aplicação de 02 demãos de massa acrílica, lixamento e retoques - Rev 01</v>
      </c>
      <c r="C219" s="5" t="str">
        <f>'MEDIÇÃO 08'!E230</f>
        <v>m2</v>
      </c>
      <c r="D219" s="5"/>
      <c r="E219" s="5"/>
    </row>
    <row r="220" spans="1:5" ht="30" x14ac:dyDescent="0.25">
      <c r="A220" s="5" t="str">
        <f>'MEDIÇÃO 08'!A231</f>
        <v>14.5</v>
      </c>
      <c r="B220" s="17" t="str">
        <f>'MEDIÇÃO 08'!C231</f>
        <v>APLICAÇÃO MANUAL DE PINTURA COM TINTA LÁTEX ACRÍLICA EM PAREDES, DUAS DEMÃOS. AF_06/2014</v>
      </c>
      <c r="C220" s="5" t="str">
        <f>'MEDIÇÃO 08'!E231</f>
        <v>M2</v>
      </c>
      <c r="D220" s="5"/>
      <c r="E220" s="5"/>
    </row>
    <row r="221" spans="1:5" ht="30" x14ac:dyDescent="0.25">
      <c r="A221" s="5" t="str">
        <f>'MEDIÇÃO 08'!A232</f>
        <v>14.6</v>
      </c>
      <c r="B221" s="17" t="str">
        <f>'MEDIÇÃO 08'!C232</f>
        <v>APLICAÇÃO MANUAL DE PINTURA COM TINTA LÁTEX ACRÍLICA EM TETO, DUAS DEMÃOS. AF_06/2014</v>
      </c>
      <c r="C221" s="5" t="str">
        <f>'MEDIÇÃO 08'!E232</f>
        <v>M2</v>
      </c>
      <c r="D221" s="5"/>
      <c r="E221" s="5"/>
    </row>
    <row r="222" spans="1:5" ht="30" x14ac:dyDescent="0.25">
      <c r="A222" s="5" t="str">
        <f>'MEDIÇÃO 08'!A233</f>
        <v>14.7</v>
      </c>
      <c r="B222" s="17" t="str">
        <f>'MEDIÇÃO 08'!C233</f>
        <v>PINTURA TINTA DE ACABAMENTO (PIGMENTADA) ESMALTE SINTÉTICO FOSCO EM MADEIRA, 2 DEMÃOS. AF_01/2021</v>
      </c>
      <c r="C222" s="5" t="str">
        <f>'MEDIÇÃO 08'!E233</f>
        <v>M2</v>
      </c>
      <c r="D222" s="5"/>
      <c r="E222" s="5"/>
    </row>
    <row r="223" spans="1:5" ht="45" x14ac:dyDescent="0.25">
      <c r="A223" s="5" t="str">
        <f>'MEDIÇÃO 08'!A234</f>
        <v>14.8</v>
      </c>
      <c r="B223" s="17" t="str">
        <f>'MEDIÇÃO 08'!C234</f>
        <v>PINTURA COM TINTA ALQUÍDICA DE FUNDO E ACABAMENTO (ESMALTE SINTÉTICO GRAFITE) APLICADA A ROLO OU PINCEL SOBRE PERFIL METÁLICO EXECUTADO EM FÁBRICA (POR DEMÃO). AF_01/2020</v>
      </c>
      <c r="C223" s="5" t="str">
        <f>'MEDIÇÃO 08'!E234</f>
        <v>M2</v>
      </c>
      <c r="D223" s="5"/>
      <c r="E223" s="5"/>
    </row>
    <row r="224" spans="1:5" ht="45" x14ac:dyDescent="0.25">
      <c r="A224" s="5" t="str">
        <f>'MEDIÇÃO 08'!A235</f>
        <v>14.9</v>
      </c>
      <c r="B224" s="17" t="str">
        <f>'MEDIÇÃO 08'!C235</f>
        <v>PINTURA COM TINTA ALQUÍDICA DE FUNDO (TIPO ZARCÃO) APLICADA A ROLO OU PINCEL SOBRE PERFIL METÁLICO EXECUTADO EM FÁBRICA (POR DEMÃO). AF_01/2020</v>
      </c>
      <c r="C224" s="5" t="str">
        <f>'MEDIÇÃO 08'!E235</f>
        <v>M2</v>
      </c>
      <c r="D224" s="5"/>
      <c r="E224" s="5"/>
    </row>
    <row r="225" spans="1:5" x14ac:dyDescent="0.25">
      <c r="A225" s="18" t="str">
        <f>'MEDIÇÃO 08'!A237</f>
        <v>15</v>
      </c>
      <c r="B225" s="155" t="str">
        <f>'MEDIÇÃO 08'!B237:P237</f>
        <v>SERVIÇOS COMPLEMENTARES</v>
      </c>
      <c r="C225" s="155"/>
      <c r="D225" s="155"/>
      <c r="E225" s="155"/>
    </row>
    <row r="226" spans="1:5" s="102" customFormat="1" x14ac:dyDescent="0.25">
      <c r="A226" s="17" t="str">
        <f>'MEDIÇÃO 08'!A238</f>
        <v>15.1</v>
      </c>
      <c r="B226" s="17" t="str">
        <f>'MEDIÇÃO 08'!C238</f>
        <v>Limpeza geral</v>
      </c>
      <c r="C226" s="17" t="str">
        <f>'MEDIÇÃO 08'!E238</f>
        <v>m2</v>
      </c>
      <c r="D226" s="17"/>
      <c r="E226" s="17"/>
    </row>
    <row r="227" spans="1:5" s="102" customFormat="1" x14ac:dyDescent="0.25">
      <c r="A227" s="17" t="str">
        <f>'MEDIÇÃO 08'!A239</f>
        <v>15.2</v>
      </c>
      <c r="B227" s="17" t="str">
        <f>'MEDIÇÃO 08'!C239</f>
        <v>Escada de ferro com guarda corpo</v>
      </c>
      <c r="C227" s="17" t="str">
        <f>'MEDIÇÃO 08'!E239</f>
        <v>m</v>
      </c>
      <c r="D227" s="17"/>
      <c r="E227" s="17"/>
    </row>
    <row r="228" spans="1:5" s="102" customFormat="1" ht="60" x14ac:dyDescent="0.25">
      <c r="A228" s="17" t="str">
        <f>'MEDIÇÃO 08'!A240</f>
        <v>15.3</v>
      </c>
      <c r="B228" s="17" t="str">
        <f>'MEDIÇÃO 08'!C240</f>
        <v>ALVENARIA DE VEDAÇÃO DE BLOCOS CERÂMICOS FURADOS NA HORIZONTAL DE 9X19X19CM (ESPESSURA 9CM) DE PAREDES COM ÁREA LÍQUIDA MAIOR OU IGUAL A 6M² SEM VÃOS E ARGAMASSA DE ASSENTAMENTO COM PREPARO EM BETONEIRA. AF_06/2014</v>
      </c>
      <c r="C228" s="17" t="str">
        <f>'MEDIÇÃO 08'!E240</f>
        <v>M2</v>
      </c>
      <c r="D228" s="96" t="s">
        <v>820</v>
      </c>
      <c r="E228" s="84">
        <f>((6.33*0.75*2) + (4.65*0.75*2))+10.065</f>
        <v>26.535000000000004</v>
      </c>
    </row>
    <row r="229" spans="1:5" s="102" customFormat="1" ht="30" x14ac:dyDescent="0.25">
      <c r="A229" s="17" t="str">
        <f>'MEDIÇÃO 08'!A241</f>
        <v>15.4</v>
      </c>
      <c r="B229" s="17" t="str">
        <f>'MEDIÇÃO 08'!C241</f>
        <v>ATERRO MANUAL DE VALAS COM SOLO ARGILO-ARENOSO E COMPACTAÇÃO MECANIZADA. AF_05/2016</v>
      </c>
      <c r="C229" s="17" t="str">
        <f>'MEDIÇÃO 08'!E241</f>
        <v>M3</v>
      </c>
      <c r="D229" s="96" t="s">
        <v>821</v>
      </c>
      <c r="E229" s="84">
        <f>8.4006+22.07588</f>
        <v>30.476480000000002</v>
      </c>
    </row>
    <row r="230" spans="1:5" s="102" customFormat="1" ht="45" x14ac:dyDescent="0.25">
      <c r="A230" s="17" t="str">
        <f>'MEDIÇÃO 08'!A242</f>
        <v>15.5</v>
      </c>
      <c r="B230" s="17" t="str">
        <f>'MEDIÇÃO 08'!C242</f>
        <v>EXECUÇÃO DE PASSEIO (CALÇADA) OU PISO DE CONCRETO COM CONCRETO MOLDADO IN LOCO, FEITO EM OBRA, ACABAMENTO CONVENCIONAL, ESPESSURA 6 CM, ARMADO. AF_07/2016</v>
      </c>
      <c r="C230" s="17" t="str">
        <f>'MEDIÇÃO 08'!E242</f>
        <v>M2</v>
      </c>
      <c r="D230" s="96" t="s">
        <v>822</v>
      </c>
      <c r="E230" s="84">
        <f>11.2008+29.4345</f>
        <v>40.635300000000001</v>
      </c>
    </row>
    <row r="231" spans="1:5" s="102" customFormat="1" ht="45" x14ac:dyDescent="0.25">
      <c r="A231" s="17" t="str">
        <f>'MEDIÇÃO 08'!A243</f>
        <v>15.6</v>
      </c>
      <c r="B231" s="17" t="str">
        <f>'MEDIÇÃO 08'!C243</f>
        <v>CONTRAPISO EM ARGAMASSA TRAÇO 1:4 (CIMENTO E AREIA), PREPARO MANUAL, APLICADO EM ÁREAS SECAS SOBRE LAJE, ADERIDO, ACABAMENTO NÃO REFORÇADO, ESPESSURA 3CM. AF_07/2021</v>
      </c>
      <c r="C231" s="17" t="str">
        <f>'MEDIÇÃO 08'!E243</f>
        <v>M2</v>
      </c>
      <c r="D231" s="96" t="s">
        <v>823</v>
      </c>
      <c r="E231" s="84">
        <f>11.2008+29.4345</f>
        <v>40.635300000000001</v>
      </c>
    </row>
    <row r="232" spans="1:5" s="102" customFormat="1" ht="45" x14ac:dyDescent="0.25">
      <c r="A232" s="17" t="str">
        <f>'MEDIÇÃO 08'!A244</f>
        <v>15.7</v>
      </c>
      <c r="B232" s="17" t="str">
        <f>'MEDIÇÃO 08'!C244</f>
        <v>CHAPISCO APLICADO EM ALVENARIAS E ESTRUTURAS DE CONCRETO INTERNAS, COM COLHER DE PEDREIRO.  ARGAMASSA TRAÇO 1:3 COM PREPARO EM BETONEIRA 400L. AF_06/2014</v>
      </c>
      <c r="C232" s="17" t="str">
        <f>'MEDIÇÃO 08'!E244</f>
        <v>M2</v>
      </c>
      <c r="D232" s="96" t="s">
        <v>824</v>
      </c>
      <c r="E232" s="98">
        <f>2.34+16.65</f>
        <v>18.989999999999998</v>
      </c>
    </row>
    <row r="233" spans="1:5" s="102" customFormat="1" ht="60" x14ac:dyDescent="0.25">
      <c r="A233" s="17" t="str">
        <f>'MEDIÇÃO 08'!A245</f>
        <v>15.8</v>
      </c>
      <c r="B233" s="17" t="str">
        <f>'MEDIÇÃO 08'!C245</f>
        <v>MASSA ÚNICA, PARA RECEBIMENTO DE PINTURA, EM ARGAMASSA TRAÇO 1:2:8, PREPARO MECÂNICO COM BETONEIRA 400L, APLICADA MANUALMENTE EM FACES INTERNAS DE PAREDES, ESPESSURA DE 10MM, COM EXECUÇÃO DE TALISCAS. AF_06/2014</v>
      </c>
      <c r="C233" s="17" t="str">
        <f>'MEDIÇÃO 08'!E245</f>
        <v>M2</v>
      </c>
      <c r="D233" s="96" t="s">
        <v>824</v>
      </c>
      <c r="E233" s="98">
        <f>2.34+16.65</f>
        <v>18.989999999999998</v>
      </c>
    </row>
    <row r="234" spans="1:5" s="102" customFormat="1" ht="30" x14ac:dyDescent="0.25">
      <c r="A234" s="17" t="str">
        <f>'MEDIÇÃO 08'!A246</f>
        <v>15.9</v>
      </c>
      <c r="B234" s="17" t="str">
        <f>'MEDIÇÃO 08'!C246</f>
        <v>Emassamento de superfície, com aplicação de 02 demãos de massa acrílica, lixamento e retoques - Rev 01</v>
      </c>
      <c r="C234" s="17" t="str">
        <f>'MEDIÇÃO 08'!E246</f>
        <v>m2</v>
      </c>
      <c r="D234" s="96"/>
      <c r="E234" s="98"/>
    </row>
    <row r="235" spans="1:5" s="102" customFormat="1" ht="30" x14ac:dyDescent="0.25">
      <c r="A235" s="17" t="str">
        <f>'MEDIÇÃO 08'!A247</f>
        <v>15.10</v>
      </c>
      <c r="B235" s="17" t="str">
        <f>'MEDIÇÃO 08'!C247</f>
        <v>APLICAÇÃO DE FUNDO SELADOR ACRÍLICO EM PAREDES, UMA DEMÃO. AF_06/2014</v>
      </c>
      <c r="C235" s="17" t="str">
        <f>'MEDIÇÃO 08'!E247</f>
        <v>M2</v>
      </c>
      <c r="D235" s="96"/>
      <c r="E235" s="98"/>
    </row>
    <row r="236" spans="1:5" s="102" customFormat="1" ht="30" x14ac:dyDescent="0.25">
      <c r="A236" s="17" t="str">
        <f>'MEDIÇÃO 08'!A248</f>
        <v>15.11</v>
      </c>
      <c r="B236" s="17" t="str">
        <f>'MEDIÇÃO 08'!C248</f>
        <v>APLICAÇÃO MANUAL DE PINTURA COM TINTA LÁTEX ACRÍLICA EM PAREDES, DUAS DEMÃOS. AF_06/2014</v>
      </c>
      <c r="C236" s="17" t="str">
        <f>'MEDIÇÃO 08'!E248</f>
        <v>M2</v>
      </c>
      <c r="D236" s="96"/>
      <c r="E236" s="98"/>
    </row>
    <row r="237" spans="1:5" ht="45" x14ac:dyDescent="0.25">
      <c r="A237" s="29" t="s">
        <v>618</v>
      </c>
      <c r="B237" s="28">
        <f>B241+B242</f>
        <v>1.2036532184674478</v>
      </c>
    </row>
    <row r="238" spans="1:5" x14ac:dyDescent="0.25">
      <c r="A238" s="28" t="s">
        <v>619</v>
      </c>
      <c r="B238" s="28">
        <v>0.35</v>
      </c>
    </row>
    <row r="239" spans="1:5" x14ac:dyDescent="0.25">
      <c r="A239" s="28" t="s">
        <v>620</v>
      </c>
      <c r="B239" s="28">
        <f>1.95*1.85</f>
        <v>3.6074999999999999</v>
      </c>
    </row>
    <row r="240" spans="1:5" x14ac:dyDescent="0.25">
      <c r="A240" s="28" t="s">
        <v>621</v>
      </c>
      <c r="B240" s="28">
        <f>0.2*0.3</f>
        <v>0.06</v>
      </c>
    </row>
    <row r="241" spans="1:2" ht="30" x14ac:dyDescent="0.25">
      <c r="A241" s="29" t="s">
        <v>622</v>
      </c>
      <c r="B241" s="28">
        <f>((B238/3)*((B239+B240)+(SQRT(B239*B240))))</f>
        <v>0.48215321846744785</v>
      </c>
    </row>
    <row r="242" spans="1:2" ht="30" x14ac:dyDescent="0.25">
      <c r="A242" s="29" t="s">
        <v>623</v>
      </c>
      <c r="B242" s="28">
        <f>1.95*1.85*0.2</f>
        <v>0.72150000000000003</v>
      </c>
    </row>
  </sheetData>
  <mergeCells count="24">
    <mergeCell ref="B56:E56"/>
    <mergeCell ref="A7:E7"/>
    <mergeCell ref="A6:E6"/>
    <mergeCell ref="A9:E9"/>
    <mergeCell ref="B10:E10"/>
    <mergeCell ref="B15:E15"/>
    <mergeCell ref="B22:E22"/>
    <mergeCell ref="B32:E32"/>
    <mergeCell ref="B37:E37"/>
    <mergeCell ref="B49:E49"/>
    <mergeCell ref="B154:E154"/>
    <mergeCell ref="B215:E215"/>
    <mergeCell ref="B225:E225"/>
    <mergeCell ref="B67:E67"/>
    <mergeCell ref="B76:E76"/>
    <mergeCell ref="B82:E82"/>
    <mergeCell ref="B97:E97"/>
    <mergeCell ref="B100:E100"/>
    <mergeCell ref="B106:E106"/>
    <mergeCell ref="C1:E3"/>
    <mergeCell ref="C4:E5"/>
    <mergeCell ref="A1:B5"/>
    <mergeCell ref="N1:P2"/>
    <mergeCell ref="N4:P4"/>
  </mergeCells>
  <pageMargins left="0.511811024" right="0.511811024" top="0.78740157499999996" bottom="0.78740157499999996" header="0.31496062000000002" footer="0.31496062000000002"/>
  <pageSetup paperSize="9" scale="54" fitToHeight="0" orientation="landscape" horizontalDpi="360" verticalDpi="360" r:id="rId1"/>
  <rowBreaks count="13" manualBreakCount="13">
    <brk id="29" max="4" man="1"/>
    <brk id="45" max="4" man="1"/>
    <brk id="63" max="4" man="1"/>
    <brk id="68" max="4" man="1"/>
    <brk id="70" max="4" man="1"/>
    <brk id="81" max="4" man="1"/>
    <brk id="98" max="4" man="1"/>
    <brk id="116" max="4" man="1"/>
    <brk id="134" max="4" man="1"/>
    <brk id="155" max="4" man="1"/>
    <brk id="175" max="4" man="1"/>
    <brk id="196" max="4" man="1"/>
    <brk id="213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7"/>
  <sheetViews>
    <sheetView view="pageBreakPreview" topLeftCell="C1" zoomScale="60" zoomScaleNormal="48" workbookViewId="0">
      <selection activeCell="J5" sqref="J5:AH7"/>
    </sheetView>
  </sheetViews>
  <sheetFormatPr defaultRowHeight="15" x14ac:dyDescent="0.25"/>
  <sheetData>
    <row r="1" spans="1:34" x14ac:dyDescent="0.25">
      <c r="A1" s="167" t="s">
        <v>611</v>
      </c>
      <c r="B1" s="168"/>
      <c r="C1" s="168"/>
      <c r="D1" s="168"/>
      <c r="E1" s="168"/>
      <c r="F1" s="168"/>
      <c r="G1" s="168"/>
      <c r="H1" s="168"/>
      <c r="I1" s="169"/>
      <c r="J1" s="173" t="s">
        <v>830</v>
      </c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5"/>
    </row>
    <row r="2" spans="1:34" x14ac:dyDescent="0.25">
      <c r="A2" s="167"/>
      <c r="B2" s="168"/>
      <c r="C2" s="168"/>
      <c r="D2" s="168"/>
      <c r="E2" s="168"/>
      <c r="F2" s="168"/>
      <c r="G2" s="168"/>
      <c r="H2" s="168"/>
      <c r="I2" s="169"/>
      <c r="J2" s="173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5"/>
    </row>
    <row r="3" spans="1:34" x14ac:dyDescent="0.25">
      <c r="A3" s="167"/>
      <c r="B3" s="168"/>
      <c r="C3" s="168"/>
      <c r="D3" s="168"/>
      <c r="E3" s="168"/>
      <c r="F3" s="168"/>
      <c r="G3" s="168"/>
      <c r="H3" s="168"/>
      <c r="I3" s="169"/>
      <c r="J3" s="173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5"/>
    </row>
    <row r="4" spans="1:34" x14ac:dyDescent="0.25">
      <c r="A4" s="167"/>
      <c r="B4" s="168"/>
      <c r="C4" s="168"/>
      <c r="D4" s="168"/>
      <c r="E4" s="168"/>
      <c r="F4" s="168"/>
      <c r="G4" s="168"/>
      <c r="H4" s="168"/>
      <c r="I4" s="169"/>
      <c r="J4" s="173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5"/>
    </row>
    <row r="5" spans="1:34" x14ac:dyDescent="0.25">
      <c r="A5" s="167"/>
      <c r="B5" s="168"/>
      <c r="C5" s="168"/>
      <c r="D5" s="168"/>
      <c r="E5" s="168"/>
      <c r="F5" s="168"/>
      <c r="G5" s="168"/>
      <c r="H5" s="168"/>
      <c r="I5" s="169"/>
      <c r="J5" s="176" t="s">
        <v>613</v>
      </c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</row>
    <row r="6" spans="1:34" x14ac:dyDescent="0.25">
      <c r="A6" s="167"/>
      <c r="B6" s="168"/>
      <c r="C6" s="168"/>
      <c r="D6" s="168"/>
      <c r="E6" s="168"/>
      <c r="F6" s="168"/>
      <c r="G6" s="168"/>
      <c r="H6" s="168"/>
      <c r="I6" s="169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</row>
    <row r="7" spans="1:34" x14ac:dyDescent="0.25">
      <c r="A7" s="170"/>
      <c r="B7" s="171"/>
      <c r="C7" s="171"/>
      <c r="D7" s="171"/>
      <c r="E7" s="171"/>
      <c r="F7" s="171"/>
      <c r="G7" s="171"/>
      <c r="H7" s="171"/>
      <c r="I7" s="172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</row>
  </sheetData>
  <mergeCells count="3">
    <mergeCell ref="A1:I7"/>
    <mergeCell ref="J1:AH4"/>
    <mergeCell ref="J5:AH7"/>
  </mergeCells>
  <pageMargins left="0.511811024" right="0.511811024" top="0.78740157499999996" bottom="0.78740157499999996" header="0.31496062000000002" footer="0.31496062000000002"/>
  <pageSetup paperSize="9" scale="4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42"/>
  <sheetViews>
    <sheetView view="pageBreakPreview" zoomScale="60" zoomScaleNormal="50" workbookViewId="0">
      <selection activeCell="J1" sqref="J1:AH4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167" t="s">
        <v>611</v>
      </c>
      <c r="B1" s="168"/>
      <c r="C1" s="168"/>
      <c r="D1" s="168"/>
      <c r="E1" s="168"/>
      <c r="F1" s="168"/>
      <c r="G1" s="168"/>
      <c r="H1" s="168"/>
      <c r="I1" s="169"/>
      <c r="J1" s="173" t="s">
        <v>831</v>
      </c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5"/>
    </row>
    <row r="2" spans="1:34" ht="15" customHeight="1" x14ac:dyDescent="0.25">
      <c r="A2" s="167"/>
      <c r="B2" s="168"/>
      <c r="C2" s="168"/>
      <c r="D2" s="168"/>
      <c r="E2" s="168"/>
      <c r="F2" s="168"/>
      <c r="G2" s="168"/>
      <c r="H2" s="168"/>
      <c r="I2" s="169"/>
      <c r="J2" s="173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5"/>
    </row>
    <row r="3" spans="1:34" ht="15.75" customHeight="1" x14ac:dyDescent="0.25">
      <c r="A3" s="167"/>
      <c r="B3" s="168"/>
      <c r="C3" s="168"/>
      <c r="D3" s="168"/>
      <c r="E3" s="168"/>
      <c r="F3" s="168"/>
      <c r="G3" s="168"/>
      <c r="H3" s="168"/>
      <c r="I3" s="169"/>
      <c r="J3" s="173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5"/>
    </row>
    <row r="4" spans="1:34" ht="15" customHeight="1" x14ac:dyDescent="0.25">
      <c r="A4" s="167"/>
      <c r="B4" s="168"/>
      <c r="C4" s="168"/>
      <c r="D4" s="168"/>
      <c r="E4" s="168"/>
      <c r="F4" s="168"/>
      <c r="G4" s="168"/>
      <c r="H4" s="168"/>
      <c r="I4" s="169"/>
      <c r="J4" s="173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5"/>
    </row>
    <row r="5" spans="1:34" ht="15" customHeight="1" x14ac:dyDescent="0.25">
      <c r="A5" s="167"/>
      <c r="B5" s="168"/>
      <c r="C5" s="168"/>
      <c r="D5" s="168"/>
      <c r="E5" s="168"/>
      <c r="F5" s="168"/>
      <c r="G5" s="168"/>
      <c r="H5" s="168"/>
      <c r="I5" s="169"/>
      <c r="J5" s="177" t="s">
        <v>613</v>
      </c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9"/>
    </row>
    <row r="6" spans="1:34" x14ac:dyDescent="0.25">
      <c r="A6" s="167"/>
      <c r="B6" s="168"/>
      <c r="C6" s="168"/>
      <c r="D6" s="168"/>
      <c r="E6" s="168"/>
      <c r="F6" s="168"/>
      <c r="G6" s="168"/>
      <c r="H6" s="168"/>
      <c r="I6" s="169"/>
      <c r="J6" s="177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9"/>
    </row>
    <row r="7" spans="1:34" ht="15" customHeight="1" x14ac:dyDescent="0.25">
      <c r="A7" s="170"/>
      <c r="B7" s="171"/>
      <c r="C7" s="171"/>
      <c r="D7" s="171"/>
      <c r="E7" s="171"/>
      <c r="F7" s="171"/>
      <c r="G7" s="171"/>
      <c r="H7" s="171"/>
      <c r="I7" s="172"/>
      <c r="J7" s="177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9"/>
    </row>
    <row r="8" spans="1:34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4" x14ac:dyDescent="0.25">
      <c r="A9" s="204" t="s">
        <v>0</v>
      </c>
      <c r="B9" s="205"/>
      <c r="C9" s="205"/>
      <c r="D9" s="206" t="s">
        <v>2</v>
      </c>
      <c r="E9" s="206"/>
      <c r="F9" s="206"/>
      <c r="G9" s="206"/>
      <c r="H9" s="206"/>
      <c r="I9" s="206"/>
      <c r="J9" s="205" t="s">
        <v>625</v>
      </c>
      <c r="K9" s="197" t="s">
        <v>626</v>
      </c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 t="s">
        <v>627</v>
      </c>
      <c r="X9" s="197"/>
      <c r="Y9" s="197"/>
      <c r="Z9" s="197"/>
      <c r="AA9" s="197"/>
      <c r="AB9" s="197"/>
      <c r="AC9" s="197"/>
      <c r="AD9" s="197"/>
      <c r="AE9" s="197"/>
      <c r="AF9" s="205" t="s">
        <v>628</v>
      </c>
      <c r="AG9" s="205"/>
      <c r="AH9" s="207"/>
    </row>
    <row r="10" spans="1:34" x14ac:dyDescent="0.25">
      <c r="A10" s="204"/>
      <c r="B10" s="205"/>
      <c r="C10" s="205"/>
      <c r="D10" s="206"/>
      <c r="E10" s="206"/>
      <c r="F10" s="206"/>
      <c r="G10" s="206"/>
      <c r="H10" s="206"/>
      <c r="I10" s="206"/>
      <c r="J10" s="205"/>
      <c r="K10" s="197" t="s">
        <v>629</v>
      </c>
      <c r="L10" s="197"/>
      <c r="M10" s="197" t="s">
        <v>630</v>
      </c>
      <c r="N10" s="197"/>
      <c r="O10" s="197" t="s">
        <v>631</v>
      </c>
      <c r="P10" s="197"/>
      <c r="Q10" s="197" t="s">
        <v>632</v>
      </c>
      <c r="R10" s="197"/>
      <c r="S10" s="197" t="s">
        <v>633</v>
      </c>
      <c r="T10" s="197"/>
      <c r="U10" s="197" t="s">
        <v>634</v>
      </c>
      <c r="V10" s="197"/>
      <c r="W10" s="197" t="s">
        <v>635</v>
      </c>
      <c r="X10" s="197"/>
      <c r="Y10" s="197"/>
      <c r="Z10" s="197" t="s">
        <v>617</v>
      </c>
      <c r="AA10" s="197"/>
      <c r="AB10" s="197"/>
      <c r="AC10" s="197" t="s">
        <v>636</v>
      </c>
      <c r="AD10" s="197"/>
      <c r="AE10" s="197"/>
      <c r="AF10" s="205"/>
      <c r="AG10" s="205"/>
      <c r="AH10" s="207"/>
    </row>
    <row r="11" spans="1:34" x14ac:dyDescent="0.25">
      <c r="A11" s="204"/>
      <c r="B11" s="205"/>
      <c r="C11" s="205"/>
      <c r="D11" s="206"/>
      <c r="E11" s="206"/>
      <c r="F11" s="206"/>
      <c r="G11" s="206"/>
      <c r="H11" s="206"/>
      <c r="I11" s="206"/>
      <c r="J11" s="205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205"/>
      <c r="AG11" s="205"/>
      <c r="AH11" s="207"/>
    </row>
    <row r="12" spans="1:34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4" ht="15.75" x14ac:dyDescent="0.25">
      <c r="A13" s="198" t="s">
        <v>637</v>
      </c>
      <c r="B13" s="199"/>
      <c r="C13" s="200"/>
      <c r="D13" s="201" t="s">
        <v>27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3"/>
    </row>
    <row r="14" spans="1:34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4" ht="15.75" x14ac:dyDescent="0.25">
      <c r="A15" s="189" t="s">
        <v>638</v>
      </c>
      <c r="B15" s="190"/>
      <c r="C15" s="191"/>
      <c r="D15" s="192" t="s">
        <v>639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SUM(Z16:AB40)</f>
        <v>1090.4227250000001</v>
      </c>
      <c r="AD15" s="190"/>
      <c r="AE15" s="191"/>
      <c r="AF15" s="195" t="s">
        <v>44</v>
      </c>
      <c r="AG15" s="190"/>
      <c r="AH15" s="196"/>
    </row>
    <row r="16" spans="1:34" ht="15.75" x14ac:dyDescent="0.25">
      <c r="A16" s="185"/>
      <c r="B16" s="186"/>
      <c r="C16" s="184"/>
      <c r="D16" s="187" t="s">
        <v>640</v>
      </c>
      <c r="E16" s="188"/>
      <c r="F16" s="188"/>
      <c r="G16" s="188"/>
      <c r="H16" s="188"/>
      <c r="I16" s="188"/>
      <c r="J16" s="66"/>
      <c r="K16" s="183">
        <v>16.52</v>
      </c>
      <c r="L16" s="184"/>
      <c r="M16" s="183"/>
      <c r="N16" s="184"/>
      <c r="O16" s="183">
        <v>12.16</v>
      </c>
      <c r="P16" s="184"/>
      <c r="Q16" s="183"/>
      <c r="R16" s="184"/>
      <c r="S16" s="183">
        <v>1.2</v>
      </c>
      <c r="T16" s="184"/>
      <c r="U16" s="183">
        <v>1.2</v>
      </c>
      <c r="V16" s="184"/>
      <c r="W16" s="180">
        <f t="shared" ref="W16:W25" si="0">ROUND(K16*O16,2)</f>
        <v>200.88</v>
      </c>
      <c r="X16" s="181"/>
      <c r="Y16" s="182"/>
      <c r="Z16" s="180">
        <f t="shared" ref="Z16:Z40" si="1">W16*((S16+U16)/2)</f>
        <v>241.05599999999998</v>
      </c>
      <c r="AA16" s="181"/>
      <c r="AB16" s="182"/>
      <c r="AC16" s="54"/>
      <c r="AD16" s="55"/>
      <c r="AE16" s="56"/>
      <c r="AF16" s="54"/>
      <c r="AG16" s="55"/>
      <c r="AH16" s="57"/>
    </row>
    <row r="17" spans="1:34" ht="15.75" x14ac:dyDescent="0.25">
      <c r="A17" s="58"/>
      <c r="B17" s="59"/>
      <c r="C17" s="60"/>
      <c r="D17" s="187" t="s">
        <v>641</v>
      </c>
      <c r="E17" s="188"/>
      <c r="F17" s="188"/>
      <c r="G17" s="188"/>
      <c r="H17" s="188"/>
      <c r="I17" s="188"/>
      <c r="J17" s="66"/>
      <c r="K17" s="183">
        <v>8</v>
      </c>
      <c r="L17" s="184"/>
      <c r="M17" s="183"/>
      <c r="N17" s="184"/>
      <c r="O17" s="183">
        <v>5.6</v>
      </c>
      <c r="P17" s="184"/>
      <c r="Q17" s="183"/>
      <c r="R17" s="184"/>
      <c r="S17" s="183">
        <v>1.2</v>
      </c>
      <c r="T17" s="184"/>
      <c r="U17" s="183">
        <v>1.2</v>
      </c>
      <c r="V17" s="184"/>
      <c r="W17" s="180">
        <f t="shared" si="0"/>
        <v>44.8</v>
      </c>
      <c r="X17" s="181"/>
      <c r="Y17" s="182"/>
      <c r="Z17" s="180">
        <f t="shared" si="1"/>
        <v>53.76</v>
      </c>
      <c r="AA17" s="181"/>
      <c r="AB17" s="182"/>
      <c r="AC17" s="54"/>
      <c r="AD17" s="55"/>
      <c r="AE17" s="56"/>
      <c r="AF17" s="54"/>
      <c r="AG17" s="55"/>
      <c r="AH17" s="57"/>
    </row>
    <row r="18" spans="1:34" ht="15.75" x14ac:dyDescent="0.25">
      <c r="A18" s="58"/>
      <c r="B18" s="59"/>
      <c r="C18" s="60"/>
      <c r="D18" s="187" t="s">
        <v>642</v>
      </c>
      <c r="E18" s="188"/>
      <c r="F18" s="188"/>
      <c r="G18" s="188"/>
      <c r="H18" s="188"/>
      <c r="I18" s="188"/>
      <c r="J18" s="67"/>
      <c r="K18" s="183">
        <v>8</v>
      </c>
      <c r="L18" s="184"/>
      <c r="M18" s="183"/>
      <c r="N18" s="184"/>
      <c r="O18" s="183">
        <v>5.6</v>
      </c>
      <c r="P18" s="184"/>
      <c r="Q18" s="183"/>
      <c r="R18" s="184"/>
      <c r="S18" s="183">
        <v>1.2</v>
      </c>
      <c r="T18" s="184"/>
      <c r="U18" s="183">
        <v>1.2</v>
      </c>
      <c r="V18" s="184"/>
      <c r="W18" s="180">
        <f t="shared" si="0"/>
        <v>44.8</v>
      </c>
      <c r="X18" s="181"/>
      <c r="Y18" s="182"/>
      <c r="Z18" s="180">
        <f t="shared" si="1"/>
        <v>53.76</v>
      </c>
      <c r="AA18" s="181"/>
      <c r="AB18" s="182"/>
      <c r="AC18" s="54"/>
      <c r="AD18" s="55"/>
      <c r="AE18" s="56"/>
      <c r="AF18" s="54"/>
      <c r="AG18" s="55"/>
      <c r="AH18" s="57"/>
    </row>
    <row r="19" spans="1:34" ht="15.75" x14ac:dyDescent="0.25">
      <c r="A19" s="58"/>
      <c r="B19" s="59"/>
      <c r="C19" s="60"/>
      <c r="D19" s="187" t="s">
        <v>643</v>
      </c>
      <c r="E19" s="188"/>
      <c r="F19" s="188"/>
      <c r="G19" s="188"/>
      <c r="H19" s="188"/>
      <c r="I19" s="188"/>
      <c r="J19" s="67"/>
      <c r="K19" s="183">
        <v>8</v>
      </c>
      <c r="L19" s="184"/>
      <c r="M19" s="183"/>
      <c r="N19" s="184"/>
      <c r="O19" s="183">
        <v>5.6</v>
      </c>
      <c r="P19" s="184"/>
      <c r="Q19" s="183"/>
      <c r="R19" s="184"/>
      <c r="S19" s="183">
        <v>1.2</v>
      </c>
      <c r="T19" s="184"/>
      <c r="U19" s="183">
        <v>1.2</v>
      </c>
      <c r="V19" s="184"/>
      <c r="W19" s="180">
        <f t="shared" si="0"/>
        <v>44.8</v>
      </c>
      <c r="X19" s="181"/>
      <c r="Y19" s="182"/>
      <c r="Z19" s="180">
        <f t="shared" si="1"/>
        <v>53.76</v>
      </c>
      <c r="AA19" s="181"/>
      <c r="AB19" s="182"/>
      <c r="AC19" s="54"/>
      <c r="AD19" s="55"/>
      <c r="AE19" s="56"/>
      <c r="AF19" s="54"/>
      <c r="AG19" s="55"/>
      <c r="AH19" s="57"/>
    </row>
    <row r="20" spans="1:34" ht="15.75" x14ac:dyDescent="0.25">
      <c r="A20" s="58"/>
      <c r="B20" s="59"/>
      <c r="C20" s="60"/>
      <c r="D20" s="187" t="s">
        <v>644</v>
      </c>
      <c r="E20" s="188"/>
      <c r="F20" s="188"/>
      <c r="G20" s="188"/>
      <c r="H20" s="188"/>
      <c r="I20" s="188"/>
      <c r="J20" s="66"/>
      <c r="K20" s="183">
        <v>8</v>
      </c>
      <c r="L20" s="184"/>
      <c r="M20" s="183"/>
      <c r="N20" s="184"/>
      <c r="O20" s="183">
        <v>5.6</v>
      </c>
      <c r="P20" s="184"/>
      <c r="Q20" s="183"/>
      <c r="R20" s="184"/>
      <c r="S20" s="183">
        <v>1.2</v>
      </c>
      <c r="T20" s="184"/>
      <c r="U20" s="183">
        <v>1.2</v>
      </c>
      <c r="V20" s="184"/>
      <c r="W20" s="180">
        <f t="shared" si="0"/>
        <v>44.8</v>
      </c>
      <c r="X20" s="181"/>
      <c r="Y20" s="182"/>
      <c r="Z20" s="180">
        <f t="shared" si="1"/>
        <v>53.76</v>
      </c>
      <c r="AA20" s="181"/>
      <c r="AB20" s="182"/>
      <c r="AC20" s="54"/>
      <c r="AD20" s="55"/>
      <c r="AE20" s="56"/>
      <c r="AF20" s="54"/>
      <c r="AG20" s="55"/>
      <c r="AH20" s="57"/>
    </row>
    <row r="21" spans="1:34" ht="15.75" x14ac:dyDescent="0.25">
      <c r="A21" s="58"/>
      <c r="B21" s="59"/>
      <c r="C21" s="60"/>
      <c r="D21" s="187" t="s">
        <v>645</v>
      </c>
      <c r="E21" s="188"/>
      <c r="F21" s="188"/>
      <c r="G21" s="188"/>
      <c r="H21" s="188"/>
      <c r="I21" s="188"/>
      <c r="J21" s="66"/>
      <c r="K21" s="183">
        <v>8</v>
      </c>
      <c r="L21" s="184"/>
      <c r="M21" s="183"/>
      <c r="N21" s="184"/>
      <c r="O21" s="183">
        <v>5.6</v>
      </c>
      <c r="P21" s="184"/>
      <c r="Q21" s="183"/>
      <c r="R21" s="184"/>
      <c r="S21" s="183">
        <v>1.2</v>
      </c>
      <c r="T21" s="184"/>
      <c r="U21" s="183">
        <v>1.2</v>
      </c>
      <c r="V21" s="184"/>
      <c r="W21" s="180">
        <f t="shared" si="0"/>
        <v>44.8</v>
      </c>
      <c r="X21" s="181"/>
      <c r="Y21" s="182"/>
      <c r="Z21" s="180">
        <f t="shared" si="1"/>
        <v>53.76</v>
      </c>
      <c r="AA21" s="181"/>
      <c r="AB21" s="182"/>
      <c r="AC21" s="54"/>
      <c r="AD21" s="55"/>
      <c r="AE21" s="56"/>
      <c r="AF21" s="54"/>
      <c r="AG21" s="55"/>
      <c r="AH21" s="57"/>
    </row>
    <row r="22" spans="1:34" ht="15.75" x14ac:dyDescent="0.25">
      <c r="A22" s="58"/>
      <c r="B22" s="59"/>
      <c r="C22" s="60"/>
      <c r="D22" s="187" t="s">
        <v>646</v>
      </c>
      <c r="E22" s="188"/>
      <c r="F22" s="188"/>
      <c r="G22" s="188"/>
      <c r="H22" s="188"/>
      <c r="I22" s="188"/>
      <c r="J22" s="66"/>
      <c r="K22" s="183">
        <v>8</v>
      </c>
      <c r="L22" s="184"/>
      <c r="M22" s="183"/>
      <c r="N22" s="184"/>
      <c r="O22" s="183">
        <v>5.6</v>
      </c>
      <c r="P22" s="184"/>
      <c r="Q22" s="183"/>
      <c r="R22" s="184"/>
      <c r="S22" s="183">
        <v>1.2</v>
      </c>
      <c r="T22" s="184"/>
      <c r="U22" s="183">
        <v>1.2</v>
      </c>
      <c r="V22" s="184"/>
      <c r="W22" s="180">
        <f t="shared" si="0"/>
        <v>44.8</v>
      </c>
      <c r="X22" s="181"/>
      <c r="Y22" s="182"/>
      <c r="Z22" s="180">
        <f t="shared" si="1"/>
        <v>53.76</v>
      </c>
      <c r="AA22" s="181"/>
      <c r="AB22" s="182"/>
      <c r="AC22" s="54"/>
      <c r="AD22" s="55"/>
      <c r="AE22" s="56"/>
      <c r="AF22" s="54"/>
      <c r="AG22" s="55"/>
      <c r="AH22" s="57"/>
    </row>
    <row r="23" spans="1:34" ht="15.75" x14ac:dyDescent="0.25">
      <c r="A23" s="58"/>
      <c r="B23" s="59"/>
      <c r="C23" s="60"/>
      <c r="D23" s="187" t="s">
        <v>647</v>
      </c>
      <c r="E23" s="188"/>
      <c r="F23" s="188"/>
      <c r="G23" s="188"/>
      <c r="H23" s="188"/>
      <c r="I23" s="188"/>
      <c r="J23" s="66"/>
      <c r="K23" s="183">
        <v>3</v>
      </c>
      <c r="L23" s="184"/>
      <c r="M23" s="183"/>
      <c r="N23" s="184"/>
      <c r="O23" s="183">
        <v>4</v>
      </c>
      <c r="P23" s="184"/>
      <c r="Q23" s="183"/>
      <c r="R23" s="184"/>
      <c r="S23" s="183">
        <v>1</v>
      </c>
      <c r="T23" s="184"/>
      <c r="U23" s="183">
        <v>1</v>
      </c>
      <c r="V23" s="184"/>
      <c r="W23" s="180">
        <f t="shared" si="0"/>
        <v>12</v>
      </c>
      <c r="X23" s="181"/>
      <c r="Y23" s="182"/>
      <c r="Z23" s="180">
        <f t="shared" si="1"/>
        <v>12</v>
      </c>
      <c r="AA23" s="181"/>
      <c r="AB23" s="182"/>
      <c r="AC23" s="54"/>
      <c r="AD23" s="55"/>
      <c r="AE23" s="56"/>
      <c r="AF23" s="54"/>
      <c r="AG23" s="55"/>
      <c r="AH23" s="57"/>
    </row>
    <row r="24" spans="1:34" ht="15.75" x14ac:dyDescent="0.25">
      <c r="A24" s="185"/>
      <c r="B24" s="186"/>
      <c r="C24" s="184"/>
      <c r="D24" s="187" t="s">
        <v>648</v>
      </c>
      <c r="E24" s="188"/>
      <c r="F24" s="188"/>
      <c r="G24" s="188"/>
      <c r="H24" s="188"/>
      <c r="I24" s="188"/>
      <c r="J24" s="66"/>
      <c r="K24" s="183">
        <v>4.8499999999999996</v>
      </c>
      <c r="L24" s="184"/>
      <c r="M24" s="183"/>
      <c r="N24" s="184"/>
      <c r="O24" s="183">
        <v>4</v>
      </c>
      <c r="P24" s="184"/>
      <c r="Q24" s="183"/>
      <c r="R24" s="184"/>
      <c r="S24" s="183">
        <v>1</v>
      </c>
      <c r="T24" s="184"/>
      <c r="U24" s="183">
        <v>1</v>
      </c>
      <c r="V24" s="184"/>
      <c r="W24" s="180">
        <f t="shared" si="0"/>
        <v>19.399999999999999</v>
      </c>
      <c r="X24" s="181"/>
      <c r="Y24" s="182"/>
      <c r="Z24" s="180">
        <f t="shared" si="1"/>
        <v>19.399999999999999</v>
      </c>
      <c r="AA24" s="181"/>
      <c r="AB24" s="182"/>
      <c r="AC24" s="54"/>
      <c r="AD24" s="55"/>
      <c r="AE24" s="56"/>
      <c r="AF24" s="54"/>
      <c r="AG24" s="55"/>
      <c r="AH24" s="57"/>
    </row>
    <row r="25" spans="1:34" ht="15.75" x14ac:dyDescent="0.25">
      <c r="A25" s="185"/>
      <c r="B25" s="186"/>
      <c r="C25" s="184"/>
      <c r="D25" s="187" t="s">
        <v>649</v>
      </c>
      <c r="E25" s="188"/>
      <c r="F25" s="188"/>
      <c r="G25" s="188"/>
      <c r="H25" s="188"/>
      <c r="I25" s="188"/>
      <c r="J25" s="66"/>
      <c r="K25" s="183">
        <v>1.41</v>
      </c>
      <c r="L25" s="184"/>
      <c r="M25" s="183"/>
      <c r="N25" s="184"/>
      <c r="O25" s="183">
        <v>1.7</v>
      </c>
      <c r="P25" s="184"/>
      <c r="Q25" s="183"/>
      <c r="R25" s="184"/>
      <c r="S25" s="183">
        <v>1</v>
      </c>
      <c r="T25" s="184"/>
      <c r="U25" s="183">
        <v>1</v>
      </c>
      <c r="V25" s="184"/>
      <c r="W25" s="180">
        <f t="shared" si="0"/>
        <v>2.4</v>
      </c>
      <c r="X25" s="181"/>
      <c r="Y25" s="182"/>
      <c r="Z25" s="180">
        <f t="shared" si="1"/>
        <v>2.4</v>
      </c>
      <c r="AA25" s="181"/>
      <c r="AB25" s="182"/>
      <c r="AC25" s="54"/>
      <c r="AD25" s="55"/>
      <c r="AE25" s="56"/>
      <c r="AF25" s="54"/>
      <c r="AG25" s="55"/>
      <c r="AH25" s="57"/>
    </row>
    <row r="26" spans="1:34" ht="15.75" x14ac:dyDescent="0.25">
      <c r="A26" s="185"/>
      <c r="B26" s="186"/>
      <c r="C26" s="184"/>
      <c r="D26" s="187" t="s">
        <v>650</v>
      </c>
      <c r="E26" s="188"/>
      <c r="F26" s="188"/>
      <c r="G26" s="188"/>
      <c r="H26" s="188"/>
      <c r="I26" s="188"/>
      <c r="J26" s="66"/>
      <c r="K26" s="183">
        <v>6.45</v>
      </c>
      <c r="L26" s="184"/>
      <c r="M26" s="183">
        <v>1.41</v>
      </c>
      <c r="N26" s="184"/>
      <c r="O26" s="183">
        <v>5.3</v>
      </c>
      <c r="P26" s="184"/>
      <c r="Q26" s="183">
        <v>1.67</v>
      </c>
      <c r="R26" s="184"/>
      <c r="S26" s="183">
        <v>1</v>
      </c>
      <c r="T26" s="184"/>
      <c r="U26" s="183">
        <v>1</v>
      </c>
      <c r="V26" s="184"/>
      <c r="W26" s="180">
        <f>ROUND(K26*O26,2)+(M26*Q26)</f>
        <v>36.544699999999999</v>
      </c>
      <c r="X26" s="181"/>
      <c r="Y26" s="182"/>
      <c r="Z26" s="180">
        <f t="shared" si="1"/>
        <v>36.544699999999999</v>
      </c>
      <c r="AA26" s="181"/>
      <c r="AB26" s="182"/>
      <c r="AC26" s="54"/>
      <c r="AD26" s="55"/>
      <c r="AE26" s="56"/>
      <c r="AF26" s="54"/>
      <c r="AG26" s="55"/>
      <c r="AH26" s="57"/>
    </row>
    <row r="27" spans="1:34" ht="15.75" x14ac:dyDescent="0.25">
      <c r="A27" s="185"/>
      <c r="B27" s="186"/>
      <c r="C27" s="184"/>
      <c r="D27" s="187" t="s">
        <v>651</v>
      </c>
      <c r="E27" s="188"/>
      <c r="F27" s="188"/>
      <c r="G27" s="188"/>
      <c r="H27" s="188"/>
      <c r="I27" s="188"/>
      <c r="J27" s="66"/>
      <c r="K27" s="183">
        <v>1.45</v>
      </c>
      <c r="L27" s="184"/>
      <c r="M27" s="183"/>
      <c r="N27" s="184"/>
      <c r="O27" s="183">
        <v>1.65</v>
      </c>
      <c r="P27" s="184"/>
      <c r="Q27" s="183"/>
      <c r="R27" s="184"/>
      <c r="S27" s="183">
        <v>1</v>
      </c>
      <c r="T27" s="184"/>
      <c r="U27" s="183">
        <v>1</v>
      </c>
      <c r="V27" s="184"/>
      <c r="W27" s="180">
        <f>ROUND(K27*O27,2)</f>
        <v>2.39</v>
      </c>
      <c r="X27" s="181"/>
      <c r="Y27" s="182"/>
      <c r="Z27" s="180">
        <f t="shared" si="1"/>
        <v>2.39</v>
      </c>
      <c r="AA27" s="181"/>
      <c r="AB27" s="182"/>
      <c r="AC27" s="54"/>
      <c r="AD27" s="55"/>
      <c r="AE27" s="56"/>
      <c r="AF27" s="54"/>
      <c r="AG27" s="55"/>
      <c r="AH27" s="57"/>
    </row>
    <row r="28" spans="1:34" ht="15.75" x14ac:dyDescent="0.25">
      <c r="A28" s="185"/>
      <c r="B28" s="186"/>
      <c r="C28" s="184"/>
      <c r="D28" s="187" t="s">
        <v>652</v>
      </c>
      <c r="E28" s="188"/>
      <c r="F28" s="188"/>
      <c r="G28" s="188"/>
      <c r="H28" s="188"/>
      <c r="I28" s="188"/>
      <c r="J28" s="66"/>
      <c r="K28" s="183">
        <v>8</v>
      </c>
      <c r="L28" s="184"/>
      <c r="M28" s="183"/>
      <c r="N28" s="184"/>
      <c r="O28" s="183">
        <v>5.7</v>
      </c>
      <c r="P28" s="184"/>
      <c r="Q28" s="183"/>
      <c r="R28" s="184"/>
      <c r="S28" s="183">
        <v>1</v>
      </c>
      <c r="T28" s="184"/>
      <c r="U28" s="183">
        <v>0.9</v>
      </c>
      <c r="V28" s="184"/>
      <c r="W28" s="180">
        <f>ROUND(K28*O28,2)</f>
        <v>45.6</v>
      </c>
      <c r="X28" s="181"/>
      <c r="Y28" s="182"/>
      <c r="Z28" s="180">
        <f t="shared" si="1"/>
        <v>43.32</v>
      </c>
      <c r="AA28" s="181"/>
      <c r="AB28" s="182"/>
      <c r="AC28" s="54"/>
      <c r="AD28" s="55"/>
      <c r="AE28" s="56"/>
      <c r="AF28" s="54"/>
      <c r="AG28" s="55"/>
      <c r="AH28" s="57"/>
    </row>
    <row r="29" spans="1:34" ht="15.75" x14ac:dyDescent="0.25">
      <c r="A29" s="58"/>
      <c r="B29" s="59"/>
      <c r="C29" s="60"/>
      <c r="D29" s="61" t="s">
        <v>653</v>
      </c>
      <c r="E29" s="62"/>
      <c r="F29" s="62"/>
      <c r="G29" s="62"/>
      <c r="H29" s="62"/>
      <c r="I29" s="62"/>
      <c r="J29" s="66"/>
      <c r="K29" s="183">
        <v>8.01</v>
      </c>
      <c r="L29" s="184"/>
      <c r="M29" s="183"/>
      <c r="N29" s="184"/>
      <c r="O29" s="183">
        <v>9</v>
      </c>
      <c r="P29" s="184"/>
      <c r="Q29" s="183"/>
      <c r="R29" s="184"/>
      <c r="S29" s="183">
        <v>1</v>
      </c>
      <c r="T29" s="184"/>
      <c r="U29" s="183">
        <v>0.9</v>
      </c>
      <c r="V29" s="184"/>
      <c r="W29" s="180">
        <f>ROUND(K29*O29,2)</f>
        <v>72.09</v>
      </c>
      <c r="X29" s="181"/>
      <c r="Y29" s="182"/>
      <c r="Z29" s="180">
        <f t="shared" si="1"/>
        <v>68.485500000000002</v>
      </c>
      <c r="AA29" s="181"/>
      <c r="AB29" s="182"/>
      <c r="AC29" s="54"/>
      <c r="AD29" s="55"/>
      <c r="AE29" s="56"/>
      <c r="AF29" s="54"/>
      <c r="AG29" s="55"/>
      <c r="AH29" s="57"/>
    </row>
    <row r="30" spans="1:34" ht="15.75" x14ac:dyDescent="0.25">
      <c r="A30" s="58"/>
      <c r="B30" s="59"/>
      <c r="C30" s="60"/>
      <c r="D30" s="61" t="s">
        <v>654</v>
      </c>
      <c r="E30" s="62"/>
      <c r="F30" s="62"/>
      <c r="G30" s="62"/>
      <c r="H30" s="62"/>
      <c r="I30" s="62"/>
      <c r="J30" s="66"/>
      <c r="K30" s="183">
        <v>4.5</v>
      </c>
      <c r="L30" s="184"/>
      <c r="M30" s="183">
        <v>1.54</v>
      </c>
      <c r="N30" s="184"/>
      <c r="O30" s="183">
        <v>3</v>
      </c>
      <c r="P30" s="184"/>
      <c r="Q30" s="183">
        <v>3</v>
      </c>
      <c r="R30" s="184"/>
      <c r="S30" s="183">
        <v>1</v>
      </c>
      <c r="T30" s="184"/>
      <c r="U30" s="183">
        <v>1</v>
      </c>
      <c r="V30" s="184"/>
      <c r="W30" s="180">
        <f>ROUND(K30*O30,2)+(M30*Q30)</f>
        <v>18.12</v>
      </c>
      <c r="X30" s="181"/>
      <c r="Y30" s="182"/>
      <c r="Z30" s="180">
        <f t="shared" si="1"/>
        <v>18.12</v>
      </c>
      <c r="AA30" s="181"/>
      <c r="AB30" s="182"/>
      <c r="AC30" s="54"/>
      <c r="AD30" s="55"/>
      <c r="AE30" s="56"/>
      <c r="AF30" s="54"/>
      <c r="AG30" s="55"/>
      <c r="AH30" s="57"/>
    </row>
    <row r="31" spans="1:34" ht="15.75" x14ac:dyDescent="0.25">
      <c r="A31" s="58"/>
      <c r="B31" s="59"/>
      <c r="C31" s="60"/>
      <c r="D31" s="61" t="s">
        <v>655</v>
      </c>
      <c r="E31" s="62"/>
      <c r="F31" s="62"/>
      <c r="G31" s="62"/>
      <c r="H31" s="62"/>
      <c r="I31" s="62"/>
      <c r="J31" s="66"/>
      <c r="K31" s="183">
        <v>4.5</v>
      </c>
      <c r="L31" s="184"/>
      <c r="M31" s="183">
        <v>1.54</v>
      </c>
      <c r="N31" s="184"/>
      <c r="O31" s="183">
        <v>3</v>
      </c>
      <c r="P31" s="184"/>
      <c r="Q31" s="183">
        <v>3</v>
      </c>
      <c r="R31" s="184"/>
      <c r="S31" s="183">
        <v>1</v>
      </c>
      <c r="T31" s="184"/>
      <c r="U31" s="183">
        <v>1</v>
      </c>
      <c r="V31" s="184"/>
      <c r="W31" s="180">
        <f>ROUND(K31*O31,2)+(M31*Q31)</f>
        <v>18.12</v>
      </c>
      <c r="X31" s="181"/>
      <c r="Y31" s="182"/>
      <c r="Z31" s="180">
        <f t="shared" si="1"/>
        <v>18.12</v>
      </c>
      <c r="AA31" s="181"/>
      <c r="AB31" s="182"/>
      <c r="AC31" s="54"/>
      <c r="AD31" s="55"/>
      <c r="AE31" s="56"/>
      <c r="AF31" s="54"/>
      <c r="AG31" s="55"/>
      <c r="AH31" s="57"/>
    </row>
    <row r="32" spans="1:34" ht="15.75" x14ac:dyDescent="0.25">
      <c r="A32" s="58"/>
      <c r="B32" s="59"/>
      <c r="C32" s="60"/>
      <c r="D32" s="61" t="s">
        <v>656</v>
      </c>
      <c r="E32" s="62"/>
      <c r="F32" s="62"/>
      <c r="G32" s="62"/>
      <c r="H32" s="62"/>
      <c r="I32" s="62"/>
      <c r="J32" s="66"/>
      <c r="K32" s="183">
        <v>1.5</v>
      </c>
      <c r="L32" s="184"/>
      <c r="M32" s="183"/>
      <c r="N32" s="184"/>
      <c r="O32" s="183">
        <v>3</v>
      </c>
      <c r="P32" s="184"/>
      <c r="Q32" s="183"/>
      <c r="R32" s="184"/>
      <c r="S32" s="183">
        <v>1.1000000000000001</v>
      </c>
      <c r="T32" s="184"/>
      <c r="U32" s="183">
        <v>1.1000000000000001</v>
      </c>
      <c r="V32" s="184"/>
      <c r="W32" s="180">
        <f>ROUND(K32*O32,2)</f>
        <v>4.5</v>
      </c>
      <c r="X32" s="181"/>
      <c r="Y32" s="182"/>
      <c r="Z32" s="180">
        <f t="shared" si="1"/>
        <v>4.95</v>
      </c>
      <c r="AA32" s="181"/>
      <c r="AB32" s="182"/>
      <c r="AC32" s="54"/>
      <c r="AD32" s="55"/>
      <c r="AE32" s="56"/>
      <c r="AF32" s="54"/>
      <c r="AG32" s="55"/>
      <c r="AH32" s="57"/>
    </row>
    <row r="33" spans="1:34" ht="15.75" x14ac:dyDescent="0.25">
      <c r="A33" s="58"/>
      <c r="B33" s="59"/>
      <c r="C33" s="60"/>
      <c r="D33" s="61" t="s">
        <v>657</v>
      </c>
      <c r="E33" s="62"/>
      <c r="F33" s="62"/>
      <c r="G33" s="62"/>
      <c r="H33" s="62"/>
      <c r="I33" s="62"/>
      <c r="J33" s="66"/>
      <c r="K33" s="183">
        <v>2.5</v>
      </c>
      <c r="L33" s="184"/>
      <c r="M33" s="183"/>
      <c r="N33" s="184"/>
      <c r="O33" s="183">
        <v>3.15</v>
      </c>
      <c r="P33" s="184"/>
      <c r="Q33" s="183"/>
      <c r="R33" s="184"/>
      <c r="S33" s="183">
        <v>1.1000000000000001</v>
      </c>
      <c r="T33" s="184"/>
      <c r="U33" s="183">
        <v>1.1000000000000001</v>
      </c>
      <c r="V33" s="184"/>
      <c r="W33" s="180">
        <f>ROUND(K33*O33,2)</f>
        <v>7.88</v>
      </c>
      <c r="X33" s="181"/>
      <c r="Y33" s="182"/>
      <c r="Z33" s="180">
        <f t="shared" si="1"/>
        <v>8.668000000000001</v>
      </c>
      <c r="AA33" s="181"/>
      <c r="AB33" s="182"/>
      <c r="AC33" s="54"/>
      <c r="AD33" s="55"/>
      <c r="AE33" s="56"/>
      <c r="AF33" s="54"/>
      <c r="AG33" s="55"/>
      <c r="AH33" s="57"/>
    </row>
    <row r="34" spans="1:34" ht="15.75" x14ac:dyDescent="0.25">
      <c r="A34" s="58"/>
      <c r="B34" s="59"/>
      <c r="C34" s="60"/>
      <c r="D34" s="61" t="s">
        <v>658</v>
      </c>
      <c r="E34" s="62"/>
      <c r="F34" s="62"/>
      <c r="G34" s="62"/>
      <c r="H34" s="62"/>
      <c r="I34" s="62"/>
      <c r="J34" s="66"/>
      <c r="K34" s="183">
        <v>7.85</v>
      </c>
      <c r="L34" s="184"/>
      <c r="M34" s="183"/>
      <c r="N34" s="184"/>
      <c r="O34" s="183">
        <v>3</v>
      </c>
      <c r="P34" s="184"/>
      <c r="Q34" s="183"/>
      <c r="R34" s="184"/>
      <c r="S34" s="183">
        <v>1.1000000000000001</v>
      </c>
      <c r="T34" s="184"/>
      <c r="U34" s="183">
        <v>1.1000000000000001</v>
      </c>
      <c r="V34" s="184"/>
      <c r="W34" s="180">
        <f>ROUND(K34*O34,2)</f>
        <v>23.55</v>
      </c>
      <c r="X34" s="181"/>
      <c r="Y34" s="182"/>
      <c r="Z34" s="180">
        <f t="shared" si="1"/>
        <v>25.905000000000001</v>
      </c>
      <c r="AA34" s="181"/>
      <c r="AB34" s="182"/>
      <c r="AC34" s="54"/>
      <c r="AD34" s="55"/>
      <c r="AE34" s="56"/>
      <c r="AF34" s="54"/>
      <c r="AG34" s="55"/>
      <c r="AH34" s="57"/>
    </row>
    <row r="35" spans="1:34" ht="15.75" x14ac:dyDescent="0.25">
      <c r="A35" s="58"/>
      <c r="B35" s="59"/>
      <c r="C35" s="60"/>
      <c r="D35" s="61" t="s">
        <v>659</v>
      </c>
      <c r="E35" s="62"/>
      <c r="F35" s="62"/>
      <c r="G35" s="62"/>
      <c r="H35" s="62"/>
      <c r="I35" s="62"/>
      <c r="J35" s="66"/>
      <c r="K35" s="183">
        <v>4.9000000000000004</v>
      </c>
      <c r="L35" s="184"/>
      <c r="M35" s="183"/>
      <c r="N35" s="184"/>
      <c r="O35" s="183">
        <v>3.15</v>
      </c>
      <c r="P35" s="184"/>
      <c r="Q35" s="183"/>
      <c r="R35" s="184"/>
      <c r="S35" s="183">
        <v>1.1000000000000001</v>
      </c>
      <c r="T35" s="184"/>
      <c r="U35" s="183">
        <v>1.1000000000000001</v>
      </c>
      <c r="V35" s="184"/>
      <c r="W35" s="180">
        <f>ROUND(K35*O35,2)</f>
        <v>15.44</v>
      </c>
      <c r="X35" s="181"/>
      <c r="Y35" s="182"/>
      <c r="Z35" s="180">
        <f t="shared" si="1"/>
        <v>16.984000000000002</v>
      </c>
      <c r="AA35" s="181"/>
      <c r="AB35" s="182"/>
      <c r="AC35" s="54"/>
      <c r="AD35" s="55"/>
      <c r="AE35" s="56"/>
      <c r="AF35" s="54"/>
      <c r="AG35" s="55"/>
      <c r="AH35" s="57"/>
    </row>
    <row r="36" spans="1:34" ht="15.75" x14ac:dyDescent="0.25">
      <c r="A36" s="58"/>
      <c r="B36" s="59"/>
      <c r="C36" s="60"/>
      <c r="D36" s="61" t="s">
        <v>660</v>
      </c>
      <c r="E36" s="62"/>
      <c r="F36" s="62"/>
      <c r="G36" s="62"/>
      <c r="H36" s="62"/>
      <c r="I36" s="62"/>
      <c r="J36" s="66"/>
      <c r="K36" s="183">
        <v>1.8</v>
      </c>
      <c r="L36" s="184"/>
      <c r="M36" s="183"/>
      <c r="N36" s="184"/>
      <c r="O36" s="183">
        <v>3</v>
      </c>
      <c r="P36" s="184"/>
      <c r="Q36" s="183"/>
      <c r="R36" s="184"/>
      <c r="S36" s="183">
        <v>1.1000000000000001</v>
      </c>
      <c r="T36" s="184"/>
      <c r="U36" s="183">
        <v>1.1000000000000001</v>
      </c>
      <c r="V36" s="184"/>
      <c r="W36" s="180">
        <f>ROUND(K36*O36,2)</f>
        <v>5.4</v>
      </c>
      <c r="X36" s="181"/>
      <c r="Y36" s="182"/>
      <c r="Z36" s="180">
        <f t="shared" si="1"/>
        <v>5.9400000000000013</v>
      </c>
      <c r="AA36" s="181"/>
      <c r="AB36" s="182"/>
      <c r="AC36" s="54"/>
      <c r="AD36" s="55"/>
      <c r="AE36" s="56"/>
      <c r="AF36" s="54"/>
      <c r="AG36" s="55"/>
      <c r="AH36" s="57"/>
    </row>
    <row r="37" spans="1:34" ht="15.75" x14ac:dyDescent="0.25">
      <c r="A37" s="63"/>
      <c r="B37" s="64"/>
      <c r="C37" s="65"/>
      <c r="D37" s="61" t="s">
        <v>661</v>
      </c>
      <c r="E37" s="62"/>
      <c r="F37" s="62"/>
      <c r="G37" s="62"/>
      <c r="H37" s="62"/>
      <c r="I37" s="62"/>
      <c r="J37" s="66"/>
      <c r="K37" s="183">
        <v>12.15</v>
      </c>
      <c r="L37" s="184"/>
      <c r="M37" s="183">
        <v>8</v>
      </c>
      <c r="N37" s="184"/>
      <c r="O37" s="183">
        <v>5</v>
      </c>
      <c r="P37" s="184"/>
      <c r="Q37" s="183">
        <v>5</v>
      </c>
      <c r="R37" s="184"/>
      <c r="S37" s="183">
        <v>1.1000000000000001</v>
      </c>
      <c r="T37" s="184"/>
      <c r="U37" s="183">
        <v>1</v>
      </c>
      <c r="V37" s="184"/>
      <c r="W37" s="180">
        <f>ROUND(K37*O37,2)+(M37*Q37)</f>
        <v>100.75</v>
      </c>
      <c r="X37" s="181"/>
      <c r="Y37" s="182"/>
      <c r="Z37" s="180">
        <f t="shared" si="1"/>
        <v>105.78750000000001</v>
      </c>
      <c r="AA37" s="181"/>
      <c r="AB37" s="182"/>
      <c r="AC37" s="54"/>
      <c r="AD37" s="55"/>
      <c r="AE37" s="56"/>
      <c r="AF37" s="54"/>
      <c r="AG37" s="55"/>
      <c r="AH37" s="57"/>
    </row>
    <row r="38" spans="1:34" ht="15.75" x14ac:dyDescent="0.25">
      <c r="A38" s="63"/>
      <c r="B38" s="64"/>
      <c r="C38" s="65"/>
      <c r="D38" s="61" t="s">
        <v>662</v>
      </c>
      <c r="E38" s="62"/>
      <c r="F38" s="62"/>
      <c r="G38" s="62"/>
      <c r="H38" s="62"/>
      <c r="I38" s="62"/>
      <c r="J38" s="66"/>
      <c r="K38" s="183">
        <v>8</v>
      </c>
      <c r="L38" s="184"/>
      <c r="M38" s="183"/>
      <c r="N38" s="184"/>
      <c r="O38" s="183">
        <v>5</v>
      </c>
      <c r="P38" s="184"/>
      <c r="Q38" s="183"/>
      <c r="R38" s="184"/>
      <c r="S38" s="183">
        <v>1.1000000000000001</v>
      </c>
      <c r="T38" s="184"/>
      <c r="U38" s="183">
        <v>1</v>
      </c>
      <c r="V38" s="184"/>
      <c r="W38" s="180">
        <f>ROUND(K38*O38,2)</f>
        <v>40</v>
      </c>
      <c r="X38" s="181"/>
      <c r="Y38" s="182"/>
      <c r="Z38" s="180">
        <f t="shared" si="1"/>
        <v>42</v>
      </c>
      <c r="AA38" s="181"/>
      <c r="AB38" s="182"/>
      <c r="AC38" s="54"/>
      <c r="AD38" s="55"/>
      <c r="AE38" s="56"/>
      <c r="AF38" s="54"/>
      <c r="AG38" s="55"/>
      <c r="AH38" s="57"/>
    </row>
    <row r="39" spans="1:34" ht="15.75" x14ac:dyDescent="0.25">
      <c r="A39" s="63"/>
      <c r="B39" s="64"/>
      <c r="C39" s="65"/>
      <c r="D39" s="61" t="s">
        <v>663</v>
      </c>
      <c r="E39" s="62"/>
      <c r="F39" s="62"/>
      <c r="G39" s="62"/>
      <c r="H39" s="62"/>
      <c r="I39" s="62"/>
      <c r="J39" s="66"/>
      <c r="K39" s="183">
        <v>2.2000000000000002</v>
      </c>
      <c r="L39" s="184"/>
      <c r="M39" s="183">
        <v>1.67</v>
      </c>
      <c r="N39" s="184"/>
      <c r="O39" s="183">
        <v>15</v>
      </c>
      <c r="P39" s="184"/>
      <c r="Q39" s="183">
        <v>6.15</v>
      </c>
      <c r="R39" s="184"/>
      <c r="S39" s="183">
        <v>1.1000000000000001</v>
      </c>
      <c r="T39" s="184"/>
      <c r="U39" s="183">
        <v>1</v>
      </c>
      <c r="V39" s="184"/>
      <c r="W39" s="180">
        <f>ROUND(K39*O39,2)+(M39*Q39)</f>
        <v>43.270499999999998</v>
      </c>
      <c r="X39" s="181"/>
      <c r="Y39" s="182"/>
      <c r="Z39" s="180">
        <f t="shared" si="1"/>
        <v>45.434024999999998</v>
      </c>
      <c r="AA39" s="181"/>
      <c r="AB39" s="182"/>
      <c r="AC39" s="54"/>
      <c r="AD39" s="55"/>
      <c r="AE39" s="56"/>
      <c r="AF39" s="54"/>
      <c r="AG39" s="55"/>
      <c r="AH39" s="57"/>
    </row>
    <row r="40" spans="1:34" ht="15.75" x14ac:dyDescent="0.25">
      <c r="A40" s="63"/>
      <c r="B40" s="64"/>
      <c r="C40" s="65"/>
      <c r="D40" s="61" t="s">
        <v>664</v>
      </c>
      <c r="E40" s="62"/>
      <c r="F40" s="62"/>
      <c r="G40" s="62"/>
      <c r="H40" s="62"/>
      <c r="I40" s="62"/>
      <c r="J40" s="66"/>
      <c r="K40" s="183">
        <v>2.2000000000000002</v>
      </c>
      <c r="L40" s="184"/>
      <c r="M40" s="183">
        <v>0</v>
      </c>
      <c r="N40" s="184"/>
      <c r="O40" s="183">
        <v>21.8</v>
      </c>
      <c r="P40" s="184"/>
      <c r="Q40" s="183">
        <v>0</v>
      </c>
      <c r="R40" s="184"/>
      <c r="S40" s="183">
        <v>1.1000000000000001</v>
      </c>
      <c r="T40" s="184"/>
      <c r="U40" s="183">
        <v>1</v>
      </c>
      <c r="V40" s="184"/>
      <c r="W40" s="180">
        <f>ROUND(K40*O40,2)</f>
        <v>47.96</v>
      </c>
      <c r="X40" s="181"/>
      <c r="Y40" s="182"/>
      <c r="Z40" s="180">
        <f t="shared" si="1"/>
        <v>50.358000000000004</v>
      </c>
      <c r="AA40" s="181"/>
      <c r="AB40" s="182"/>
      <c r="AC40" s="54"/>
      <c r="AD40" s="55"/>
      <c r="AE40" s="56"/>
      <c r="AF40" s="54"/>
      <c r="AG40" s="55"/>
      <c r="AH40" s="57"/>
    </row>
    <row r="42" spans="1:34" x14ac:dyDescent="0.25">
      <c r="AD42" s="72">
        <f>AC15</f>
        <v>1090.4227250000001</v>
      </c>
    </row>
  </sheetData>
  <protectedRanges>
    <protectedRange sqref="AC16:AC40 AB9:AC15" name="Intervalo1_1"/>
  </protectedRanges>
  <mergeCells count="243"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view="pageBreakPreview" topLeftCell="A34" zoomScale="60" zoomScaleNormal="100" workbookViewId="0"/>
  </sheetViews>
  <sheetFormatPr defaultRowHeight="15" x14ac:dyDescent="0.25"/>
  <sheetData/>
  <pageMargins left="0.51181102362204722" right="0.51181102362204722" top="0.78740157480314965" bottom="0.78740157480314965" header="0.31496062992125984" footer="0.31496062992125984"/>
  <pageSetup paperSize="9" scale="4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491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67" t="s">
        <v>611</v>
      </c>
      <c r="B1" s="168"/>
      <c r="C1" s="168"/>
      <c r="D1" s="168"/>
      <c r="E1" s="168"/>
      <c r="F1" s="168"/>
      <c r="G1" s="168"/>
      <c r="H1" s="168"/>
      <c r="I1" s="169"/>
      <c r="J1" s="173" t="s">
        <v>832</v>
      </c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5"/>
    </row>
    <row r="2" spans="1:35" x14ac:dyDescent="0.25">
      <c r="A2" s="167"/>
      <c r="B2" s="168"/>
      <c r="C2" s="168"/>
      <c r="D2" s="168"/>
      <c r="E2" s="168"/>
      <c r="F2" s="168"/>
      <c r="G2" s="168"/>
      <c r="H2" s="168"/>
      <c r="I2" s="169"/>
      <c r="J2" s="173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5"/>
    </row>
    <row r="3" spans="1:35" x14ac:dyDescent="0.25">
      <c r="A3" s="167"/>
      <c r="B3" s="168"/>
      <c r="C3" s="168"/>
      <c r="D3" s="168"/>
      <c r="E3" s="168"/>
      <c r="F3" s="168"/>
      <c r="G3" s="168"/>
      <c r="H3" s="168"/>
      <c r="I3" s="169"/>
      <c r="J3" s="173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5"/>
    </row>
    <row r="4" spans="1:35" x14ac:dyDescent="0.25">
      <c r="A4" s="167"/>
      <c r="B4" s="168"/>
      <c r="C4" s="168"/>
      <c r="D4" s="168"/>
      <c r="E4" s="168"/>
      <c r="F4" s="168"/>
      <c r="G4" s="168"/>
      <c r="H4" s="168"/>
      <c r="I4" s="169"/>
      <c r="J4" s="173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5"/>
    </row>
    <row r="5" spans="1:35" x14ac:dyDescent="0.25">
      <c r="A5" s="167"/>
      <c r="B5" s="168"/>
      <c r="C5" s="168"/>
      <c r="D5" s="168"/>
      <c r="E5" s="168"/>
      <c r="F5" s="168"/>
      <c r="G5" s="168"/>
      <c r="H5" s="168"/>
      <c r="I5" s="169"/>
      <c r="J5" s="177" t="s">
        <v>613</v>
      </c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9"/>
    </row>
    <row r="6" spans="1:35" x14ac:dyDescent="0.25">
      <c r="A6" s="167"/>
      <c r="B6" s="168"/>
      <c r="C6" s="168"/>
      <c r="D6" s="168"/>
      <c r="E6" s="168"/>
      <c r="F6" s="168"/>
      <c r="G6" s="168"/>
      <c r="H6" s="168"/>
      <c r="I6" s="169"/>
      <c r="J6" s="177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9"/>
    </row>
    <row r="7" spans="1:35" x14ac:dyDescent="0.25">
      <c r="A7" s="170"/>
      <c r="B7" s="171"/>
      <c r="C7" s="171"/>
      <c r="D7" s="171"/>
      <c r="E7" s="171"/>
      <c r="F7" s="171"/>
      <c r="G7" s="171"/>
      <c r="H7" s="171"/>
      <c r="I7" s="172"/>
      <c r="J7" s="177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9"/>
    </row>
    <row r="8" spans="1:35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5" x14ac:dyDescent="0.25">
      <c r="A9" s="204" t="s">
        <v>0</v>
      </c>
      <c r="B9" s="205"/>
      <c r="C9" s="205"/>
      <c r="D9" s="206" t="s">
        <v>2</v>
      </c>
      <c r="E9" s="206"/>
      <c r="F9" s="206"/>
      <c r="G9" s="206"/>
      <c r="H9" s="206"/>
      <c r="I9" s="206"/>
      <c r="J9" s="205" t="s">
        <v>625</v>
      </c>
      <c r="K9" s="197" t="s">
        <v>626</v>
      </c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 t="s">
        <v>627</v>
      </c>
      <c r="X9" s="197"/>
      <c r="Y9" s="197"/>
      <c r="Z9" s="197"/>
      <c r="AA9" s="197"/>
      <c r="AB9" s="197"/>
      <c r="AC9" s="197"/>
      <c r="AD9" s="197"/>
      <c r="AE9" s="197"/>
      <c r="AF9" s="205" t="s">
        <v>628</v>
      </c>
      <c r="AG9" s="205"/>
      <c r="AH9" s="207"/>
    </row>
    <row r="10" spans="1:35" x14ac:dyDescent="0.25">
      <c r="A10" s="204"/>
      <c r="B10" s="205"/>
      <c r="C10" s="205"/>
      <c r="D10" s="206"/>
      <c r="E10" s="206"/>
      <c r="F10" s="206"/>
      <c r="G10" s="206"/>
      <c r="H10" s="206"/>
      <c r="I10" s="206"/>
      <c r="J10" s="205"/>
      <c r="K10" s="197" t="s">
        <v>629</v>
      </c>
      <c r="L10" s="197"/>
      <c r="M10" s="197" t="s">
        <v>630</v>
      </c>
      <c r="N10" s="197"/>
      <c r="O10" s="197" t="s">
        <v>631</v>
      </c>
      <c r="P10" s="197"/>
      <c r="Q10" s="197" t="s">
        <v>632</v>
      </c>
      <c r="R10" s="197"/>
      <c r="S10" s="197" t="s">
        <v>633</v>
      </c>
      <c r="T10" s="197"/>
      <c r="U10" s="197" t="s">
        <v>634</v>
      </c>
      <c r="V10" s="197"/>
      <c r="W10" s="197" t="s">
        <v>635</v>
      </c>
      <c r="X10" s="197"/>
      <c r="Y10" s="197"/>
      <c r="Z10" s="197" t="s">
        <v>617</v>
      </c>
      <c r="AA10" s="197"/>
      <c r="AB10" s="197"/>
      <c r="AC10" s="197" t="s">
        <v>636</v>
      </c>
      <c r="AD10" s="197"/>
      <c r="AE10" s="197"/>
      <c r="AF10" s="205"/>
      <c r="AG10" s="205"/>
      <c r="AH10" s="207"/>
    </row>
    <row r="11" spans="1:35" x14ac:dyDescent="0.25">
      <c r="A11" s="204"/>
      <c r="B11" s="205"/>
      <c r="C11" s="205"/>
      <c r="D11" s="206"/>
      <c r="E11" s="206"/>
      <c r="F11" s="206"/>
      <c r="G11" s="206"/>
      <c r="H11" s="206"/>
      <c r="I11" s="206"/>
      <c r="J11" s="205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205"/>
      <c r="AG11" s="205"/>
      <c r="AH11" s="207"/>
    </row>
    <row r="12" spans="1:35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5" ht="15.75" x14ac:dyDescent="0.25">
      <c r="A13" s="198" t="str">
        <f>'MEMORIA BM 08'!A37</f>
        <v>5</v>
      </c>
      <c r="B13" s="199"/>
      <c r="C13" s="200"/>
      <c r="D13" s="201">
        <f>'MEMORIA BM 08'!B37:E37</f>
        <v>0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3"/>
    </row>
    <row r="14" spans="1:35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5" ht="15.75" x14ac:dyDescent="0.25">
      <c r="A15" s="189" t="str">
        <f>'MEMORIA BM 08'!A38</f>
        <v>5.1</v>
      </c>
      <c r="B15" s="190"/>
      <c r="C15" s="191"/>
      <c r="D15" s="192" t="str">
        <f>'MEMORIA BM 08'!B38</f>
        <v>Forma plana para estruturas, em compensado plastificado de 12mm, 07 usos, inclusive escoramento - Revisada 07.2015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SUM(Z16:AB108)</f>
        <v>18.942500000000024</v>
      </c>
      <c r="AD15" s="190"/>
      <c r="AE15" s="191"/>
      <c r="AF15" s="195" t="str">
        <f>'MEMORIA BM 08'!C38</f>
        <v>m2</v>
      </c>
      <c r="AG15" s="190"/>
      <c r="AH15" s="196"/>
      <c r="AI15">
        <v>18.940000000000001</v>
      </c>
    </row>
    <row r="16" spans="1:35" ht="15.75" x14ac:dyDescent="0.25">
      <c r="A16" s="185"/>
      <c r="B16" s="186"/>
      <c r="C16" s="184"/>
      <c r="D16" s="216" t="s">
        <v>665</v>
      </c>
      <c r="E16" s="217"/>
      <c r="F16" s="217"/>
      <c r="G16" s="217"/>
      <c r="H16" s="217"/>
      <c r="I16" s="217"/>
      <c r="J16" s="66"/>
      <c r="K16" s="183">
        <v>0.15</v>
      </c>
      <c r="L16" s="184"/>
      <c r="M16" s="183"/>
      <c r="N16" s="184"/>
      <c r="O16" s="183">
        <v>0.3</v>
      </c>
      <c r="P16" s="184"/>
      <c r="Q16" s="183"/>
      <c r="R16" s="184"/>
      <c r="S16" s="183">
        <f t="shared" ref="S16:S23" si="0">3.4+1.5</f>
        <v>4.9000000000000004</v>
      </c>
      <c r="T16" s="184"/>
      <c r="U16" s="183"/>
      <c r="V16" s="184"/>
      <c r="W16" s="180">
        <f>K16*O16</f>
        <v>4.4999999999999998E-2</v>
      </c>
      <c r="X16" s="181"/>
      <c r="Y16" s="182"/>
      <c r="Z16" s="180">
        <f>W16*S16</f>
        <v>0.2205</v>
      </c>
      <c r="AA16" s="181"/>
      <c r="AB16" s="182"/>
      <c r="AC16" s="54"/>
      <c r="AD16" s="55"/>
      <c r="AE16" s="56"/>
      <c r="AF16" s="54"/>
      <c r="AG16" s="55"/>
      <c r="AH16" s="57"/>
    </row>
    <row r="17" spans="1:34" ht="15.75" x14ac:dyDescent="0.25">
      <c r="A17" s="75"/>
      <c r="B17" s="76"/>
      <c r="C17" s="74"/>
      <c r="D17" s="216" t="s">
        <v>666</v>
      </c>
      <c r="E17" s="217"/>
      <c r="F17" s="217"/>
      <c r="G17" s="217"/>
      <c r="H17" s="217"/>
      <c r="I17" s="217"/>
      <c r="J17" s="66"/>
      <c r="K17" s="183">
        <v>0.2</v>
      </c>
      <c r="L17" s="184"/>
      <c r="M17" s="183"/>
      <c r="N17" s="184"/>
      <c r="O17" s="183">
        <v>0.3</v>
      </c>
      <c r="P17" s="184"/>
      <c r="Q17" s="183"/>
      <c r="R17" s="184"/>
      <c r="S17" s="183">
        <f t="shared" si="0"/>
        <v>4.9000000000000004</v>
      </c>
      <c r="T17" s="184"/>
      <c r="U17" s="183"/>
      <c r="V17" s="184"/>
      <c r="W17" s="180">
        <f>K17*O17</f>
        <v>0.06</v>
      </c>
      <c r="X17" s="181"/>
      <c r="Y17" s="182"/>
      <c r="Z17" s="180">
        <f>W17*S17</f>
        <v>0.29399999999999998</v>
      </c>
      <c r="AA17" s="181"/>
      <c r="AB17" s="182"/>
      <c r="AC17" s="54"/>
      <c r="AD17" s="55"/>
      <c r="AE17" s="56"/>
      <c r="AF17" s="54"/>
      <c r="AG17" s="55"/>
      <c r="AH17" s="57"/>
    </row>
    <row r="18" spans="1:34" ht="15.75" x14ac:dyDescent="0.25">
      <c r="A18" s="75"/>
      <c r="B18" s="76"/>
      <c r="C18" s="74"/>
      <c r="D18" s="216" t="s">
        <v>667</v>
      </c>
      <c r="E18" s="217"/>
      <c r="F18" s="217"/>
      <c r="G18" s="217"/>
      <c r="H18" s="217"/>
      <c r="I18" s="217"/>
      <c r="J18" s="66"/>
      <c r="K18" s="183">
        <v>0.2</v>
      </c>
      <c r="L18" s="184"/>
      <c r="M18" s="183"/>
      <c r="N18" s="184"/>
      <c r="O18" s="183">
        <v>0.3</v>
      </c>
      <c r="P18" s="184"/>
      <c r="Q18" s="183"/>
      <c r="R18" s="184"/>
      <c r="S18" s="183">
        <f t="shared" si="0"/>
        <v>4.9000000000000004</v>
      </c>
      <c r="T18" s="184"/>
      <c r="U18" s="183"/>
      <c r="V18" s="184"/>
      <c r="W18" s="180">
        <f>K18*O18</f>
        <v>0.06</v>
      </c>
      <c r="X18" s="181"/>
      <c r="Y18" s="182"/>
      <c r="Z18" s="180">
        <f>W18*S18</f>
        <v>0.29399999999999998</v>
      </c>
      <c r="AA18" s="181"/>
      <c r="AB18" s="182"/>
      <c r="AC18" s="54"/>
      <c r="AD18" s="55"/>
      <c r="AE18" s="56"/>
      <c r="AF18" s="54"/>
      <c r="AG18" s="55"/>
      <c r="AH18" s="57"/>
    </row>
    <row r="19" spans="1:34" ht="15.75" x14ac:dyDescent="0.25">
      <c r="A19" s="75"/>
      <c r="B19" s="76"/>
      <c r="C19" s="74"/>
      <c r="D19" s="216" t="s">
        <v>668</v>
      </c>
      <c r="E19" s="217"/>
      <c r="F19" s="217"/>
      <c r="G19" s="217"/>
      <c r="H19" s="217"/>
      <c r="I19" s="217"/>
      <c r="J19" s="67"/>
      <c r="K19" s="183">
        <v>0.2</v>
      </c>
      <c r="L19" s="184"/>
      <c r="M19" s="183"/>
      <c r="N19" s="184"/>
      <c r="O19" s="183">
        <v>0.3</v>
      </c>
      <c r="P19" s="184"/>
      <c r="Q19" s="183"/>
      <c r="R19" s="184"/>
      <c r="S19" s="183">
        <f t="shared" si="0"/>
        <v>4.9000000000000004</v>
      </c>
      <c r="T19" s="184"/>
      <c r="U19" s="183"/>
      <c r="V19" s="184"/>
      <c r="W19" s="180">
        <f>K19*O19</f>
        <v>0.06</v>
      </c>
      <c r="X19" s="181"/>
      <c r="Y19" s="182"/>
      <c r="Z19" s="180">
        <f>W19*S19</f>
        <v>0.29399999999999998</v>
      </c>
      <c r="AA19" s="181"/>
      <c r="AB19" s="182"/>
      <c r="AC19" s="54"/>
      <c r="AD19" s="55"/>
      <c r="AE19" s="56"/>
      <c r="AF19" s="54"/>
      <c r="AG19" s="55"/>
      <c r="AH19" s="57"/>
    </row>
    <row r="20" spans="1:34" ht="15.75" x14ac:dyDescent="0.25">
      <c r="A20" s="75"/>
      <c r="B20" s="76"/>
      <c r="C20" s="74"/>
      <c r="D20" s="216" t="s">
        <v>669</v>
      </c>
      <c r="E20" s="217"/>
      <c r="F20" s="217"/>
      <c r="G20" s="217"/>
      <c r="H20" s="217"/>
      <c r="I20" s="217"/>
      <c r="J20" s="66"/>
      <c r="K20" s="183">
        <v>0.15</v>
      </c>
      <c r="L20" s="184"/>
      <c r="M20" s="183"/>
      <c r="N20" s="184"/>
      <c r="O20" s="183">
        <v>0.3</v>
      </c>
      <c r="P20" s="184"/>
      <c r="Q20" s="183"/>
      <c r="R20" s="184"/>
      <c r="S20" s="183">
        <f t="shared" si="0"/>
        <v>4.9000000000000004</v>
      </c>
      <c r="T20" s="184"/>
      <c r="U20" s="183"/>
      <c r="V20" s="184"/>
      <c r="W20" s="180">
        <f>K20*O20</f>
        <v>4.4999999999999998E-2</v>
      </c>
      <c r="X20" s="181"/>
      <c r="Y20" s="182"/>
      <c r="Z20" s="180">
        <f>W20*S20</f>
        <v>0.2205</v>
      </c>
      <c r="AA20" s="181"/>
      <c r="AB20" s="182"/>
      <c r="AC20" s="54"/>
      <c r="AD20" s="55"/>
      <c r="AE20" s="56"/>
      <c r="AF20" s="54"/>
      <c r="AG20" s="55"/>
      <c r="AH20" s="57"/>
    </row>
    <row r="21" spans="1:34" ht="15.75" x14ac:dyDescent="0.25">
      <c r="A21" s="75"/>
      <c r="B21" s="76"/>
      <c r="C21" s="74"/>
      <c r="D21" s="216" t="s">
        <v>670</v>
      </c>
      <c r="E21" s="217"/>
      <c r="F21" s="217"/>
      <c r="G21" s="217"/>
      <c r="H21" s="217"/>
      <c r="I21" s="217"/>
      <c r="J21" s="66"/>
      <c r="K21" s="183">
        <v>0.15</v>
      </c>
      <c r="L21" s="184"/>
      <c r="M21" s="183"/>
      <c r="N21" s="184"/>
      <c r="O21" s="183">
        <v>0.3</v>
      </c>
      <c r="P21" s="184"/>
      <c r="Q21" s="183"/>
      <c r="R21" s="184"/>
      <c r="S21" s="183">
        <f t="shared" si="0"/>
        <v>4.9000000000000004</v>
      </c>
      <c r="T21" s="184"/>
      <c r="U21" s="183"/>
      <c r="V21" s="184"/>
      <c r="W21" s="180">
        <f t="shared" ref="W21:W40" si="1">K21*O21</f>
        <v>4.4999999999999998E-2</v>
      </c>
      <c r="X21" s="181"/>
      <c r="Y21" s="182"/>
      <c r="Z21" s="180">
        <f t="shared" ref="Z21:Z40" si="2">W21*S21</f>
        <v>0.2205</v>
      </c>
      <c r="AA21" s="181"/>
      <c r="AB21" s="182"/>
      <c r="AC21" s="54"/>
      <c r="AD21" s="55"/>
      <c r="AE21" s="56"/>
      <c r="AF21" s="54"/>
      <c r="AG21" s="55"/>
      <c r="AH21" s="57"/>
    </row>
    <row r="22" spans="1:34" ht="15.75" x14ac:dyDescent="0.25">
      <c r="A22" s="75"/>
      <c r="B22" s="76"/>
      <c r="C22" s="74"/>
      <c r="D22" s="216" t="s">
        <v>671</v>
      </c>
      <c r="E22" s="217"/>
      <c r="F22" s="217"/>
      <c r="G22" s="217"/>
      <c r="H22" s="217"/>
      <c r="I22" s="217"/>
      <c r="J22" s="66"/>
      <c r="K22" s="183">
        <v>0.15</v>
      </c>
      <c r="L22" s="184"/>
      <c r="M22" s="183"/>
      <c r="N22" s="184"/>
      <c r="O22" s="183">
        <v>0.3</v>
      </c>
      <c r="P22" s="184"/>
      <c r="Q22" s="183"/>
      <c r="R22" s="184"/>
      <c r="S22" s="183">
        <f t="shared" si="0"/>
        <v>4.9000000000000004</v>
      </c>
      <c r="T22" s="184"/>
      <c r="U22" s="183"/>
      <c r="V22" s="184"/>
      <c r="W22" s="180">
        <f t="shared" si="1"/>
        <v>4.4999999999999998E-2</v>
      </c>
      <c r="X22" s="181"/>
      <c r="Y22" s="182"/>
      <c r="Z22" s="180">
        <f t="shared" si="2"/>
        <v>0.2205</v>
      </c>
      <c r="AA22" s="181"/>
      <c r="AB22" s="182"/>
      <c r="AC22" s="54"/>
      <c r="AD22" s="55"/>
      <c r="AE22" s="56"/>
      <c r="AF22" s="54"/>
      <c r="AG22" s="55"/>
      <c r="AH22" s="57"/>
    </row>
    <row r="23" spans="1:34" ht="15.75" x14ac:dyDescent="0.25">
      <c r="A23" s="75"/>
      <c r="B23" s="76"/>
      <c r="C23" s="74"/>
      <c r="D23" s="216" t="s">
        <v>672</v>
      </c>
      <c r="E23" s="217"/>
      <c r="F23" s="217"/>
      <c r="G23" s="217"/>
      <c r="H23" s="217"/>
      <c r="I23" s="217"/>
      <c r="J23" s="66"/>
      <c r="K23" s="183">
        <v>0.15</v>
      </c>
      <c r="L23" s="184"/>
      <c r="M23" s="183"/>
      <c r="N23" s="184"/>
      <c r="O23" s="183">
        <v>0.3</v>
      </c>
      <c r="P23" s="184"/>
      <c r="Q23" s="183"/>
      <c r="R23" s="184"/>
      <c r="S23" s="183">
        <f t="shared" si="0"/>
        <v>4.9000000000000004</v>
      </c>
      <c r="T23" s="184"/>
      <c r="U23" s="183"/>
      <c r="V23" s="184"/>
      <c r="W23" s="180">
        <f t="shared" si="1"/>
        <v>4.4999999999999998E-2</v>
      </c>
      <c r="X23" s="181"/>
      <c r="Y23" s="182"/>
      <c r="Z23" s="180">
        <f t="shared" si="2"/>
        <v>0.2205</v>
      </c>
      <c r="AA23" s="181"/>
      <c r="AB23" s="182"/>
      <c r="AC23" s="54"/>
      <c r="AD23" s="55"/>
      <c r="AE23" s="56"/>
      <c r="AF23" s="54"/>
      <c r="AG23" s="55"/>
      <c r="AH23" s="57"/>
    </row>
    <row r="24" spans="1:34" ht="15.75" x14ac:dyDescent="0.25">
      <c r="A24" s="185"/>
      <c r="B24" s="186"/>
      <c r="C24" s="184"/>
      <c r="D24" s="216" t="s">
        <v>673</v>
      </c>
      <c r="E24" s="217"/>
      <c r="F24" s="217"/>
      <c r="G24" s="217"/>
      <c r="H24" s="217"/>
      <c r="I24" s="217"/>
      <c r="J24" s="66"/>
      <c r="K24" s="183">
        <v>0.15</v>
      </c>
      <c r="L24" s="184"/>
      <c r="M24" s="183"/>
      <c r="N24" s="184"/>
      <c r="O24" s="183">
        <v>0.3</v>
      </c>
      <c r="P24" s="184"/>
      <c r="Q24" s="183"/>
      <c r="R24" s="184"/>
      <c r="S24" s="183">
        <v>3.4</v>
      </c>
      <c r="T24" s="184"/>
      <c r="U24" s="183"/>
      <c r="V24" s="184"/>
      <c r="W24" s="180">
        <f t="shared" si="1"/>
        <v>4.4999999999999998E-2</v>
      </c>
      <c r="X24" s="181"/>
      <c r="Y24" s="182"/>
      <c r="Z24" s="180">
        <f t="shared" si="2"/>
        <v>0.153</v>
      </c>
      <c r="AA24" s="181"/>
      <c r="AB24" s="182"/>
      <c r="AC24" s="54"/>
      <c r="AD24" s="55"/>
      <c r="AE24" s="56"/>
      <c r="AF24" s="54"/>
      <c r="AG24" s="55"/>
      <c r="AH24" s="57"/>
    </row>
    <row r="25" spans="1:34" ht="15.75" x14ac:dyDescent="0.25">
      <c r="A25" s="185"/>
      <c r="B25" s="186"/>
      <c r="C25" s="184"/>
      <c r="D25" s="216" t="s">
        <v>674</v>
      </c>
      <c r="E25" s="217"/>
      <c r="F25" s="217"/>
      <c r="G25" s="217"/>
      <c r="H25" s="217"/>
      <c r="I25" s="217"/>
      <c r="J25" s="66"/>
      <c r="K25" s="183">
        <v>0.15</v>
      </c>
      <c r="L25" s="184"/>
      <c r="M25" s="183"/>
      <c r="N25" s="184"/>
      <c r="O25" s="183">
        <v>0.3</v>
      </c>
      <c r="P25" s="184"/>
      <c r="Q25" s="183"/>
      <c r="R25" s="184"/>
      <c r="S25" s="183">
        <f>3.4+1.5</f>
        <v>4.9000000000000004</v>
      </c>
      <c r="T25" s="184"/>
      <c r="U25" s="183"/>
      <c r="V25" s="184"/>
      <c r="W25" s="180">
        <f t="shared" si="1"/>
        <v>4.4999999999999998E-2</v>
      </c>
      <c r="X25" s="181"/>
      <c r="Y25" s="182"/>
      <c r="Z25" s="180">
        <f t="shared" si="2"/>
        <v>0.2205</v>
      </c>
      <c r="AA25" s="181"/>
      <c r="AB25" s="182"/>
      <c r="AC25" s="54"/>
      <c r="AD25" s="55"/>
      <c r="AE25" s="56"/>
      <c r="AF25" s="54"/>
      <c r="AG25" s="55"/>
      <c r="AH25" s="57"/>
    </row>
    <row r="26" spans="1:34" ht="15.75" x14ac:dyDescent="0.25">
      <c r="A26" s="185"/>
      <c r="B26" s="186"/>
      <c r="C26" s="184"/>
      <c r="D26" s="216" t="s">
        <v>675</v>
      </c>
      <c r="E26" s="217"/>
      <c r="F26" s="217"/>
      <c r="G26" s="217"/>
      <c r="H26" s="217"/>
      <c r="I26" s="217"/>
      <c r="J26" s="66"/>
      <c r="K26" s="183">
        <v>0.15</v>
      </c>
      <c r="L26" s="184"/>
      <c r="M26" s="183"/>
      <c r="N26" s="184"/>
      <c r="O26" s="183">
        <v>0.3</v>
      </c>
      <c r="P26" s="184"/>
      <c r="Q26" s="183"/>
      <c r="R26" s="184"/>
      <c r="S26" s="183">
        <f>3.4+1.5</f>
        <v>4.9000000000000004</v>
      </c>
      <c r="T26" s="184"/>
      <c r="U26" s="183"/>
      <c r="V26" s="184"/>
      <c r="W26" s="180">
        <f t="shared" si="1"/>
        <v>4.4999999999999998E-2</v>
      </c>
      <c r="X26" s="181"/>
      <c r="Y26" s="182"/>
      <c r="Z26" s="180">
        <f t="shared" si="2"/>
        <v>0.2205</v>
      </c>
      <c r="AA26" s="181"/>
      <c r="AB26" s="182"/>
      <c r="AC26" s="54"/>
      <c r="AD26" s="55"/>
      <c r="AE26" s="56"/>
      <c r="AF26" s="54"/>
      <c r="AG26" s="55"/>
      <c r="AH26" s="57"/>
    </row>
    <row r="27" spans="1:34" ht="15.75" x14ac:dyDescent="0.25">
      <c r="A27" s="185"/>
      <c r="B27" s="186"/>
      <c r="C27" s="184"/>
      <c r="D27" s="216" t="s">
        <v>676</v>
      </c>
      <c r="E27" s="217"/>
      <c r="F27" s="217"/>
      <c r="G27" s="217"/>
      <c r="H27" s="217"/>
      <c r="I27" s="217"/>
      <c r="J27" s="66"/>
      <c r="K27" s="183">
        <v>0.15</v>
      </c>
      <c r="L27" s="184"/>
      <c r="M27" s="183"/>
      <c r="N27" s="184"/>
      <c r="O27" s="183">
        <v>0.3</v>
      </c>
      <c r="P27" s="184"/>
      <c r="Q27" s="183"/>
      <c r="R27" s="184"/>
      <c r="S27" s="183">
        <v>3.4</v>
      </c>
      <c r="T27" s="184"/>
      <c r="U27" s="183"/>
      <c r="V27" s="184"/>
      <c r="W27" s="180">
        <f t="shared" si="1"/>
        <v>4.4999999999999998E-2</v>
      </c>
      <c r="X27" s="181"/>
      <c r="Y27" s="182"/>
      <c r="Z27" s="180">
        <f t="shared" si="2"/>
        <v>0.153</v>
      </c>
      <c r="AA27" s="181"/>
      <c r="AB27" s="182"/>
      <c r="AC27" s="54"/>
      <c r="AD27" s="55"/>
      <c r="AE27" s="56"/>
      <c r="AF27" s="54"/>
      <c r="AG27" s="55"/>
      <c r="AH27" s="57"/>
    </row>
    <row r="28" spans="1:34" ht="15.75" x14ac:dyDescent="0.25">
      <c r="A28" s="185"/>
      <c r="B28" s="186"/>
      <c r="C28" s="184"/>
      <c r="D28" s="216" t="s">
        <v>677</v>
      </c>
      <c r="E28" s="217"/>
      <c r="F28" s="217"/>
      <c r="G28" s="217"/>
      <c r="H28" s="217"/>
      <c r="I28" s="217"/>
      <c r="J28" s="66"/>
      <c r="K28" s="183">
        <v>0.15</v>
      </c>
      <c r="L28" s="184"/>
      <c r="M28" s="183"/>
      <c r="N28" s="184"/>
      <c r="O28" s="183">
        <v>0.3</v>
      </c>
      <c r="P28" s="184"/>
      <c r="Q28" s="183"/>
      <c r="R28" s="184"/>
      <c r="S28" s="183">
        <v>3.4</v>
      </c>
      <c r="T28" s="184"/>
      <c r="U28" s="183"/>
      <c r="V28" s="184"/>
      <c r="W28" s="180">
        <f t="shared" si="1"/>
        <v>4.4999999999999998E-2</v>
      </c>
      <c r="X28" s="181"/>
      <c r="Y28" s="182"/>
      <c r="Z28" s="180">
        <f t="shared" si="2"/>
        <v>0.153</v>
      </c>
      <c r="AA28" s="181"/>
      <c r="AB28" s="182"/>
      <c r="AC28" s="54"/>
      <c r="AD28" s="55"/>
      <c r="AE28" s="56"/>
      <c r="AF28" s="54"/>
      <c r="AG28" s="55"/>
      <c r="AH28" s="57"/>
    </row>
    <row r="29" spans="1:34" ht="15.75" x14ac:dyDescent="0.25">
      <c r="A29" s="185"/>
      <c r="B29" s="186"/>
      <c r="C29" s="184"/>
      <c r="D29" s="211" t="s">
        <v>678</v>
      </c>
      <c r="E29" s="212"/>
      <c r="F29" s="212"/>
      <c r="G29" s="212"/>
      <c r="H29" s="212"/>
      <c r="I29" s="213"/>
      <c r="J29" s="66"/>
      <c r="K29" s="183">
        <v>0.15</v>
      </c>
      <c r="L29" s="184"/>
      <c r="M29" s="183"/>
      <c r="N29" s="184"/>
      <c r="O29" s="183">
        <v>0.3</v>
      </c>
      <c r="P29" s="184"/>
      <c r="Q29" s="183"/>
      <c r="R29" s="184"/>
      <c r="S29" s="183">
        <v>3.4</v>
      </c>
      <c r="T29" s="184"/>
      <c r="U29" s="183"/>
      <c r="V29" s="184"/>
      <c r="W29" s="180">
        <f t="shared" si="1"/>
        <v>4.4999999999999998E-2</v>
      </c>
      <c r="X29" s="181"/>
      <c r="Y29" s="182"/>
      <c r="Z29" s="180">
        <f t="shared" si="2"/>
        <v>0.153</v>
      </c>
      <c r="AA29" s="181"/>
      <c r="AB29" s="182"/>
      <c r="AC29" s="54"/>
      <c r="AD29" s="55"/>
      <c r="AE29" s="56"/>
      <c r="AF29" s="54"/>
      <c r="AG29" s="55"/>
      <c r="AH29" s="57"/>
    </row>
    <row r="30" spans="1:34" ht="15.75" x14ac:dyDescent="0.25">
      <c r="A30" s="185"/>
      <c r="B30" s="186"/>
      <c r="C30" s="184"/>
      <c r="D30" s="211" t="s">
        <v>680</v>
      </c>
      <c r="E30" s="212"/>
      <c r="F30" s="212"/>
      <c r="G30" s="212"/>
      <c r="H30" s="212"/>
      <c r="I30" s="213"/>
      <c r="J30" s="66"/>
      <c r="K30" s="183">
        <v>0.15</v>
      </c>
      <c r="L30" s="184"/>
      <c r="M30" s="183"/>
      <c r="N30" s="184"/>
      <c r="O30" s="183">
        <v>0.3</v>
      </c>
      <c r="P30" s="184"/>
      <c r="Q30" s="183"/>
      <c r="R30" s="184"/>
      <c r="S30" s="183">
        <v>3.4</v>
      </c>
      <c r="T30" s="184"/>
      <c r="U30" s="183"/>
      <c r="V30" s="184"/>
      <c r="W30" s="180">
        <f t="shared" si="1"/>
        <v>4.4999999999999998E-2</v>
      </c>
      <c r="X30" s="181"/>
      <c r="Y30" s="182"/>
      <c r="Z30" s="180">
        <f t="shared" si="2"/>
        <v>0.153</v>
      </c>
      <c r="AA30" s="181"/>
      <c r="AB30" s="182"/>
      <c r="AC30" s="54"/>
      <c r="AD30" s="55"/>
      <c r="AE30" s="56"/>
      <c r="AF30" s="54"/>
      <c r="AG30" s="55"/>
      <c r="AH30" s="57"/>
    </row>
    <row r="31" spans="1:34" ht="15.75" x14ac:dyDescent="0.25">
      <c r="A31" s="185"/>
      <c r="B31" s="186"/>
      <c r="C31" s="184"/>
      <c r="D31" s="211" t="s">
        <v>681</v>
      </c>
      <c r="E31" s="212"/>
      <c r="F31" s="212"/>
      <c r="G31" s="212"/>
      <c r="H31" s="212"/>
      <c r="I31" s="213"/>
      <c r="J31" s="66"/>
      <c r="K31" s="183">
        <v>0.15</v>
      </c>
      <c r="L31" s="184"/>
      <c r="M31" s="183"/>
      <c r="N31" s="184"/>
      <c r="O31" s="183">
        <v>0.3</v>
      </c>
      <c r="P31" s="184"/>
      <c r="Q31" s="183"/>
      <c r="R31" s="184"/>
      <c r="S31" s="183">
        <f>3.4+1.5</f>
        <v>4.9000000000000004</v>
      </c>
      <c r="T31" s="184"/>
      <c r="U31" s="183"/>
      <c r="V31" s="184"/>
      <c r="W31" s="180">
        <f t="shared" si="1"/>
        <v>4.4999999999999998E-2</v>
      </c>
      <c r="X31" s="181"/>
      <c r="Y31" s="182"/>
      <c r="Z31" s="180">
        <f t="shared" si="2"/>
        <v>0.2205</v>
      </c>
      <c r="AA31" s="181"/>
      <c r="AB31" s="182"/>
      <c r="AC31" s="54"/>
      <c r="AD31" s="55"/>
      <c r="AE31" s="56"/>
      <c r="AF31" s="54"/>
      <c r="AG31" s="55"/>
      <c r="AH31" s="57"/>
    </row>
    <row r="32" spans="1:34" ht="15.75" x14ac:dyDescent="0.25">
      <c r="A32" s="185"/>
      <c r="B32" s="186"/>
      <c r="C32" s="184"/>
      <c r="D32" s="211" t="s">
        <v>682</v>
      </c>
      <c r="E32" s="212"/>
      <c r="F32" s="212"/>
      <c r="G32" s="212"/>
      <c r="H32" s="212"/>
      <c r="I32" s="213"/>
      <c r="J32" s="66"/>
      <c r="K32" s="183">
        <v>0.15</v>
      </c>
      <c r="L32" s="184"/>
      <c r="M32" s="183"/>
      <c r="N32" s="184"/>
      <c r="O32" s="183">
        <v>0.3</v>
      </c>
      <c r="P32" s="184"/>
      <c r="Q32" s="183"/>
      <c r="R32" s="184"/>
      <c r="S32" s="183">
        <v>3.4</v>
      </c>
      <c r="T32" s="184"/>
      <c r="U32" s="183"/>
      <c r="V32" s="184"/>
      <c r="W32" s="180">
        <f t="shared" si="1"/>
        <v>4.4999999999999998E-2</v>
      </c>
      <c r="X32" s="181"/>
      <c r="Y32" s="182"/>
      <c r="Z32" s="180">
        <f t="shared" si="2"/>
        <v>0.153</v>
      </c>
      <c r="AA32" s="181"/>
      <c r="AB32" s="182"/>
      <c r="AC32" s="54"/>
      <c r="AD32" s="55"/>
      <c r="AE32" s="56"/>
      <c r="AF32" s="54"/>
      <c r="AG32" s="55"/>
      <c r="AH32" s="57"/>
    </row>
    <row r="33" spans="1:34" ht="15.75" x14ac:dyDescent="0.25">
      <c r="A33" s="185"/>
      <c r="B33" s="186"/>
      <c r="C33" s="184"/>
      <c r="D33" s="211" t="s">
        <v>683</v>
      </c>
      <c r="E33" s="212"/>
      <c r="F33" s="212"/>
      <c r="G33" s="212"/>
      <c r="H33" s="212"/>
      <c r="I33" s="213"/>
      <c r="J33" s="66"/>
      <c r="K33" s="183">
        <v>0.15</v>
      </c>
      <c r="L33" s="184"/>
      <c r="M33" s="183"/>
      <c r="N33" s="184"/>
      <c r="O33" s="183">
        <v>0.3</v>
      </c>
      <c r="P33" s="184"/>
      <c r="Q33" s="183"/>
      <c r="R33" s="184"/>
      <c r="S33" s="183">
        <f>3.4+1.5</f>
        <v>4.9000000000000004</v>
      </c>
      <c r="T33" s="184"/>
      <c r="U33" s="183"/>
      <c r="V33" s="184"/>
      <c r="W33" s="180">
        <f t="shared" si="1"/>
        <v>4.4999999999999998E-2</v>
      </c>
      <c r="X33" s="181"/>
      <c r="Y33" s="182"/>
      <c r="Z33" s="180">
        <f t="shared" si="2"/>
        <v>0.2205</v>
      </c>
      <c r="AA33" s="181"/>
      <c r="AB33" s="182"/>
      <c r="AC33" s="54"/>
      <c r="AD33" s="55"/>
      <c r="AE33" s="56"/>
      <c r="AF33" s="54"/>
      <c r="AG33" s="55"/>
      <c r="AH33" s="57"/>
    </row>
    <row r="34" spans="1:34" ht="15.75" x14ac:dyDescent="0.25">
      <c r="A34" s="185"/>
      <c r="B34" s="186"/>
      <c r="C34" s="184"/>
      <c r="D34" s="211" t="s">
        <v>679</v>
      </c>
      <c r="E34" s="212"/>
      <c r="F34" s="212"/>
      <c r="G34" s="212"/>
      <c r="H34" s="212"/>
      <c r="I34" s="213"/>
      <c r="J34" s="66"/>
      <c r="K34" s="183">
        <v>0.15</v>
      </c>
      <c r="L34" s="184"/>
      <c r="M34" s="183"/>
      <c r="N34" s="184"/>
      <c r="O34" s="183">
        <v>0.3</v>
      </c>
      <c r="P34" s="184"/>
      <c r="Q34" s="183"/>
      <c r="R34" s="184"/>
      <c r="S34" s="183">
        <v>3.4</v>
      </c>
      <c r="T34" s="184"/>
      <c r="U34" s="183"/>
      <c r="V34" s="184"/>
      <c r="W34" s="180">
        <f t="shared" si="1"/>
        <v>4.4999999999999998E-2</v>
      </c>
      <c r="X34" s="181"/>
      <c r="Y34" s="182"/>
      <c r="Z34" s="180">
        <f t="shared" si="2"/>
        <v>0.153</v>
      </c>
      <c r="AA34" s="181"/>
      <c r="AB34" s="182"/>
      <c r="AC34" s="54"/>
      <c r="AD34" s="55"/>
      <c r="AE34" s="56"/>
      <c r="AF34" s="54"/>
      <c r="AG34" s="55"/>
      <c r="AH34" s="57"/>
    </row>
    <row r="35" spans="1:34" ht="15.75" x14ac:dyDescent="0.25">
      <c r="A35" s="185"/>
      <c r="B35" s="186"/>
      <c r="C35" s="184"/>
      <c r="D35" s="211" t="s">
        <v>684</v>
      </c>
      <c r="E35" s="212"/>
      <c r="F35" s="212"/>
      <c r="G35" s="212"/>
      <c r="H35" s="212"/>
      <c r="I35" s="213"/>
      <c r="J35" s="66"/>
      <c r="K35" s="183">
        <v>0.15</v>
      </c>
      <c r="L35" s="184"/>
      <c r="M35" s="183"/>
      <c r="N35" s="184"/>
      <c r="O35" s="183">
        <v>0.3</v>
      </c>
      <c r="P35" s="184"/>
      <c r="Q35" s="183"/>
      <c r="R35" s="184"/>
      <c r="S35" s="183">
        <f>3.4+1.5</f>
        <v>4.9000000000000004</v>
      </c>
      <c r="T35" s="184"/>
      <c r="U35" s="183"/>
      <c r="V35" s="184"/>
      <c r="W35" s="180">
        <f t="shared" si="1"/>
        <v>4.4999999999999998E-2</v>
      </c>
      <c r="X35" s="181"/>
      <c r="Y35" s="182"/>
      <c r="Z35" s="180">
        <f t="shared" si="2"/>
        <v>0.2205</v>
      </c>
      <c r="AA35" s="181"/>
      <c r="AB35" s="182"/>
      <c r="AC35" s="54"/>
      <c r="AD35" s="55"/>
      <c r="AE35" s="56"/>
      <c r="AF35" s="54"/>
      <c r="AG35" s="55"/>
      <c r="AH35" s="57"/>
    </row>
    <row r="36" spans="1:34" ht="15.75" x14ac:dyDescent="0.25">
      <c r="A36" s="185"/>
      <c r="B36" s="186"/>
      <c r="C36" s="184"/>
      <c r="D36" s="211" t="s">
        <v>685</v>
      </c>
      <c r="E36" s="212"/>
      <c r="F36" s="212"/>
      <c r="G36" s="212"/>
      <c r="H36" s="212"/>
      <c r="I36" s="213"/>
      <c r="J36" s="66"/>
      <c r="K36" s="183">
        <v>0.15</v>
      </c>
      <c r="L36" s="184"/>
      <c r="M36" s="183"/>
      <c r="N36" s="184"/>
      <c r="O36" s="183">
        <v>0.4</v>
      </c>
      <c r="P36" s="184"/>
      <c r="Q36" s="183"/>
      <c r="R36" s="184"/>
      <c r="S36" s="183">
        <f>3.4+1.5</f>
        <v>4.9000000000000004</v>
      </c>
      <c r="T36" s="184"/>
      <c r="U36" s="183"/>
      <c r="V36" s="184"/>
      <c r="W36" s="180">
        <f t="shared" si="1"/>
        <v>0.06</v>
      </c>
      <c r="X36" s="181"/>
      <c r="Y36" s="182"/>
      <c r="Z36" s="180">
        <f t="shared" si="2"/>
        <v>0.29399999999999998</v>
      </c>
      <c r="AA36" s="181"/>
      <c r="AB36" s="182"/>
      <c r="AC36" s="54"/>
      <c r="AD36" s="55"/>
      <c r="AE36" s="56"/>
      <c r="AF36" s="54"/>
      <c r="AG36" s="55"/>
      <c r="AH36" s="57"/>
    </row>
    <row r="37" spans="1:34" ht="15.75" x14ac:dyDescent="0.25">
      <c r="A37" s="185"/>
      <c r="B37" s="186"/>
      <c r="C37" s="184"/>
      <c r="D37" s="211" t="s">
        <v>686</v>
      </c>
      <c r="E37" s="212"/>
      <c r="F37" s="212"/>
      <c r="G37" s="212"/>
      <c r="H37" s="212"/>
      <c r="I37" s="213"/>
      <c r="J37" s="66"/>
      <c r="K37" s="183">
        <v>0.2</v>
      </c>
      <c r="L37" s="184"/>
      <c r="M37" s="183"/>
      <c r="N37" s="184"/>
      <c r="O37" s="183">
        <v>0.4</v>
      </c>
      <c r="P37" s="184"/>
      <c r="Q37" s="183"/>
      <c r="R37" s="184"/>
      <c r="S37" s="183">
        <v>3.4</v>
      </c>
      <c r="T37" s="184"/>
      <c r="U37" s="183"/>
      <c r="V37" s="184"/>
      <c r="W37" s="180">
        <f t="shared" si="1"/>
        <v>8.0000000000000016E-2</v>
      </c>
      <c r="X37" s="181"/>
      <c r="Y37" s="182"/>
      <c r="Z37" s="180">
        <f t="shared" si="2"/>
        <v>0.27200000000000002</v>
      </c>
      <c r="AA37" s="181"/>
      <c r="AB37" s="182"/>
      <c r="AC37" s="54"/>
      <c r="AD37" s="55"/>
      <c r="AE37" s="56"/>
      <c r="AF37" s="54"/>
      <c r="AG37" s="55"/>
      <c r="AH37" s="57"/>
    </row>
    <row r="38" spans="1:34" ht="15.75" x14ac:dyDescent="0.25">
      <c r="A38" s="185"/>
      <c r="B38" s="186"/>
      <c r="C38" s="184"/>
      <c r="D38" s="211" t="s">
        <v>687</v>
      </c>
      <c r="E38" s="212"/>
      <c r="F38" s="212"/>
      <c r="G38" s="212"/>
      <c r="H38" s="212"/>
      <c r="I38" s="213"/>
      <c r="J38" s="66"/>
      <c r="K38" s="183">
        <v>0.15</v>
      </c>
      <c r="L38" s="184"/>
      <c r="M38" s="183"/>
      <c r="N38" s="184"/>
      <c r="O38" s="183">
        <v>0.3</v>
      </c>
      <c r="P38" s="184"/>
      <c r="Q38" s="183"/>
      <c r="R38" s="184"/>
      <c r="S38" s="183">
        <f t="shared" ref="S38:S54" si="3">3.4+1.5</f>
        <v>4.9000000000000004</v>
      </c>
      <c r="T38" s="184"/>
      <c r="U38" s="183"/>
      <c r="V38" s="184"/>
      <c r="W38" s="180">
        <f t="shared" si="1"/>
        <v>4.4999999999999998E-2</v>
      </c>
      <c r="X38" s="181"/>
      <c r="Y38" s="182"/>
      <c r="Z38" s="180">
        <f t="shared" si="2"/>
        <v>0.2205</v>
      </c>
      <c r="AA38" s="181"/>
      <c r="AB38" s="182"/>
      <c r="AC38" s="54"/>
      <c r="AD38" s="55"/>
      <c r="AE38" s="56"/>
      <c r="AF38" s="54"/>
      <c r="AG38" s="55"/>
      <c r="AH38" s="57"/>
    </row>
    <row r="39" spans="1:34" ht="15.75" x14ac:dyDescent="0.25">
      <c r="A39" s="185"/>
      <c r="B39" s="186"/>
      <c r="C39" s="184"/>
      <c r="D39" s="211" t="s">
        <v>688</v>
      </c>
      <c r="E39" s="212"/>
      <c r="F39" s="212"/>
      <c r="G39" s="212"/>
      <c r="H39" s="212"/>
      <c r="I39" s="213"/>
      <c r="J39" s="66"/>
      <c r="K39" s="183">
        <v>0.15</v>
      </c>
      <c r="L39" s="184"/>
      <c r="M39" s="183"/>
      <c r="N39" s="184"/>
      <c r="O39" s="183">
        <v>0.3</v>
      </c>
      <c r="P39" s="184"/>
      <c r="Q39" s="183"/>
      <c r="R39" s="184"/>
      <c r="S39" s="183">
        <f t="shared" si="3"/>
        <v>4.9000000000000004</v>
      </c>
      <c r="T39" s="184"/>
      <c r="U39" s="183"/>
      <c r="V39" s="184"/>
      <c r="W39" s="180">
        <f t="shared" si="1"/>
        <v>4.4999999999999998E-2</v>
      </c>
      <c r="X39" s="181"/>
      <c r="Y39" s="182"/>
      <c r="Z39" s="180">
        <f t="shared" si="2"/>
        <v>0.2205</v>
      </c>
      <c r="AA39" s="181"/>
      <c r="AB39" s="182"/>
      <c r="AC39" s="54"/>
      <c r="AD39" s="55"/>
      <c r="AE39" s="56"/>
      <c r="AF39" s="54"/>
      <c r="AG39" s="55"/>
      <c r="AH39" s="57"/>
    </row>
    <row r="40" spans="1:34" ht="15.75" x14ac:dyDescent="0.25">
      <c r="A40" s="185"/>
      <c r="B40" s="186"/>
      <c r="C40" s="184"/>
      <c r="D40" s="211" t="s">
        <v>689</v>
      </c>
      <c r="E40" s="212"/>
      <c r="F40" s="212"/>
      <c r="G40" s="212"/>
      <c r="H40" s="212"/>
      <c r="I40" s="213"/>
      <c r="J40" s="66"/>
      <c r="K40" s="183">
        <v>0.15</v>
      </c>
      <c r="L40" s="184"/>
      <c r="M40" s="183"/>
      <c r="N40" s="184"/>
      <c r="O40" s="183">
        <v>0.3</v>
      </c>
      <c r="P40" s="184"/>
      <c r="Q40" s="183"/>
      <c r="R40" s="184"/>
      <c r="S40" s="183">
        <f t="shared" si="3"/>
        <v>4.9000000000000004</v>
      </c>
      <c r="T40" s="184"/>
      <c r="U40" s="183"/>
      <c r="V40" s="184"/>
      <c r="W40" s="180">
        <f t="shared" si="1"/>
        <v>4.4999999999999998E-2</v>
      </c>
      <c r="X40" s="181"/>
      <c r="Y40" s="182"/>
      <c r="Z40" s="180">
        <f t="shared" si="2"/>
        <v>0.2205</v>
      </c>
      <c r="AA40" s="181"/>
      <c r="AB40" s="182"/>
      <c r="AC40" s="54"/>
      <c r="AD40" s="55"/>
      <c r="AE40" s="56"/>
      <c r="AF40" s="54"/>
      <c r="AG40" s="55"/>
      <c r="AH40" s="57"/>
    </row>
    <row r="41" spans="1:34" ht="15.75" x14ac:dyDescent="0.25">
      <c r="A41" s="185"/>
      <c r="B41" s="186"/>
      <c r="C41" s="184"/>
      <c r="D41" s="211" t="s">
        <v>690</v>
      </c>
      <c r="E41" s="212"/>
      <c r="F41" s="212"/>
      <c r="G41" s="212"/>
      <c r="H41" s="212"/>
      <c r="I41" s="213"/>
      <c r="J41" s="66"/>
      <c r="K41" s="183">
        <v>0.15</v>
      </c>
      <c r="L41" s="184"/>
      <c r="M41" s="183"/>
      <c r="N41" s="184"/>
      <c r="O41" s="183">
        <v>0.3</v>
      </c>
      <c r="P41" s="184"/>
      <c r="Q41" s="183"/>
      <c r="R41" s="184"/>
      <c r="S41" s="183">
        <f t="shared" si="3"/>
        <v>4.9000000000000004</v>
      </c>
      <c r="T41" s="184"/>
      <c r="U41" s="183"/>
      <c r="V41" s="184"/>
      <c r="W41" s="180">
        <f t="shared" ref="W41:W55" si="4">K41*O41</f>
        <v>4.4999999999999998E-2</v>
      </c>
      <c r="X41" s="181"/>
      <c r="Y41" s="182"/>
      <c r="Z41" s="180">
        <f t="shared" ref="Z41:Z55" si="5">W41*S41</f>
        <v>0.2205</v>
      </c>
      <c r="AA41" s="181"/>
      <c r="AB41" s="182"/>
      <c r="AC41" s="54"/>
      <c r="AD41" s="55"/>
      <c r="AE41" s="56"/>
      <c r="AF41" s="54"/>
      <c r="AG41" s="55"/>
      <c r="AH41" s="57"/>
    </row>
    <row r="42" spans="1:34" ht="15.75" x14ac:dyDescent="0.25">
      <c r="A42" s="185"/>
      <c r="B42" s="186"/>
      <c r="C42" s="184"/>
      <c r="D42" s="211" t="s">
        <v>691</v>
      </c>
      <c r="E42" s="212"/>
      <c r="F42" s="212"/>
      <c r="G42" s="212"/>
      <c r="H42" s="212"/>
      <c r="I42" s="213"/>
      <c r="J42" s="66"/>
      <c r="K42" s="183">
        <v>0.15</v>
      </c>
      <c r="L42" s="184"/>
      <c r="M42" s="183"/>
      <c r="N42" s="184"/>
      <c r="O42" s="183">
        <v>0.3</v>
      </c>
      <c r="P42" s="184"/>
      <c r="Q42" s="183"/>
      <c r="R42" s="184"/>
      <c r="S42" s="183">
        <f t="shared" si="3"/>
        <v>4.9000000000000004</v>
      </c>
      <c r="T42" s="184"/>
      <c r="U42" s="183"/>
      <c r="V42" s="184"/>
      <c r="W42" s="180">
        <f t="shared" si="4"/>
        <v>4.4999999999999998E-2</v>
      </c>
      <c r="X42" s="181"/>
      <c r="Y42" s="182"/>
      <c r="Z42" s="180">
        <f t="shared" si="5"/>
        <v>0.2205</v>
      </c>
      <c r="AA42" s="181"/>
      <c r="AB42" s="182"/>
      <c r="AC42" s="54"/>
      <c r="AD42" s="55"/>
      <c r="AE42" s="56"/>
      <c r="AF42" s="54"/>
      <c r="AG42" s="55"/>
      <c r="AH42" s="57"/>
    </row>
    <row r="43" spans="1:34" ht="15.75" x14ac:dyDescent="0.25">
      <c r="A43" s="185"/>
      <c r="B43" s="186"/>
      <c r="C43" s="184"/>
      <c r="D43" s="211" t="s">
        <v>692</v>
      </c>
      <c r="E43" s="212"/>
      <c r="F43" s="212"/>
      <c r="G43" s="212"/>
      <c r="H43" s="212"/>
      <c r="I43" s="213"/>
      <c r="J43" s="66"/>
      <c r="K43" s="183">
        <v>0.15</v>
      </c>
      <c r="L43" s="184"/>
      <c r="M43" s="183"/>
      <c r="N43" s="184"/>
      <c r="O43" s="183">
        <v>0.3</v>
      </c>
      <c r="P43" s="184"/>
      <c r="Q43" s="183"/>
      <c r="R43" s="184"/>
      <c r="S43" s="183">
        <f t="shared" si="3"/>
        <v>4.9000000000000004</v>
      </c>
      <c r="T43" s="184"/>
      <c r="U43" s="183"/>
      <c r="V43" s="184"/>
      <c r="W43" s="180">
        <f t="shared" si="4"/>
        <v>4.4999999999999998E-2</v>
      </c>
      <c r="X43" s="181"/>
      <c r="Y43" s="182"/>
      <c r="Z43" s="180">
        <f t="shared" si="5"/>
        <v>0.2205</v>
      </c>
      <c r="AA43" s="181"/>
      <c r="AB43" s="182"/>
      <c r="AC43" s="54"/>
      <c r="AD43" s="55"/>
      <c r="AE43" s="56"/>
      <c r="AF43" s="54"/>
      <c r="AG43" s="55"/>
      <c r="AH43" s="57"/>
    </row>
    <row r="44" spans="1:34" ht="15.75" x14ac:dyDescent="0.25">
      <c r="A44" s="185"/>
      <c r="B44" s="186"/>
      <c r="C44" s="184"/>
      <c r="D44" s="211" t="s">
        <v>693</v>
      </c>
      <c r="E44" s="212"/>
      <c r="F44" s="212"/>
      <c r="G44" s="212"/>
      <c r="H44" s="212"/>
      <c r="I44" s="213"/>
      <c r="J44" s="66"/>
      <c r="K44" s="183">
        <v>0.15</v>
      </c>
      <c r="L44" s="184"/>
      <c r="M44" s="183"/>
      <c r="N44" s="184"/>
      <c r="O44" s="183">
        <v>0.3</v>
      </c>
      <c r="P44" s="184"/>
      <c r="Q44" s="183"/>
      <c r="R44" s="184"/>
      <c r="S44" s="183">
        <f t="shared" si="3"/>
        <v>4.9000000000000004</v>
      </c>
      <c r="T44" s="184"/>
      <c r="U44" s="183"/>
      <c r="V44" s="184"/>
      <c r="W44" s="180">
        <f t="shared" si="4"/>
        <v>4.4999999999999998E-2</v>
      </c>
      <c r="X44" s="181"/>
      <c r="Y44" s="182"/>
      <c r="Z44" s="180">
        <f t="shared" si="5"/>
        <v>0.2205</v>
      </c>
      <c r="AA44" s="181"/>
      <c r="AB44" s="182"/>
      <c r="AC44" s="54"/>
      <c r="AD44" s="55"/>
      <c r="AE44" s="56"/>
      <c r="AF44" s="54"/>
      <c r="AG44" s="55"/>
      <c r="AH44" s="57"/>
    </row>
    <row r="45" spans="1:34" ht="15.75" x14ac:dyDescent="0.25">
      <c r="A45" s="185"/>
      <c r="B45" s="186"/>
      <c r="C45" s="184"/>
      <c r="D45" s="211" t="s">
        <v>694</v>
      </c>
      <c r="E45" s="212"/>
      <c r="F45" s="212"/>
      <c r="G45" s="212"/>
      <c r="H45" s="212"/>
      <c r="I45" s="213"/>
      <c r="J45" s="66"/>
      <c r="K45" s="183">
        <v>0.15</v>
      </c>
      <c r="L45" s="184"/>
      <c r="M45" s="183"/>
      <c r="N45" s="184"/>
      <c r="O45" s="183">
        <v>0.3</v>
      </c>
      <c r="P45" s="184"/>
      <c r="Q45" s="183"/>
      <c r="R45" s="184"/>
      <c r="S45" s="183">
        <f t="shared" si="3"/>
        <v>4.9000000000000004</v>
      </c>
      <c r="T45" s="184"/>
      <c r="U45" s="183"/>
      <c r="V45" s="184"/>
      <c r="W45" s="180">
        <f t="shared" si="4"/>
        <v>4.4999999999999998E-2</v>
      </c>
      <c r="X45" s="181"/>
      <c r="Y45" s="182"/>
      <c r="Z45" s="180">
        <f t="shared" si="5"/>
        <v>0.2205</v>
      </c>
      <c r="AA45" s="181"/>
      <c r="AB45" s="182"/>
      <c r="AC45" s="54"/>
      <c r="AD45" s="55"/>
      <c r="AE45" s="56"/>
      <c r="AF45" s="54"/>
      <c r="AG45" s="55"/>
      <c r="AH45" s="57"/>
    </row>
    <row r="46" spans="1:34" ht="15.75" x14ac:dyDescent="0.25">
      <c r="A46" s="185"/>
      <c r="B46" s="186"/>
      <c r="C46" s="184"/>
      <c r="D46" s="211" t="s">
        <v>695</v>
      </c>
      <c r="E46" s="212"/>
      <c r="F46" s="212"/>
      <c r="G46" s="212"/>
      <c r="H46" s="212"/>
      <c r="I46" s="213"/>
      <c r="J46" s="66"/>
      <c r="K46" s="183">
        <v>0.15</v>
      </c>
      <c r="L46" s="184"/>
      <c r="M46" s="183"/>
      <c r="N46" s="184"/>
      <c r="O46" s="183">
        <v>0.3</v>
      </c>
      <c r="P46" s="184"/>
      <c r="Q46" s="183"/>
      <c r="R46" s="184"/>
      <c r="S46" s="183">
        <f t="shared" si="3"/>
        <v>4.9000000000000004</v>
      </c>
      <c r="T46" s="184"/>
      <c r="U46" s="183"/>
      <c r="V46" s="184"/>
      <c r="W46" s="180">
        <f t="shared" si="4"/>
        <v>4.4999999999999998E-2</v>
      </c>
      <c r="X46" s="181"/>
      <c r="Y46" s="182"/>
      <c r="Z46" s="180">
        <f t="shared" si="5"/>
        <v>0.2205</v>
      </c>
      <c r="AA46" s="181"/>
      <c r="AB46" s="182"/>
      <c r="AC46" s="54"/>
      <c r="AD46" s="55"/>
      <c r="AE46" s="56"/>
      <c r="AF46" s="54"/>
      <c r="AG46" s="55"/>
      <c r="AH46" s="57"/>
    </row>
    <row r="47" spans="1:34" ht="15.75" x14ac:dyDescent="0.25">
      <c r="A47" s="185"/>
      <c r="B47" s="186"/>
      <c r="C47" s="184"/>
      <c r="D47" s="211" t="s">
        <v>696</v>
      </c>
      <c r="E47" s="212"/>
      <c r="F47" s="212"/>
      <c r="G47" s="212"/>
      <c r="H47" s="212"/>
      <c r="I47" s="213"/>
      <c r="J47" s="66"/>
      <c r="K47" s="183">
        <v>0.15</v>
      </c>
      <c r="L47" s="184"/>
      <c r="M47" s="183"/>
      <c r="N47" s="184"/>
      <c r="O47" s="183">
        <v>0.3</v>
      </c>
      <c r="P47" s="184"/>
      <c r="Q47" s="183"/>
      <c r="R47" s="184"/>
      <c r="S47" s="183">
        <f t="shared" si="3"/>
        <v>4.9000000000000004</v>
      </c>
      <c r="T47" s="184"/>
      <c r="U47" s="183"/>
      <c r="V47" s="184"/>
      <c r="W47" s="180">
        <f t="shared" si="4"/>
        <v>4.4999999999999998E-2</v>
      </c>
      <c r="X47" s="181"/>
      <c r="Y47" s="182"/>
      <c r="Z47" s="180">
        <f t="shared" si="5"/>
        <v>0.2205</v>
      </c>
      <c r="AA47" s="181"/>
      <c r="AB47" s="182"/>
      <c r="AC47" s="54"/>
      <c r="AD47" s="55"/>
      <c r="AE47" s="56"/>
      <c r="AF47" s="54"/>
      <c r="AG47" s="55"/>
      <c r="AH47" s="57"/>
    </row>
    <row r="48" spans="1:34" ht="15.75" x14ac:dyDescent="0.25">
      <c r="A48" s="185"/>
      <c r="B48" s="186"/>
      <c r="C48" s="184"/>
      <c r="D48" s="211" t="s">
        <v>697</v>
      </c>
      <c r="E48" s="212"/>
      <c r="F48" s="212"/>
      <c r="G48" s="212"/>
      <c r="H48" s="212"/>
      <c r="I48" s="213"/>
      <c r="J48" s="66"/>
      <c r="K48" s="183">
        <v>0.15</v>
      </c>
      <c r="L48" s="184"/>
      <c r="M48" s="183"/>
      <c r="N48" s="184"/>
      <c r="O48" s="183">
        <v>0.3</v>
      </c>
      <c r="P48" s="184"/>
      <c r="Q48" s="183"/>
      <c r="R48" s="184"/>
      <c r="S48" s="183">
        <f t="shared" si="3"/>
        <v>4.9000000000000004</v>
      </c>
      <c r="T48" s="184"/>
      <c r="U48" s="183"/>
      <c r="V48" s="184"/>
      <c r="W48" s="180">
        <f t="shared" si="4"/>
        <v>4.4999999999999998E-2</v>
      </c>
      <c r="X48" s="181"/>
      <c r="Y48" s="182"/>
      <c r="Z48" s="180">
        <f t="shared" si="5"/>
        <v>0.2205</v>
      </c>
      <c r="AA48" s="181"/>
      <c r="AB48" s="182"/>
      <c r="AC48" s="54"/>
      <c r="AD48" s="55"/>
      <c r="AE48" s="56"/>
      <c r="AF48" s="54"/>
      <c r="AG48" s="55"/>
      <c r="AH48" s="57"/>
    </row>
    <row r="49" spans="1:34" ht="15.75" x14ac:dyDescent="0.25">
      <c r="A49" s="185"/>
      <c r="B49" s="186"/>
      <c r="C49" s="184"/>
      <c r="D49" s="211" t="s">
        <v>698</v>
      </c>
      <c r="E49" s="212"/>
      <c r="F49" s="212"/>
      <c r="G49" s="212"/>
      <c r="H49" s="212"/>
      <c r="I49" s="213"/>
      <c r="J49" s="66"/>
      <c r="K49" s="183">
        <v>0.15</v>
      </c>
      <c r="L49" s="184"/>
      <c r="M49" s="183"/>
      <c r="N49" s="184"/>
      <c r="O49" s="183">
        <v>0.3</v>
      </c>
      <c r="P49" s="184"/>
      <c r="Q49" s="183"/>
      <c r="R49" s="184"/>
      <c r="S49" s="183">
        <f t="shared" si="3"/>
        <v>4.9000000000000004</v>
      </c>
      <c r="T49" s="184"/>
      <c r="U49" s="183"/>
      <c r="V49" s="184"/>
      <c r="W49" s="180">
        <f t="shared" si="4"/>
        <v>4.4999999999999998E-2</v>
      </c>
      <c r="X49" s="181"/>
      <c r="Y49" s="182"/>
      <c r="Z49" s="180">
        <f t="shared" si="5"/>
        <v>0.2205</v>
      </c>
      <c r="AA49" s="181"/>
      <c r="AB49" s="182"/>
      <c r="AC49" s="54"/>
      <c r="AD49" s="55"/>
      <c r="AE49" s="56"/>
      <c r="AF49" s="54"/>
      <c r="AG49" s="55"/>
      <c r="AH49" s="57"/>
    </row>
    <row r="50" spans="1:34" ht="15.75" x14ac:dyDescent="0.25">
      <c r="A50" s="185"/>
      <c r="B50" s="186"/>
      <c r="C50" s="184"/>
      <c r="D50" s="211" t="s">
        <v>699</v>
      </c>
      <c r="E50" s="212"/>
      <c r="F50" s="212"/>
      <c r="G50" s="212"/>
      <c r="H50" s="212"/>
      <c r="I50" s="213"/>
      <c r="J50" s="66"/>
      <c r="K50" s="183">
        <v>0.15</v>
      </c>
      <c r="L50" s="184"/>
      <c r="M50" s="183"/>
      <c r="N50" s="184"/>
      <c r="O50" s="183">
        <v>0.3</v>
      </c>
      <c r="P50" s="184"/>
      <c r="Q50" s="183"/>
      <c r="R50" s="184"/>
      <c r="S50" s="183">
        <f t="shared" si="3"/>
        <v>4.9000000000000004</v>
      </c>
      <c r="T50" s="184"/>
      <c r="U50" s="183"/>
      <c r="V50" s="184"/>
      <c r="W50" s="180">
        <f t="shared" si="4"/>
        <v>4.4999999999999998E-2</v>
      </c>
      <c r="X50" s="181"/>
      <c r="Y50" s="182"/>
      <c r="Z50" s="180">
        <f t="shared" si="5"/>
        <v>0.2205</v>
      </c>
      <c r="AA50" s="181"/>
      <c r="AB50" s="182"/>
      <c r="AC50" s="54"/>
      <c r="AD50" s="55"/>
      <c r="AE50" s="56"/>
      <c r="AF50" s="54"/>
      <c r="AG50" s="55"/>
      <c r="AH50" s="57"/>
    </row>
    <row r="51" spans="1:34" ht="15.75" x14ac:dyDescent="0.25">
      <c r="A51" s="185"/>
      <c r="B51" s="186"/>
      <c r="C51" s="184"/>
      <c r="D51" s="211" t="s">
        <v>700</v>
      </c>
      <c r="E51" s="212"/>
      <c r="F51" s="212"/>
      <c r="G51" s="212"/>
      <c r="H51" s="212"/>
      <c r="I51" s="213"/>
      <c r="J51" s="66"/>
      <c r="K51" s="183">
        <v>0.15</v>
      </c>
      <c r="L51" s="184"/>
      <c r="M51" s="183"/>
      <c r="N51" s="184"/>
      <c r="O51" s="183">
        <v>0.3</v>
      </c>
      <c r="P51" s="184"/>
      <c r="Q51" s="183"/>
      <c r="R51" s="184"/>
      <c r="S51" s="183">
        <f t="shared" si="3"/>
        <v>4.9000000000000004</v>
      </c>
      <c r="T51" s="184"/>
      <c r="U51" s="183"/>
      <c r="V51" s="184"/>
      <c r="W51" s="180">
        <f t="shared" si="4"/>
        <v>4.4999999999999998E-2</v>
      </c>
      <c r="X51" s="181"/>
      <c r="Y51" s="182"/>
      <c r="Z51" s="180">
        <f t="shared" si="5"/>
        <v>0.2205</v>
      </c>
      <c r="AA51" s="181"/>
      <c r="AB51" s="182"/>
      <c r="AC51" s="54"/>
      <c r="AD51" s="55"/>
      <c r="AE51" s="56"/>
      <c r="AF51" s="54"/>
      <c r="AG51" s="55"/>
      <c r="AH51" s="57"/>
    </row>
    <row r="52" spans="1:34" ht="15.75" x14ac:dyDescent="0.25">
      <c r="A52" s="185"/>
      <c r="B52" s="186"/>
      <c r="C52" s="184"/>
      <c r="D52" s="211" t="s">
        <v>701</v>
      </c>
      <c r="E52" s="212"/>
      <c r="F52" s="212"/>
      <c r="G52" s="212"/>
      <c r="H52" s="212"/>
      <c r="I52" s="213"/>
      <c r="J52" s="66"/>
      <c r="K52" s="183">
        <v>0.15</v>
      </c>
      <c r="L52" s="184"/>
      <c r="M52" s="183"/>
      <c r="N52" s="184"/>
      <c r="O52" s="183">
        <v>0.3</v>
      </c>
      <c r="P52" s="184"/>
      <c r="Q52" s="183"/>
      <c r="R52" s="184"/>
      <c r="S52" s="183">
        <f t="shared" si="3"/>
        <v>4.9000000000000004</v>
      </c>
      <c r="T52" s="184"/>
      <c r="U52" s="183"/>
      <c r="V52" s="184"/>
      <c r="W52" s="180">
        <f t="shared" si="4"/>
        <v>4.4999999999999998E-2</v>
      </c>
      <c r="X52" s="181"/>
      <c r="Y52" s="182"/>
      <c r="Z52" s="180">
        <f t="shared" si="5"/>
        <v>0.2205</v>
      </c>
      <c r="AA52" s="181"/>
      <c r="AB52" s="182"/>
      <c r="AC52" s="54"/>
      <c r="AD52" s="55"/>
      <c r="AE52" s="56"/>
      <c r="AF52" s="54"/>
      <c r="AG52" s="55"/>
      <c r="AH52" s="57"/>
    </row>
    <row r="53" spans="1:34" ht="15.75" x14ac:dyDescent="0.25">
      <c r="A53" s="185"/>
      <c r="B53" s="186"/>
      <c r="C53" s="184"/>
      <c r="D53" s="211" t="s">
        <v>702</v>
      </c>
      <c r="E53" s="212"/>
      <c r="F53" s="212"/>
      <c r="G53" s="212"/>
      <c r="H53" s="212"/>
      <c r="I53" s="213"/>
      <c r="J53" s="66"/>
      <c r="K53" s="183">
        <v>0.15</v>
      </c>
      <c r="L53" s="184"/>
      <c r="M53" s="183"/>
      <c r="N53" s="184"/>
      <c r="O53" s="183">
        <v>0.3</v>
      </c>
      <c r="P53" s="184"/>
      <c r="Q53" s="183"/>
      <c r="R53" s="184"/>
      <c r="S53" s="183">
        <f t="shared" si="3"/>
        <v>4.9000000000000004</v>
      </c>
      <c r="T53" s="184"/>
      <c r="U53" s="183"/>
      <c r="V53" s="184"/>
      <c r="W53" s="180">
        <f t="shared" si="4"/>
        <v>4.4999999999999998E-2</v>
      </c>
      <c r="X53" s="181"/>
      <c r="Y53" s="182"/>
      <c r="Z53" s="180">
        <f t="shared" si="5"/>
        <v>0.2205</v>
      </c>
      <c r="AA53" s="181"/>
      <c r="AB53" s="182"/>
      <c r="AC53" s="54"/>
      <c r="AD53" s="55"/>
      <c r="AE53" s="56"/>
      <c r="AF53" s="54"/>
      <c r="AG53" s="55"/>
      <c r="AH53" s="57"/>
    </row>
    <row r="54" spans="1:34" ht="15.75" x14ac:dyDescent="0.25">
      <c r="A54" s="185"/>
      <c r="B54" s="186"/>
      <c r="C54" s="184"/>
      <c r="D54" s="211" t="s">
        <v>703</v>
      </c>
      <c r="E54" s="212"/>
      <c r="F54" s="212"/>
      <c r="G54" s="212"/>
      <c r="H54" s="212"/>
      <c r="I54" s="213"/>
      <c r="J54" s="66"/>
      <c r="K54" s="183">
        <v>0.15</v>
      </c>
      <c r="L54" s="184"/>
      <c r="M54" s="183"/>
      <c r="N54" s="184"/>
      <c r="O54" s="183">
        <v>0.3</v>
      </c>
      <c r="P54" s="184"/>
      <c r="Q54" s="183"/>
      <c r="R54" s="184"/>
      <c r="S54" s="183">
        <f t="shared" si="3"/>
        <v>4.9000000000000004</v>
      </c>
      <c r="T54" s="184"/>
      <c r="U54" s="183"/>
      <c r="V54" s="184"/>
      <c r="W54" s="180">
        <f t="shared" si="4"/>
        <v>4.4999999999999998E-2</v>
      </c>
      <c r="X54" s="181"/>
      <c r="Y54" s="182"/>
      <c r="Z54" s="180">
        <f t="shared" si="5"/>
        <v>0.2205</v>
      </c>
      <c r="AA54" s="181"/>
      <c r="AB54" s="182"/>
      <c r="AC54" s="54"/>
      <c r="AD54" s="55"/>
      <c r="AE54" s="56"/>
      <c r="AF54" s="54"/>
      <c r="AG54" s="55"/>
      <c r="AH54" s="57"/>
    </row>
    <row r="55" spans="1:34" ht="15.75" x14ac:dyDescent="0.25">
      <c r="A55" s="185"/>
      <c r="B55" s="186"/>
      <c r="C55" s="184"/>
      <c r="D55" s="211" t="s">
        <v>704</v>
      </c>
      <c r="E55" s="212"/>
      <c r="F55" s="212"/>
      <c r="G55" s="212"/>
      <c r="H55" s="212"/>
      <c r="I55" s="213"/>
      <c r="J55" s="66"/>
      <c r="K55" s="183">
        <v>0.15</v>
      </c>
      <c r="L55" s="184"/>
      <c r="M55" s="183"/>
      <c r="N55" s="184"/>
      <c r="O55" s="183">
        <v>0.3</v>
      </c>
      <c r="P55" s="184"/>
      <c r="Q55" s="183"/>
      <c r="R55" s="184"/>
      <c r="S55" s="183">
        <v>3.4</v>
      </c>
      <c r="T55" s="184"/>
      <c r="U55" s="183"/>
      <c r="V55" s="184"/>
      <c r="W55" s="180">
        <f t="shared" si="4"/>
        <v>4.4999999999999998E-2</v>
      </c>
      <c r="X55" s="181"/>
      <c r="Y55" s="182"/>
      <c r="Z55" s="180">
        <f t="shared" si="5"/>
        <v>0.153</v>
      </c>
      <c r="AA55" s="181"/>
      <c r="AB55" s="182"/>
      <c r="AC55" s="54"/>
      <c r="AD55" s="55"/>
      <c r="AE55" s="56"/>
      <c r="AF55" s="54"/>
      <c r="AG55" s="55"/>
      <c r="AH55" s="57"/>
    </row>
    <row r="56" spans="1:34" ht="15.75" x14ac:dyDescent="0.25">
      <c r="A56" s="185"/>
      <c r="B56" s="186"/>
      <c r="C56" s="184"/>
      <c r="D56" s="211" t="s">
        <v>705</v>
      </c>
      <c r="E56" s="212"/>
      <c r="F56" s="212"/>
      <c r="G56" s="212"/>
      <c r="H56" s="212"/>
      <c r="I56" s="213"/>
      <c r="J56" s="66"/>
      <c r="K56" s="183">
        <v>0.15</v>
      </c>
      <c r="L56" s="184"/>
      <c r="M56" s="183"/>
      <c r="N56" s="184"/>
      <c r="O56" s="183">
        <v>0.3</v>
      </c>
      <c r="P56" s="184"/>
      <c r="Q56" s="183"/>
      <c r="R56" s="184"/>
      <c r="S56" s="183">
        <v>3.4</v>
      </c>
      <c r="T56" s="184"/>
      <c r="U56" s="183"/>
      <c r="V56" s="184"/>
      <c r="W56" s="180">
        <f t="shared" ref="W56:W69" si="6">K56*O56</f>
        <v>4.4999999999999998E-2</v>
      </c>
      <c r="X56" s="181"/>
      <c r="Y56" s="182"/>
      <c r="Z56" s="180">
        <f t="shared" ref="Z56:Z69" si="7">W56*S56</f>
        <v>0.153</v>
      </c>
      <c r="AA56" s="181"/>
      <c r="AB56" s="182"/>
      <c r="AC56" s="54"/>
      <c r="AD56" s="55"/>
      <c r="AE56" s="56"/>
      <c r="AF56" s="54"/>
      <c r="AG56" s="55"/>
      <c r="AH56" s="57"/>
    </row>
    <row r="57" spans="1:34" ht="15.75" x14ac:dyDescent="0.25">
      <c r="A57" s="185"/>
      <c r="B57" s="186"/>
      <c r="C57" s="184"/>
      <c r="D57" s="211" t="s">
        <v>706</v>
      </c>
      <c r="E57" s="212"/>
      <c r="F57" s="212"/>
      <c r="G57" s="212"/>
      <c r="H57" s="212"/>
      <c r="I57" s="213"/>
      <c r="J57" s="66"/>
      <c r="K57" s="183">
        <v>0.15</v>
      </c>
      <c r="L57" s="184"/>
      <c r="M57" s="183"/>
      <c r="N57" s="184"/>
      <c r="O57" s="183">
        <v>0.3</v>
      </c>
      <c r="P57" s="184"/>
      <c r="Q57" s="183"/>
      <c r="R57" s="184"/>
      <c r="S57" s="183">
        <v>3.4</v>
      </c>
      <c r="T57" s="184"/>
      <c r="U57" s="183"/>
      <c r="V57" s="184"/>
      <c r="W57" s="180">
        <f t="shared" si="6"/>
        <v>4.4999999999999998E-2</v>
      </c>
      <c r="X57" s="181"/>
      <c r="Y57" s="182"/>
      <c r="Z57" s="180">
        <f t="shared" si="7"/>
        <v>0.153</v>
      </c>
      <c r="AA57" s="181"/>
      <c r="AB57" s="182"/>
      <c r="AC57" s="54"/>
      <c r="AD57" s="55"/>
      <c r="AE57" s="56"/>
      <c r="AF57" s="54"/>
      <c r="AG57" s="55"/>
      <c r="AH57" s="57"/>
    </row>
    <row r="58" spans="1:34" ht="15.75" x14ac:dyDescent="0.25">
      <c r="A58" s="185"/>
      <c r="B58" s="186"/>
      <c r="C58" s="184"/>
      <c r="D58" s="211" t="s">
        <v>707</v>
      </c>
      <c r="E58" s="212"/>
      <c r="F58" s="212"/>
      <c r="G58" s="212"/>
      <c r="H58" s="212"/>
      <c r="I58" s="213"/>
      <c r="J58" s="66"/>
      <c r="K58" s="183">
        <v>0.15</v>
      </c>
      <c r="L58" s="184"/>
      <c r="M58" s="183"/>
      <c r="N58" s="184"/>
      <c r="O58" s="183">
        <v>0.3</v>
      </c>
      <c r="P58" s="184"/>
      <c r="Q58" s="183"/>
      <c r="R58" s="184"/>
      <c r="S58" s="183">
        <v>3.4</v>
      </c>
      <c r="T58" s="184"/>
      <c r="U58" s="183"/>
      <c r="V58" s="184"/>
      <c r="W58" s="180">
        <f t="shared" si="6"/>
        <v>4.4999999999999998E-2</v>
      </c>
      <c r="X58" s="181"/>
      <c r="Y58" s="182"/>
      <c r="Z58" s="180">
        <f t="shared" si="7"/>
        <v>0.153</v>
      </c>
      <c r="AA58" s="181"/>
      <c r="AB58" s="182"/>
      <c r="AC58" s="54"/>
      <c r="AD58" s="55"/>
      <c r="AE58" s="56"/>
      <c r="AF58" s="54"/>
      <c r="AG58" s="55"/>
      <c r="AH58" s="57"/>
    </row>
    <row r="59" spans="1:34" ht="15.75" x14ac:dyDescent="0.25">
      <c r="A59" s="185"/>
      <c r="B59" s="186"/>
      <c r="C59" s="184"/>
      <c r="D59" s="211" t="s">
        <v>708</v>
      </c>
      <c r="E59" s="212"/>
      <c r="F59" s="212"/>
      <c r="G59" s="212"/>
      <c r="H59" s="212"/>
      <c r="I59" s="213"/>
      <c r="J59" s="66"/>
      <c r="K59" s="183">
        <v>0.15</v>
      </c>
      <c r="L59" s="184"/>
      <c r="M59" s="183"/>
      <c r="N59" s="184"/>
      <c r="O59" s="183">
        <v>0.3</v>
      </c>
      <c r="P59" s="184"/>
      <c r="Q59" s="183"/>
      <c r="R59" s="184"/>
      <c r="S59" s="183">
        <v>3.4</v>
      </c>
      <c r="T59" s="184"/>
      <c r="U59" s="183"/>
      <c r="V59" s="184"/>
      <c r="W59" s="180">
        <f t="shared" si="6"/>
        <v>4.4999999999999998E-2</v>
      </c>
      <c r="X59" s="181"/>
      <c r="Y59" s="182"/>
      <c r="Z59" s="180">
        <f t="shared" si="7"/>
        <v>0.153</v>
      </c>
      <c r="AA59" s="181"/>
      <c r="AB59" s="182"/>
      <c r="AC59" s="54"/>
      <c r="AD59" s="55"/>
      <c r="AE59" s="56"/>
      <c r="AF59" s="54"/>
      <c r="AG59" s="55"/>
      <c r="AH59" s="57"/>
    </row>
    <row r="60" spans="1:34" ht="15.75" x14ac:dyDescent="0.25">
      <c r="A60" s="185"/>
      <c r="B60" s="186"/>
      <c r="C60" s="184"/>
      <c r="D60" s="211" t="s">
        <v>709</v>
      </c>
      <c r="E60" s="212"/>
      <c r="F60" s="212"/>
      <c r="G60" s="212"/>
      <c r="H60" s="212"/>
      <c r="I60" s="213"/>
      <c r="J60" s="66"/>
      <c r="K60" s="183">
        <v>0.25</v>
      </c>
      <c r="L60" s="184"/>
      <c r="M60" s="183"/>
      <c r="N60" s="184"/>
      <c r="O60" s="183">
        <v>0.3</v>
      </c>
      <c r="P60" s="184"/>
      <c r="Q60" s="183"/>
      <c r="R60" s="184"/>
      <c r="S60" s="183">
        <v>3.4</v>
      </c>
      <c r="T60" s="184"/>
      <c r="U60" s="183"/>
      <c r="V60" s="184"/>
      <c r="W60" s="180">
        <f t="shared" si="6"/>
        <v>7.4999999999999997E-2</v>
      </c>
      <c r="X60" s="181"/>
      <c r="Y60" s="182"/>
      <c r="Z60" s="180">
        <f t="shared" si="7"/>
        <v>0.255</v>
      </c>
      <c r="AA60" s="181"/>
      <c r="AB60" s="182"/>
      <c r="AC60" s="54"/>
      <c r="AD60" s="55"/>
      <c r="AE60" s="56"/>
      <c r="AF60" s="54"/>
      <c r="AG60" s="55"/>
      <c r="AH60" s="57"/>
    </row>
    <row r="61" spans="1:34" ht="15.75" x14ac:dyDescent="0.25">
      <c r="A61" s="185"/>
      <c r="B61" s="186"/>
      <c r="C61" s="184"/>
      <c r="D61" s="211" t="s">
        <v>710</v>
      </c>
      <c r="E61" s="212"/>
      <c r="F61" s="212"/>
      <c r="G61" s="212"/>
      <c r="H61" s="212"/>
      <c r="I61" s="213"/>
      <c r="J61" s="66"/>
      <c r="K61" s="183">
        <v>0.25</v>
      </c>
      <c r="L61" s="184"/>
      <c r="M61" s="183"/>
      <c r="N61" s="184"/>
      <c r="O61" s="183">
        <v>0.3</v>
      </c>
      <c r="P61" s="184"/>
      <c r="Q61" s="183"/>
      <c r="R61" s="184"/>
      <c r="S61" s="183">
        <f>3.4+1.5</f>
        <v>4.9000000000000004</v>
      </c>
      <c r="T61" s="184"/>
      <c r="U61" s="183"/>
      <c r="V61" s="184"/>
      <c r="W61" s="180">
        <f t="shared" si="6"/>
        <v>7.4999999999999997E-2</v>
      </c>
      <c r="X61" s="181"/>
      <c r="Y61" s="182"/>
      <c r="Z61" s="180">
        <f t="shared" si="7"/>
        <v>0.36749999999999999</v>
      </c>
      <c r="AA61" s="181"/>
      <c r="AB61" s="182"/>
      <c r="AC61" s="54"/>
      <c r="AD61" s="55"/>
      <c r="AE61" s="56"/>
      <c r="AF61" s="54"/>
      <c r="AG61" s="55"/>
      <c r="AH61" s="57"/>
    </row>
    <row r="62" spans="1:34" ht="15.75" x14ac:dyDescent="0.25">
      <c r="A62" s="185"/>
      <c r="B62" s="186"/>
      <c r="C62" s="184"/>
      <c r="D62" s="211" t="s">
        <v>711</v>
      </c>
      <c r="E62" s="212"/>
      <c r="F62" s="212"/>
      <c r="G62" s="212"/>
      <c r="H62" s="212"/>
      <c r="I62" s="213"/>
      <c r="J62" s="66"/>
      <c r="K62" s="183">
        <v>0.15</v>
      </c>
      <c r="L62" s="184"/>
      <c r="M62" s="183"/>
      <c r="N62" s="184"/>
      <c r="O62" s="183">
        <v>0.3</v>
      </c>
      <c r="P62" s="184"/>
      <c r="Q62" s="183"/>
      <c r="R62" s="184"/>
      <c r="S62" s="183">
        <f>3.4+1.5</f>
        <v>4.9000000000000004</v>
      </c>
      <c r="T62" s="184"/>
      <c r="U62" s="183"/>
      <c r="V62" s="184"/>
      <c r="W62" s="180">
        <f t="shared" si="6"/>
        <v>4.4999999999999998E-2</v>
      </c>
      <c r="X62" s="181"/>
      <c r="Y62" s="182"/>
      <c r="Z62" s="180">
        <f t="shared" si="7"/>
        <v>0.2205</v>
      </c>
      <c r="AA62" s="181"/>
      <c r="AB62" s="182"/>
      <c r="AC62" s="54"/>
      <c r="AD62" s="55"/>
      <c r="AE62" s="56"/>
      <c r="AF62" s="54"/>
      <c r="AG62" s="55"/>
      <c r="AH62" s="57"/>
    </row>
    <row r="63" spans="1:34" ht="15.75" x14ac:dyDescent="0.25">
      <c r="A63" s="185"/>
      <c r="B63" s="186"/>
      <c r="C63" s="184"/>
      <c r="D63" s="211" t="s">
        <v>712</v>
      </c>
      <c r="E63" s="212"/>
      <c r="F63" s="212"/>
      <c r="G63" s="212"/>
      <c r="H63" s="212"/>
      <c r="I63" s="213"/>
      <c r="J63" s="66"/>
      <c r="K63" s="183">
        <v>0.15</v>
      </c>
      <c r="L63" s="184"/>
      <c r="M63" s="183"/>
      <c r="N63" s="184"/>
      <c r="O63" s="183">
        <v>0.3</v>
      </c>
      <c r="P63" s="184"/>
      <c r="Q63" s="183"/>
      <c r="R63" s="184"/>
      <c r="S63" s="183">
        <f>3.4+1.5</f>
        <v>4.9000000000000004</v>
      </c>
      <c r="T63" s="184"/>
      <c r="U63" s="183"/>
      <c r="V63" s="184"/>
      <c r="W63" s="180">
        <f t="shared" si="6"/>
        <v>4.4999999999999998E-2</v>
      </c>
      <c r="X63" s="181"/>
      <c r="Y63" s="182"/>
      <c r="Z63" s="180">
        <f t="shared" si="7"/>
        <v>0.2205</v>
      </c>
      <c r="AA63" s="181"/>
      <c r="AB63" s="182"/>
      <c r="AC63" s="54"/>
      <c r="AD63" s="55"/>
      <c r="AE63" s="56"/>
      <c r="AF63" s="54"/>
      <c r="AG63" s="55"/>
      <c r="AH63" s="57"/>
    </row>
    <row r="64" spans="1:34" ht="15.75" x14ac:dyDescent="0.25">
      <c r="A64" s="185"/>
      <c r="B64" s="186"/>
      <c r="C64" s="184"/>
      <c r="D64" s="211" t="s">
        <v>713</v>
      </c>
      <c r="E64" s="212"/>
      <c r="F64" s="212"/>
      <c r="G64" s="212"/>
      <c r="H64" s="212"/>
      <c r="I64" s="213"/>
      <c r="J64" s="66"/>
      <c r="K64" s="183">
        <v>0.15</v>
      </c>
      <c r="L64" s="184"/>
      <c r="M64" s="183"/>
      <c r="N64" s="184"/>
      <c r="O64" s="183">
        <v>0.3</v>
      </c>
      <c r="P64" s="184"/>
      <c r="Q64" s="183"/>
      <c r="R64" s="184"/>
      <c r="S64" s="183">
        <f>3.4+1.5</f>
        <v>4.9000000000000004</v>
      </c>
      <c r="T64" s="184"/>
      <c r="U64" s="183"/>
      <c r="V64" s="184"/>
      <c r="W64" s="180">
        <f t="shared" si="6"/>
        <v>4.4999999999999998E-2</v>
      </c>
      <c r="X64" s="181"/>
      <c r="Y64" s="182"/>
      <c r="Z64" s="180">
        <f t="shared" si="7"/>
        <v>0.2205</v>
      </c>
      <c r="AA64" s="181"/>
      <c r="AB64" s="182"/>
      <c r="AC64" s="54"/>
      <c r="AD64" s="55"/>
      <c r="AE64" s="56"/>
      <c r="AF64" s="54"/>
      <c r="AG64" s="55"/>
      <c r="AH64" s="57"/>
    </row>
    <row r="65" spans="1:34" ht="15.75" x14ac:dyDescent="0.25">
      <c r="A65" s="185"/>
      <c r="B65" s="186"/>
      <c r="C65" s="184"/>
      <c r="D65" s="211" t="s">
        <v>714</v>
      </c>
      <c r="E65" s="212"/>
      <c r="F65" s="212"/>
      <c r="G65" s="212"/>
      <c r="H65" s="212"/>
      <c r="I65" s="213"/>
      <c r="J65" s="66"/>
      <c r="K65" s="183">
        <v>0.15</v>
      </c>
      <c r="L65" s="184"/>
      <c r="M65" s="183"/>
      <c r="N65" s="184"/>
      <c r="O65" s="183">
        <v>0.3</v>
      </c>
      <c r="P65" s="184"/>
      <c r="Q65" s="183"/>
      <c r="R65" s="184"/>
      <c r="S65" s="183">
        <v>3.4</v>
      </c>
      <c r="T65" s="184"/>
      <c r="U65" s="183"/>
      <c r="V65" s="184"/>
      <c r="W65" s="180">
        <f t="shared" si="6"/>
        <v>4.4999999999999998E-2</v>
      </c>
      <c r="X65" s="181"/>
      <c r="Y65" s="182"/>
      <c r="Z65" s="180">
        <f t="shared" si="7"/>
        <v>0.153</v>
      </c>
      <c r="AA65" s="181"/>
      <c r="AB65" s="182"/>
      <c r="AC65" s="54"/>
      <c r="AD65" s="55"/>
      <c r="AE65" s="56"/>
      <c r="AF65" s="54"/>
      <c r="AG65" s="55"/>
      <c r="AH65" s="57"/>
    </row>
    <row r="66" spans="1:34" ht="15.75" x14ac:dyDescent="0.25">
      <c r="A66" s="185"/>
      <c r="B66" s="186"/>
      <c r="C66" s="184"/>
      <c r="D66" s="211" t="s">
        <v>715</v>
      </c>
      <c r="E66" s="212"/>
      <c r="F66" s="212"/>
      <c r="G66" s="212"/>
      <c r="H66" s="212"/>
      <c r="I66" s="213"/>
      <c r="J66" s="66"/>
      <c r="K66" s="183">
        <v>0.15</v>
      </c>
      <c r="L66" s="184"/>
      <c r="M66" s="183"/>
      <c r="N66" s="184"/>
      <c r="O66" s="183">
        <v>0.3</v>
      </c>
      <c r="P66" s="184"/>
      <c r="Q66" s="183"/>
      <c r="R66" s="184"/>
      <c r="S66" s="183">
        <v>3.4</v>
      </c>
      <c r="T66" s="184"/>
      <c r="U66" s="183"/>
      <c r="V66" s="184"/>
      <c r="W66" s="180">
        <f t="shared" si="6"/>
        <v>4.4999999999999998E-2</v>
      </c>
      <c r="X66" s="181"/>
      <c r="Y66" s="182"/>
      <c r="Z66" s="180">
        <f t="shared" si="7"/>
        <v>0.153</v>
      </c>
      <c r="AA66" s="181"/>
      <c r="AB66" s="182"/>
      <c r="AC66" s="54"/>
      <c r="AD66" s="55"/>
      <c r="AE66" s="56"/>
      <c r="AF66" s="54"/>
      <c r="AG66" s="55"/>
      <c r="AH66" s="57"/>
    </row>
    <row r="67" spans="1:34" ht="15.75" x14ac:dyDescent="0.25">
      <c r="A67" s="185"/>
      <c r="B67" s="186"/>
      <c r="C67" s="184"/>
      <c r="D67" s="211" t="s">
        <v>716</v>
      </c>
      <c r="E67" s="212"/>
      <c r="F67" s="212"/>
      <c r="G67" s="212"/>
      <c r="H67" s="212"/>
      <c r="I67" s="213"/>
      <c r="J67" s="66"/>
      <c r="K67" s="183">
        <v>0.15</v>
      </c>
      <c r="L67" s="184"/>
      <c r="M67" s="183"/>
      <c r="N67" s="184"/>
      <c r="O67" s="183">
        <v>0.3</v>
      </c>
      <c r="P67" s="184"/>
      <c r="Q67" s="183"/>
      <c r="R67" s="184"/>
      <c r="S67" s="183">
        <v>3.4</v>
      </c>
      <c r="T67" s="184"/>
      <c r="U67" s="214"/>
      <c r="V67" s="215"/>
      <c r="W67" s="208">
        <f t="shared" si="6"/>
        <v>4.4999999999999998E-2</v>
      </c>
      <c r="X67" s="209"/>
      <c r="Y67" s="210"/>
      <c r="Z67" s="208">
        <f t="shared" si="7"/>
        <v>0.153</v>
      </c>
      <c r="AA67" s="209"/>
      <c r="AB67" s="210"/>
      <c r="AC67" s="54"/>
      <c r="AD67" s="55"/>
      <c r="AE67" s="56"/>
      <c r="AF67" s="54"/>
      <c r="AG67" s="55"/>
      <c r="AH67" s="57"/>
    </row>
    <row r="68" spans="1:34" ht="15.75" x14ac:dyDescent="0.25">
      <c r="A68" s="185"/>
      <c r="B68" s="186"/>
      <c r="C68" s="184"/>
      <c r="D68" s="211" t="s">
        <v>717</v>
      </c>
      <c r="E68" s="212"/>
      <c r="F68" s="212"/>
      <c r="G68" s="212"/>
      <c r="H68" s="212"/>
      <c r="I68" s="213"/>
      <c r="J68" s="66"/>
      <c r="K68" s="183">
        <v>0.15</v>
      </c>
      <c r="L68" s="184"/>
      <c r="M68" s="183"/>
      <c r="N68" s="184"/>
      <c r="O68" s="183">
        <v>0.3</v>
      </c>
      <c r="P68" s="184"/>
      <c r="Q68" s="183"/>
      <c r="R68" s="184"/>
      <c r="S68" s="183">
        <v>3.4</v>
      </c>
      <c r="T68" s="184"/>
      <c r="U68" s="214"/>
      <c r="V68" s="215"/>
      <c r="W68" s="208">
        <f t="shared" si="6"/>
        <v>4.4999999999999998E-2</v>
      </c>
      <c r="X68" s="209"/>
      <c r="Y68" s="210"/>
      <c r="Z68" s="208">
        <f t="shared" si="7"/>
        <v>0.153</v>
      </c>
      <c r="AA68" s="209"/>
      <c r="AB68" s="210"/>
      <c r="AC68" s="54"/>
      <c r="AD68" s="55"/>
      <c r="AE68" s="56"/>
      <c r="AF68" s="54"/>
      <c r="AG68" s="55"/>
      <c r="AH68" s="57"/>
    </row>
    <row r="69" spans="1:34" ht="15.75" x14ac:dyDescent="0.25">
      <c r="A69" s="185"/>
      <c r="B69" s="186"/>
      <c r="C69" s="184"/>
      <c r="D69" s="211" t="s">
        <v>718</v>
      </c>
      <c r="E69" s="212"/>
      <c r="F69" s="212"/>
      <c r="G69" s="212"/>
      <c r="H69" s="212"/>
      <c r="I69" s="213"/>
      <c r="J69" s="66"/>
      <c r="K69" s="183">
        <v>0.15</v>
      </c>
      <c r="L69" s="184"/>
      <c r="M69" s="183"/>
      <c r="N69" s="184"/>
      <c r="O69" s="183">
        <v>0.3</v>
      </c>
      <c r="P69" s="184"/>
      <c r="Q69" s="183"/>
      <c r="R69" s="184"/>
      <c r="S69" s="183">
        <v>3.4</v>
      </c>
      <c r="T69" s="184"/>
      <c r="U69" s="214"/>
      <c r="V69" s="215"/>
      <c r="W69" s="208">
        <f t="shared" si="6"/>
        <v>4.4999999999999998E-2</v>
      </c>
      <c r="X69" s="209"/>
      <c r="Y69" s="210"/>
      <c r="Z69" s="208">
        <f t="shared" si="7"/>
        <v>0.153</v>
      </c>
      <c r="AA69" s="209"/>
      <c r="AB69" s="210"/>
      <c r="AC69" s="54"/>
      <c r="AD69" s="55"/>
      <c r="AE69" s="56"/>
      <c r="AF69" s="54"/>
      <c r="AG69" s="55"/>
      <c r="AH69" s="57"/>
    </row>
    <row r="70" spans="1:34" ht="15.75" x14ac:dyDescent="0.25">
      <c r="A70" s="185"/>
      <c r="B70" s="186"/>
      <c r="C70" s="184"/>
      <c r="D70" s="211" t="s">
        <v>719</v>
      </c>
      <c r="E70" s="212"/>
      <c r="F70" s="212"/>
      <c r="G70" s="212"/>
      <c r="H70" s="212"/>
      <c r="I70" s="213"/>
      <c r="J70" s="66"/>
      <c r="K70" s="183">
        <v>0.15</v>
      </c>
      <c r="L70" s="184"/>
      <c r="M70" s="183"/>
      <c r="N70" s="184"/>
      <c r="O70" s="183">
        <v>0.3</v>
      </c>
      <c r="P70" s="184"/>
      <c r="Q70" s="183"/>
      <c r="R70" s="184"/>
      <c r="S70" s="183">
        <v>3.4</v>
      </c>
      <c r="T70" s="184"/>
      <c r="U70" s="183"/>
      <c r="V70" s="184"/>
      <c r="W70" s="180">
        <f t="shared" ref="W70:W92" si="8">K70*O70</f>
        <v>4.4999999999999998E-2</v>
      </c>
      <c r="X70" s="181"/>
      <c r="Y70" s="182"/>
      <c r="Z70" s="180">
        <f t="shared" ref="Z70:Z92" si="9">W70*S70</f>
        <v>0.153</v>
      </c>
      <c r="AA70" s="181"/>
      <c r="AB70" s="182"/>
      <c r="AC70" s="54"/>
      <c r="AD70" s="55"/>
      <c r="AE70" s="56"/>
      <c r="AF70" s="54"/>
      <c r="AG70" s="55"/>
      <c r="AH70" s="57"/>
    </row>
    <row r="71" spans="1:34" ht="15.75" x14ac:dyDescent="0.25">
      <c r="A71" s="185"/>
      <c r="B71" s="186"/>
      <c r="C71" s="184"/>
      <c r="D71" s="211" t="s">
        <v>720</v>
      </c>
      <c r="E71" s="212"/>
      <c r="F71" s="212"/>
      <c r="G71" s="212"/>
      <c r="H71" s="212"/>
      <c r="I71" s="213"/>
      <c r="J71" s="66"/>
      <c r="K71" s="183">
        <v>0.15</v>
      </c>
      <c r="L71" s="184"/>
      <c r="M71" s="183"/>
      <c r="N71" s="184"/>
      <c r="O71" s="183">
        <v>0.3</v>
      </c>
      <c r="P71" s="184"/>
      <c r="Q71" s="183"/>
      <c r="R71" s="184"/>
      <c r="S71" s="183">
        <f>3.4+1.5</f>
        <v>4.9000000000000004</v>
      </c>
      <c r="T71" s="184"/>
      <c r="U71" s="214"/>
      <c r="V71" s="215"/>
      <c r="W71" s="208">
        <f t="shared" si="8"/>
        <v>4.4999999999999998E-2</v>
      </c>
      <c r="X71" s="209"/>
      <c r="Y71" s="210"/>
      <c r="Z71" s="208">
        <f t="shared" si="9"/>
        <v>0.2205</v>
      </c>
      <c r="AA71" s="209"/>
      <c r="AB71" s="210"/>
      <c r="AC71" s="54"/>
      <c r="AD71" s="55"/>
      <c r="AE71" s="56"/>
      <c r="AF71" s="54"/>
      <c r="AG71" s="55"/>
      <c r="AH71" s="57"/>
    </row>
    <row r="72" spans="1:34" ht="15.75" x14ac:dyDescent="0.25">
      <c r="A72" s="185"/>
      <c r="B72" s="186"/>
      <c r="C72" s="184"/>
      <c r="D72" s="211" t="s">
        <v>721</v>
      </c>
      <c r="E72" s="212"/>
      <c r="F72" s="212"/>
      <c r="G72" s="212"/>
      <c r="H72" s="212"/>
      <c r="I72" s="213"/>
      <c r="J72" s="66"/>
      <c r="K72" s="183">
        <v>0.15</v>
      </c>
      <c r="L72" s="184"/>
      <c r="M72" s="183"/>
      <c r="N72" s="184"/>
      <c r="O72" s="183">
        <v>0.3</v>
      </c>
      <c r="P72" s="184"/>
      <c r="Q72" s="183"/>
      <c r="R72" s="184"/>
      <c r="S72" s="183">
        <v>3.4</v>
      </c>
      <c r="T72" s="184"/>
      <c r="U72" s="214"/>
      <c r="V72" s="215"/>
      <c r="W72" s="208">
        <f t="shared" si="8"/>
        <v>4.4999999999999998E-2</v>
      </c>
      <c r="X72" s="209"/>
      <c r="Y72" s="210"/>
      <c r="Z72" s="208">
        <f t="shared" si="9"/>
        <v>0.153</v>
      </c>
      <c r="AA72" s="209"/>
      <c r="AB72" s="210"/>
      <c r="AC72" s="54"/>
      <c r="AD72" s="55"/>
      <c r="AE72" s="56"/>
      <c r="AF72" s="54"/>
      <c r="AG72" s="55"/>
      <c r="AH72" s="57"/>
    </row>
    <row r="73" spans="1:34" ht="15.75" x14ac:dyDescent="0.25">
      <c r="A73" s="185"/>
      <c r="B73" s="186"/>
      <c r="C73" s="184"/>
      <c r="D73" s="211" t="s">
        <v>722</v>
      </c>
      <c r="E73" s="212"/>
      <c r="F73" s="212"/>
      <c r="G73" s="212"/>
      <c r="H73" s="212"/>
      <c r="I73" s="213"/>
      <c r="J73" s="66"/>
      <c r="K73" s="183">
        <v>0.15</v>
      </c>
      <c r="L73" s="184"/>
      <c r="M73" s="183"/>
      <c r="N73" s="184"/>
      <c r="O73" s="183">
        <v>0.3</v>
      </c>
      <c r="P73" s="184"/>
      <c r="Q73" s="183"/>
      <c r="R73" s="184"/>
      <c r="S73" s="183">
        <f>3.4+1.5</f>
        <v>4.9000000000000004</v>
      </c>
      <c r="T73" s="184"/>
      <c r="U73" s="214"/>
      <c r="V73" s="215"/>
      <c r="W73" s="208">
        <f t="shared" si="8"/>
        <v>4.4999999999999998E-2</v>
      </c>
      <c r="X73" s="209"/>
      <c r="Y73" s="210"/>
      <c r="Z73" s="208">
        <f t="shared" si="9"/>
        <v>0.2205</v>
      </c>
      <c r="AA73" s="209"/>
      <c r="AB73" s="210"/>
      <c r="AC73" s="54"/>
      <c r="AD73" s="55"/>
      <c r="AE73" s="56"/>
      <c r="AF73" s="54"/>
      <c r="AG73" s="55"/>
      <c r="AH73" s="57"/>
    </row>
    <row r="74" spans="1:34" ht="15.75" x14ac:dyDescent="0.25">
      <c r="A74" s="185"/>
      <c r="B74" s="186"/>
      <c r="C74" s="184"/>
      <c r="D74" s="211" t="s">
        <v>723</v>
      </c>
      <c r="E74" s="212"/>
      <c r="F74" s="212"/>
      <c r="G74" s="212"/>
      <c r="H74" s="212"/>
      <c r="I74" s="213"/>
      <c r="J74" s="66"/>
      <c r="K74" s="183">
        <v>0.15</v>
      </c>
      <c r="L74" s="184"/>
      <c r="M74" s="183"/>
      <c r="N74" s="184"/>
      <c r="O74" s="183">
        <v>0.3</v>
      </c>
      <c r="P74" s="184"/>
      <c r="Q74" s="183"/>
      <c r="R74" s="184"/>
      <c r="S74" s="183">
        <f>3.4+1.5</f>
        <v>4.9000000000000004</v>
      </c>
      <c r="T74" s="184"/>
      <c r="U74" s="183"/>
      <c r="V74" s="184"/>
      <c r="W74" s="180">
        <f t="shared" si="8"/>
        <v>4.4999999999999998E-2</v>
      </c>
      <c r="X74" s="181"/>
      <c r="Y74" s="182"/>
      <c r="Z74" s="180">
        <f t="shared" si="9"/>
        <v>0.2205</v>
      </c>
      <c r="AA74" s="181"/>
      <c r="AB74" s="182"/>
      <c r="AC74" s="54"/>
      <c r="AD74" s="55"/>
      <c r="AE74" s="56"/>
      <c r="AF74" s="54"/>
      <c r="AG74" s="55"/>
      <c r="AH74" s="57"/>
    </row>
    <row r="75" spans="1:34" ht="15.75" x14ac:dyDescent="0.25">
      <c r="A75" s="185"/>
      <c r="B75" s="186"/>
      <c r="C75" s="184"/>
      <c r="D75" s="211" t="s">
        <v>724</v>
      </c>
      <c r="E75" s="212"/>
      <c r="F75" s="212"/>
      <c r="G75" s="212"/>
      <c r="H75" s="212"/>
      <c r="I75" s="213"/>
      <c r="J75" s="66"/>
      <c r="K75" s="183">
        <v>0.15</v>
      </c>
      <c r="L75" s="184"/>
      <c r="M75" s="183"/>
      <c r="N75" s="184"/>
      <c r="O75" s="183">
        <v>0.3</v>
      </c>
      <c r="P75" s="184"/>
      <c r="Q75" s="183"/>
      <c r="R75" s="184"/>
      <c r="S75" s="183">
        <v>3.4</v>
      </c>
      <c r="T75" s="184"/>
      <c r="U75" s="214"/>
      <c r="V75" s="215"/>
      <c r="W75" s="208">
        <f t="shared" si="8"/>
        <v>4.4999999999999998E-2</v>
      </c>
      <c r="X75" s="209"/>
      <c r="Y75" s="210"/>
      <c r="Z75" s="208">
        <f t="shared" si="9"/>
        <v>0.153</v>
      </c>
      <c r="AA75" s="209"/>
      <c r="AB75" s="210"/>
      <c r="AC75" s="54"/>
      <c r="AD75" s="55"/>
      <c r="AE75" s="56"/>
      <c r="AF75" s="54"/>
      <c r="AG75" s="55"/>
      <c r="AH75" s="57"/>
    </row>
    <row r="76" spans="1:34" ht="15.75" x14ac:dyDescent="0.25">
      <c r="A76" s="185"/>
      <c r="B76" s="186"/>
      <c r="C76" s="184"/>
      <c r="D76" s="211" t="s">
        <v>725</v>
      </c>
      <c r="E76" s="212"/>
      <c r="F76" s="212"/>
      <c r="G76" s="212"/>
      <c r="H76" s="212"/>
      <c r="I76" s="213"/>
      <c r="J76" s="66"/>
      <c r="K76" s="183">
        <v>0.15</v>
      </c>
      <c r="L76" s="184"/>
      <c r="M76" s="183"/>
      <c r="N76" s="184"/>
      <c r="O76" s="183">
        <v>0.3</v>
      </c>
      <c r="P76" s="184"/>
      <c r="Q76" s="183"/>
      <c r="R76" s="184"/>
      <c r="S76" s="183">
        <v>3.4</v>
      </c>
      <c r="T76" s="184"/>
      <c r="U76" s="214"/>
      <c r="V76" s="215"/>
      <c r="W76" s="208">
        <f t="shared" si="8"/>
        <v>4.4999999999999998E-2</v>
      </c>
      <c r="X76" s="209"/>
      <c r="Y76" s="210"/>
      <c r="Z76" s="208">
        <f t="shared" si="9"/>
        <v>0.153</v>
      </c>
      <c r="AA76" s="209"/>
      <c r="AB76" s="210"/>
      <c r="AC76" s="54"/>
      <c r="AD76" s="55"/>
      <c r="AE76" s="56"/>
      <c r="AF76" s="54"/>
      <c r="AG76" s="55"/>
      <c r="AH76" s="57"/>
    </row>
    <row r="77" spans="1:34" ht="15.75" x14ac:dyDescent="0.25">
      <c r="A77" s="185"/>
      <c r="B77" s="186"/>
      <c r="C77" s="184"/>
      <c r="D77" s="211" t="s">
        <v>726</v>
      </c>
      <c r="E77" s="212"/>
      <c r="F77" s="212"/>
      <c r="G77" s="212"/>
      <c r="H77" s="212"/>
      <c r="I77" s="213"/>
      <c r="J77" s="66"/>
      <c r="K77" s="183">
        <v>0.15</v>
      </c>
      <c r="L77" s="184"/>
      <c r="M77" s="183"/>
      <c r="N77" s="184"/>
      <c r="O77" s="183">
        <v>0.3</v>
      </c>
      <c r="P77" s="184"/>
      <c r="Q77" s="183"/>
      <c r="R77" s="184"/>
      <c r="S77" s="183">
        <v>3.4</v>
      </c>
      <c r="T77" s="184"/>
      <c r="U77" s="214"/>
      <c r="V77" s="215"/>
      <c r="W77" s="208">
        <f t="shared" si="8"/>
        <v>4.4999999999999998E-2</v>
      </c>
      <c r="X77" s="209"/>
      <c r="Y77" s="210"/>
      <c r="Z77" s="208">
        <f t="shared" si="9"/>
        <v>0.153</v>
      </c>
      <c r="AA77" s="209"/>
      <c r="AB77" s="210"/>
      <c r="AC77" s="54"/>
      <c r="AD77" s="55"/>
      <c r="AE77" s="56"/>
      <c r="AF77" s="54"/>
      <c r="AG77" s="55"/>
      <c r="AH77" s="57"/>
    </row>
    <row r="78" spans="1:34" ht="15.75" x14ac:dyDescent="0.25">
      <c r="A78" s="185"/>
      <c r="B78" s="186"/>
      <c r="C78" s="184"/>
      <c r="D78" s="211" t="s">
        <v>727</v>
      </c>
      <c r="E78" s="212"/>
      <c r="F78" s="212"/>
      <c r="G78" s="212"/>
      <c r="H78" s="212"/>
      <c r="I78" s="213"/>
      <c r="J78" s="66"/>
      <c r="K78" s="183">
        <v>0.15</v>
      </c>
      <c r="L78" s="184"/>
      <c r="M78" s="183"/>
      <c r="N78" s="184"/>
      <c r="O78" s="183">
        <v>0.3</v>
      </c>
      <c r="P78" s="184"/>
      <c r="Q78" s="183"/>
      <c r="R78" s="184"/>
      <c r="S78" s="183">
        <v>3.4</v>
      </c>
      <c r="T78" s="184"/>
      <c r="U78" s="183"/>
      <c r="V78" s="184"/>
      <c r="W78" s="180">
        <f t="shared" si="8"/>
        <v>4.4999999999999998E-2</v>
      </c>
      <c r="X78" s="181"/>
      <c r="Y78" s="182"/>
      <c r="Z78" s="180">
        <f t="shared" si="9"/>
        <v>0.153</v>
      </c>
      <c r="AA78" s="181"/>
      <c r="AB78" s="182"/>
      <c r="AC78" s="54"/>
      <c r="AD78" s="55"/>
      <c r="AE78" s="56"/>
      <c r="AF78" s="54"/>
      <c r="AG78" s="55"/>
      <c r="AH78" s="57"/>
    </row>
    <row r="79" spans="1:34" ht="15.75" x14ac:dyDescent="0.25">
      <c r="A79" s="185"/>
      <c r="B79" s="186"/>
      <c r="C79" s="184"/>
      <c r="D79" s="211" t="s">
        <v>728</v>
      </c>
      <c r="E79" s="212"/>
      <c r="F79" s="212"/>
      <c r="G79" s="212"/>
      <c r="H79" s="212"/>
      <c r="I79" s="213"/>
      <c r="J79" s="66"/>
      <c r="K79" s="183">
        <v>0.15</v>
      </c>
      <c r="L79" s="184"/>
      <c r="M79" s="183"/>
      <c r="N79" s="184"/>
      <c r="O79" s="183">
        <v>0.3</v>
      </c>
      <c r="P79" s="184"/>
      <c r="Q79" s="183"/>
      <c r="R79" s="184"/>
      <c r="S79" s="183">
        <v>3.4</v>
      </c>
      <c r="T79" s="184"/>
      <c r="U79" s="214"/>
      <c r="V79" s="215"/>
      <c r="W79" s="208">
        <f t="shared" si="8"/>
        <v>4.4999999999999998E-2</v>
      </c>
      <c r="X79" s="209"/>
      <c r="Y79" s="210"/>
      <c r="Z79" s="208">
        <f t="shared" si="9"/>
        <v>0.153</v>
      </c>
      <c r="AA79" s="209"/>
      <c r="AB79" s="210"/>
      <c r="AC79" s="54"/>
      <c r="AD79" s="55"/>
      <c r="AE79" s="56"/>
      <c r="AF79" s="54"/>
      <c r="AG79" s="55"/>
      <c r="AH79" s="57"/>
    </row>
    <row r="80" spans="1:34" ht="15.75" x14ac:dyDescent="0.25">
      <c r="A80" s="185"/>
      <c r="B80" s="186"/>
      <c r="C80" s="184"/>
      <c r="D80" s="211" t="s">
        <v>729</v>
      </c>
      <c r="E80" s="212"/>
      <c r="F80" s="212"/>
      <c r="G80" s="212"/>
      <c r="H80" s="212"/>
      <c r="I80" s="213"/>
      <c r="J80" s="66"/>
      <c r="K80" s="214">
        <v>0.2</v>
      </c>
      <c r="L80" s="215"/>
      <c r="M80" s="214"/>
      <c r="N80" s="215"/>
      <c r="O80" s="214">
        <v>0.3</v>
      </c>
      <c r="P80" s="215"/>
      <c r="Q80" s="214"/>
      <c r="R80" s="215"/>
      <c r="S80" s="214">
        <v>3.4</v>
      </c>
      <c r="T80" s="215"/>
      <c r="U80" s="214"/>
      <c r="V80" s="215"/>
      <c r="W80" s="208">
        <f t="shared" si="8"/>
        <v>0.06</v>
      </c>
      <c r="X80" s="209"/>
      <c r="Y80" s="210"/>
      <c r="Z80" s="208">
        <f t="shared" si="9"/>
        <v>0.20399999999999999</v>
      </c>
      <c r="AA80" s="209"/>
      <c r="AB80" s="210"/>
      <c r="AC80" s="54"/>
      <c r="AD80" s="55"/>
      <c r="AE80" s="56"/>
      <c r="AF80" s="54"/>
      <c r="AG80" s="55"/>
      <c r="AH80" s="57"/>
    </row>
    <row r="81" spans="1:34" ht="15.75" x14ac:dyDescent="0.25">
      <c r="A81" s="185"/>
      <c r="B81" s="186"/>
      <c r="C81" s="184"/>
      <c r="D81" s="211" t="s">
        <v>730</v>
      </c>
      <c r="E81" s="212"/>
      <c r="F81" s="212"/>
      <c r="G81" s="212"/>
      <c r="H81" s="212"/>
      <c r="I81" s="213"/>
      <c r="J81" s="66"/>
      <c r="K81" s="214">
        <v>0.2</v>
      </c>
      <c r="L81" s="215"/>
      <c r="M81" s="214"/>
      <c r="N81" s="215"/>
      <c r="O81" s="214">
        <v>0.3</v>
      </c>
      <c r="P81" s="215"/>
      <c r="Q81" s="214"/>
      <c r="R81" s="215"/>
      <c r="S81" s="183">
        <f>3.4+1.5</f>
        <v>4.9000000000000004</v>
      </c>
      <c r="T81" s="184"/>
      <c r="U81" s="214"/>
      <c r="V81" s="215"/>
      <c r="W81" s="208">
        <f t="shared" si="8"/>
        <v>0.06</v>
      </c>
      <c r="X81" s="209"/>
      <c r="Y81" s="210"/>
      <c r="Z81" s="208">
        <f t="shared" si="9"/>
        <v>0.29399999999999998</v>
      </c>
      <c r="AA81" s="209"/>
      <c r="AB81" s="210"/>
      <c r="AC81" s="54"/>
      <c r="AD81" s="55"/>
      <c r="AE81" s="56"/>
      <c r="AF81" s="54"/>
      <c r="AG81" s="55"/>
      <c r="AH81" s="57"/>
    </row>
    <row r="82" spans="1:34" ht="15.75" x14ac:dyDescent="0.25">
      <c r="A82" s="185"/>
      <c r="B82" s="186"/>
      <c r="C82" s="184"/>
      <c r="D82" s="211" t="s">
        <v>731</v>
      </c>
      <c r="E82" s="212"/>
      <c r="F82" s="212"/>
      <c r="G82" s="212"/>
      <c r="H82" s="212"/>
      <c r="I82" s="213"/>
      <c r="J82" s="66"/>
      <c r="K82" s="214">
        <v>0.15</v>
      </c>
      <c r="L82" s="215"/>
      <c r="M82" s="214"/>
      <c r="N82" s="215"/>
      <c r="O82" s="214">
        <v>0.3</v>
      </c>
      <c r="P82" s="215"/>
      <c r="Q82" s="183"/>
      <c r="R82" s="184"/>
      <c r="S82" s="183">
        <f>3.4+1.5</f>
        <v>4.9000000000000004</v>
      </c>
      <c r="T82" s="184"/>
      <c r="U82" s="183"/>
      <c r="V82" s="184"/>
      <c r="W82" s="180">
        <f t="shared" si="8"/>
        <v>4.4999999999999998E-2</v>
      </c>
      <c r="X82" s="181"/>
      <c r="Y82" s="182"/>
      <c r="Z82" s="180">
        <f t="shared" si="9"/>
        <v>0.2205</v>
      </c>
      <c r="AA82" s="181"/>
      <c r="AB82" s="182"/>
      <c r="AC82" s="54"/>
      <c r="AD82" s="55"/>
      <c r="AE82" s="56"/>
      <c r="AF82" s="54"/>
      <c r="AG82" s="55"/>
      <c r="AH82" s="57"/>
    </row>
    <row r="83" spans="1:34" ht="15.75" x14ac:dyDescent="0.25">
      <c r="A83" s="185"/>
      <c r="B83" s="186"/>
      <c r="C83" s="184"/>
      <c r="D83" s="211" t="s">
        <v>732</v>
      </c>
      <c r="E83" s="212"/>
      <c r="F83" s="212"/>
      <c r="G83" s="212"/>
      <c r="H83" s="212"/>
      <c r="I83" s="213"/>
      <c r="J83" s="66"/>
      <c r="K83" s="214">
        <v>0.15</v>
      </c>
      <c r="L83" s="215"/>
      <c r="M83" s="214"/>
      <c r="N83" s="215"/>
      <c r="O83" s="214">
        <v>0.3</v>
      </c>
      <c r="P83" s="215"/>
      <c r="Q83" s="183"/>
      <c r="R83" s="184"/>
      <c r="S83" s="183">
        <f>3.4+1.5</f>
        <v>4.9000000000000004</v>
      </c>
      <c r="T83" s="184"/>
      <c r="U83" s="214"/>
      <c r="V83" s="215"/>
      <c r="W83" s="208">
        <f t="shared" si="8"/>
        <v>4.4999999999999998E-2</v>
      </c>
      <c r="X83" s="209"/>
      <c r="Y83" s="210"/>
      <c r="Z83" s="208">
        <f t="shared" si="9"/>
        <v>0.2205</v>
      </c>
      <c r="AA83" s="209"/>
      <c r="AB83" s="210"/>
      <c r="AC83" s="54"/>
      <c r="AD83" s="55"/>
      <c r="AE83" s="56"/>
      <c r="AF83" s="54"/>
      <c r="AG83" s="55"/>
      <c r="AH83" s="57"/>
    </row>
    <row r="84" spans="1:34" ht="15.75" x14ac:dyDescent="0.25">
      <c r="A84" s="185"/>
      <c r="B84" s="186"/>
      <c r="C84" s="184"/>
      <c r="D84" s="211" t="s">
        <v>733</v>
      </c>
      <c r="E84" s="212"/>
      <c r="F84" s="212"/>
      <c r="G84" s="212"/>
      <c r="H84" s="212"/>
      <c r="I84" s="213"/>
      <c r="J84" s="66"/>
      <c r="K84" s="183">
        <v>0.15</v>
      </c>
      <c r="L84" s="184"/>
      <c r="M84" s="183"/>
      <c r="N84" s="184"/>
      <c r="O84" s="183">
        <v>0.3</v>
      </c>
      <c r="P84" s="184"/>
      <c r="Q84" s="183"/>
      <c r="R84" s="184"/>
      <c r="S84" s="183">
        <v>3.4</v>
      </c>
      <c r="T84" s="184"/>
      <c r="U84" s="214"/>
      <c r="V84" s="215"/>
      <c r="W84" s="208">
        <f t="shared" si="8"/>
        <v>4.4999999999999998E-2</v>
      </c>
      <c r="X84" s="209"/>
      <c r="Y84" s="210"/>
      <c r="Z84" s="208">
        <f t="shared" si="9"/>
        <v>0.153</v>
      </c>
      <c r="AA84" s="209"/>
      <c r="AB84" s="210"/>
      <c r="AC84" s="54"/>
      <c r="AD84" s="55"/>
      <c r="AE84" s="56"/>
      <c r="AF84" s="54"/>
      <c r="AG84" s="55"/>
      <c r="AH84" s="57"/>
    </row>
    <row r="85" spans="1:34" ht="15.75" x14ac:dyDescent="0.25">
      <c r="A85" s="185"/>
      <c r="B85" s="186"/>
      <c r="C85" s="184"/>
      <c r="D85" s="211" t="s">
        <v>734</v>
      </c>
      <c r="E85" s="212"/>
      <c r="F85" s="212"/>
      <c r="G85" s="212"/>
      <c r="H85" s="212"/>
      <c r="I85" s="213"/>
      <c r="J85" s="66"/>
      <c r="K85" s="183">
        <v>0.15</v>
      </c>
      <c r="L85" s="184"/>
      <c r="M85" s="183"/>
      <c r="N85" s="184"/>
      <c r="O85" s="183">
        <v>0.3</v>
      </c>
      <c r="P85" s="184"/>
      <c r="Q85" s="183"/>
      <c r="R85" s="184"/>
      <c r="S85" s="183">
        <v>3.4</v>
      </c>
      <c r="T85" s="184"/>
      <c r="U85" s="214"/>
      <c r="V85" s="215"/>
      <c r="W85" s="208">
        <f t="shared" si="8"/>
        <v>4.4999999999999998E-2</v>
      </c>
      <c r="X85" s="209"/>
      <c r="Y85" s="210"/>
      <c r="Z85" s="208">
        <f t="shared" si="9"/>
        <v>0.153</v>
      </c>
      <c r="AA85" s="209"/>
      <c r="AB85" s="210"/>
      <c r="AC85" s="54"/>
      <c r="AD85" s="55"/>
      <c r="AE85" s="56"/>
      <c r="AF85" s="54"/>
      <c r="AG85" s="55"/>
      <c r="AH85" s="57"/>
    </row>
    <row r="86" spans="1:34" ht="15.75" x14ac:dyDescent="0.25">
      <c r="A86" s="185"/>
      <c r="B86" s="186"/>
      <c r="C86" s="184"/>
      <c r="D86" s="211" t="s">
        <v>735</v>
      </c>
      <c r="E86" s="212"/>
      <c r="F86" s="212"/>
      <c r="G86" s="212"/>
      <c r="H86" s="212"/>
      <c r="I86" s="213"/>
      <c r="J86" s="66"/>
      <c r="K86" s="214">
        <v>0.15</v>
      </c>
      <c r="L86" s="215"/>
      <c r="M86" s="214"/>
      <c r="N86" s="215"/>
      <c r="O86" s="214">
        <v>0.3</v>
      </c>
      <c r="P86" s="215"/>
      <c r="Q86" s="183"/>
      <c r="R86" s="184"/>
      <c r="S86" s="183">
        <f>3.4+1.5</f>
        <v>4.9000000000000004</v>
      </c>
      <c r="T86" s="184"/>
      <c r="U86" s="183"/>
      <c r="V86" s="184"/>
      <c r="W86" s="180">
        <f t="shared" si="8"/>
        <v>4.4999999999999998E-2</v>
      </c>
      <c r="X86" s="181"/>
      <c r="Y86" s="182"/>
      <c r="Z86" s="180">
        <f t="shared" si="9"/>
        <v>0.2205</v>
      </c>
      <c r="AA86" s="181"/>
      <c r="AB86" s="182"/>
      <c r="AC86" s="54"/>
      <c r="AD86" s="55"/>
      <c r="AE86" s="56"/>
      <c r="AF86" s="54"/>
      <c r="AG86" s="55"/>
      <c r="AH86" s="57"/>
    </row>
    <row r="87" spans="1:34" ht="15.75" x14ac:dyDescent="0.25">
      <c r="A87" s="185"/>
      <c r="B87" s="186"/>
      <c r="C87" s="184"/>
      <c r="D87" s="211" t="s">
        <v>736</v>
      </c>
      <c r="E87" s="212"/>
      <c r="F87" s="212"/>
      <c r="G87" s="212"/>
      <c r="H87" s="212"/>
      <c r="I87" s="213"/>
      <c r="J87" s="66"/>
      <c r="K87" s="214">
        <v>0.15</v>
      </c>
      <c r="L87" s="215"/>
      <c r="M87" s="214"/>
      <c r="N87" s="215"/>
      <c r="O87" s="214">
        <v>0.3</v>
      </c>
      <c r="P87" s="215"/>
      <c r="Q87" s="183"/>
      <c r="R87" s="184"/>
      <c r="S87" s="183">
        <f>3.4+1.5</f>
        <v>4.9000000000000004</v>
      </c>
      <c r="T87" s="184"/>
      <c r="U87" s="214"/>
      <c r="V87" s="215"/>
      <c r="W87" s="208">
        <f t="shared" si="8"/>
        <v>4.4999999999999998E-2</v>
      </c>
      <c r="X87" s="209"/>
      <c r="Y87" s="210"/>
      <c r="Z87" s="208">
        <f t="shared" si="9"/>
        <v>0.2205</v>
      </c>
      <c r="AA87" s="209"/>
      <c r="AB87" s="210"/>
      <c r="AC87" s="54"/>
      <c r="AD87" s="55"/>
      <c r="AE87" s="56"/>
      <c r="AF87" s="54"/>
      <c r="AG87" s="55"/>
      <c r="AH87" s="57"/>
    </row>
    <row r="88" spans="1:34" ht="15.75" x14ac:dyDescent="0.25">
      <c r="A88" s="185"/>
      <c r="B88" s="186"/>
      <c r="C88" s="184"/>
      <c r="D88" s="211" t="s">
        <v>737</v>
      </c>
      <c r="E88" s="212"/>
      <c r="F88" s="212"/>
      <c r="G88" s="212"/>
      <c r="H88" s="212"/>
      <c r="I88" s="213"/>
      <c r="J88" s="66"/>
      <c r="K88" s="183">
        <v>0.15</v>
      </c>
      <c r="L88" s="184"/>
      <c r="M88" s="183"/>
      <c r="N88" s="184"/>
      <c r="O88" s="183">
        <v>0.3</v>
      </c>
      <c r="P88" s="184"/>
      <c r="Q88" s="183"/>
      <c r="R88" s="184"/>
      <c r="S88" s="183">
        <v>3.4</v>
      </c>
      <c r="T88" s="184"/>
      <c r="U88" s="214"/>
      <c r="V88" s="215"/>
      <c r="W88" s="208">
        <f t="shared" si="8"/>
        <v>4.4999999999999998E-2</v>
      </c>
      <c r="X88" s="209"/>
      <c r="Y88" s="210"/>
      <c r="Z88" s="208">
        <f t="shared" si="9"/>
        <v>0.153</v>
      </c>
      <c r="AA88" s="209"/>
      <c r="AB88" s="210"/>
      <c r="AC88" s="54"/>
      <c r="AD88" s="55"/>
      <c r="AE88" s="56"/>
      <c r="AF88" s="54"/>
      <c r="AG88" s="55"/>
      <c r="AH88" s="57"/>
    </row>
    <row r="89" spans="1:34" ht="15.75" x14ac:dyDescent="0.25">
      <c r="A89" s="185"/>
      <c r="B89" s="186"/>
      <c r="C89" s="184"/>
      <c r="D89" s="211" t="s">
        <v>738</v>
      </c>
      <c r="E89" s="212"/>
      <c r="F89" s="212"/>
      <c r="G89" s="212"/>
      <c r="H89" s="212"/>
      <c r="I89" s="213"/>
      <c r="J89" s="66"/>
      <c r="K89" s="183">
        <v>0.15</v>
      </c>
      <c r="L89" s="184"/>
      <c r="M89" s="183"/>
      <c r="N89" s="184"/>
      <c r="O89" s="183">
        <v>0.3</v>
      </c>
      <c r="P89" s="184"/>
      <c r="Q89" s="183"/>
      <c r="R89" s="184"/>
      <c r="S89" s="183">
        <v>3.4</v>
      </c>
      <c r="T89" s="184"/>
      <c r="U89" s="183"/>
      <c r="V89" s="184"/>
      <c r="W89" s="180">
        <f t="shared" si="8"/>
        <v>4.4999999999999998E-2</v>
      </c>
      <c r="X89" s="181"/>
      <c r="Y89" s="182"/>
      <c r="Z89" s="180">
        <f t="shared" si="9"/>
        <v>0.153</v>
      </c>
      <c r="AA89" s="181"/>
      <c r="AB89" s="182"/>
      <c r="AC89" s="54"/>
      <c r="AD89" s="55"/>
      <c r="AE89" s="56"/>
      <c r="AF89" s="54"/>
      <c r="AG89" s="55"/>
      <c r="AH89" s="57"/>
    </row>
    <row r="90" spans="1:34" ht="15.75" x14ac:dyDescent="0.25">
      <c r="A90" s="185"/>
      <c r="B90" s="186"/>
      <c r="C90" s="184"/>
      <c r="D90" s="211" t="s">
        <v>739</v>
      </c>
      <c r="E90" s="212"/>
      <c r="F90" s="212"/>
      <c r="G90" s="212"/>
      <c r="H90" s="212"/>
      <c r="I90" s="213"/>
      <c r="J90" s="66"/>
      <c r="K90" s="183">
        <v>0.15</v>
      </c>
      <c r="L90" s="184"/>
      <c r="M90" s="183"/>
      <c r="N90" s="184"/>
      <c r="O90" s="183">
        <v>0.3</v>
      </c>
      <c r="P90" s="184"/>
      <c r="Q90" s="183"/>
      <c r="R90" s="184"/>
      <c r="S90" s="183">
        <v>3.4</v>
      </c>
      <c r="T90" s="184"/>
      <c r="U90" s="214"/>
      <c r="V90" s="215"/>
      <c r="W90" s="208">
        <f t="shared" si="8"/>
        <v>4.4999999999999998E-2</v>
      </c>
      <c r="X90" s="209"/>
      <c r="Y90" s="210"/>
      <c r="Z90" s="208">
        <f t="shared" si="9"/>
        <v>0.153</v>
      </c>
      <c r="AA90" s="209"/>
      <c r="AB90" s="210"/>
      <c r="AC90" s="54"/>
      <c r="AD90" s="55"/>
      <c r="AE90" s="56"/>
      <c r="AF90" s="54"/>
      <c r="AG90" s="55"/>
      <c r="AH90" s="57"/>
    </row>
    <row r="91" spans="1:34" ht="15.75" x14ac:dyDescent="0.25">
      <c r="A91" s="185"/>
      <c r="B91" s="186"/>
      <c r="C91" s="184"/>
      <c r="D91" s="211" t="s">
        <v>740</v>
      </c>
      <c r="E91" s="212"/>
      <c r="F91" s="212"/>
      <c r="G91" s="212"/>
      <c r="H91" s="212"/>
      <c r="I91" s="213"/>
      <c r="J91" s="66"/>
      <c r="K91" s="183">
        <v>0.15</v>
      </c>
      <c r="L91" s="184"/>
      <c r="M91" s="183"/>
      <c r="N91" s="184"/>
      <c r="O91" s="183">
        <v>0.3</v>
      </c>
      <c r="P91" s="184"/>
      <c r="Q91" s="183"/>
      <c r="R91" s="184"/>
      <c r="S91" s="183">
        <v>3.4</v>
      </c>
      <c r="T91" s="184"/>
      <c r="U91" s="214"/>
      <c r="V91" s="215"/>
      <c r="W91" s="208">
        <f t="shared" si="8"/>
        <v>4.4999999999999998E-2</v>
      </c>
      <c r="X91" s="209"/>
      <c r="Y91" s="210"/>
      <c r="Z91" s="208">
        <f t="shared" si="9"/>
        <v>0.153</v>
      </c>
      <c r="AA91" s="209"/>
      <c r="AB91" s="210"/>
      <c r="AC91" s="54"/>
      <c r="AD91" s="55"/>
      <c r="AE91" s="56"/>
      <c r="AF91" s="54"/>
      <c r="AG91" s="55"/>
      <c r="AH91" s="57"/>
    </row>
    <row r="92" spans="1:34" ht="15.75" x14ac:dyDescent="0.25">
      <c r="A92" s="185"/>
      <c r="B92" s="186"/>
      <c r="C92" s="184"/>
      <c r="D92" s="211" t="s">
        <v>741</v>
      </c>
      <c r="E92" s="212"/>
      <c r="F92" s="212"/>
      <c r="G92" s="212"/>
      <c r="H92" s="212"/>
      <c r="I92" s="213"/>
      <c r="J92" s="66"/>
      <c r="K92" s="183">
        <v>0.15</v>
      </c>
      <c r="L92" s="184"/>
      <c r="M92" s="183"/>
      <c r="N92" s="184"/>
      <c r="O92" s="183">
        <v>0.3</v>
      </c>
      <c r="P92" s="184"/>
      <c r="Q92" s="183"/>
      <c r="R92" s="184"/>
      <c r="S92" s="183">
        <v>3.4</v>
      </c>
      <c r="T92" s="184"/>
      <c r="U92" s="214"/>
      <c r="V92" s="215"/>
      <c r="W92" s="208">
        <f t="shared" si="8"/>
        <v>4.4999999999999998E-2</v>
      </c>
      <c r="X92" s="209"/>
      <c r="Y92" s="210"/>
      <c r="Z92" s="208">
        <f t="shared" si="9"/>
        <v>0.153</v>
      </c>
      <c r="AA92" s="209"/>
      <c r="AB92" s="210"/>
      <c r="AC92" s="54"/>
      <c r="AD92" s="55"/>
      <c r="AE92" s="56"/>
      <c r="AF92" s="54"/>
      <c r="AG92" s="55"/>
      <c r="AH92" s="57"/>
    </row>
    <row r="93" spans="1:34" ht="15.75" x14ac:dyDescent="0.25">
      <c r="A93" s="185"/>
      <c r="B93" s="186"/>
      <c r="C93" s="184"/>
      <c r="D93" s="211" t="s">
        <v>742</v>
      </c>
      <c r="E93" s="212"/>
      <c r="F93" s="212"/>
      <c r="G93" s="212"/>
      <c r="H93" s="212"/>
      <c r="I93" s="213"/>
      <c r="J93" s="66"/>
      <c r="K93" s="183">
        <v>0.15</v>
      </c>
      <c r="L93" s="184"/>
      <c r="M93" s="183"/>
      <c r="N93" s="184"/>
      <c r="O93" s="183">
        <v>0.3</v>
      </c>
      <c r="P93" s="184"/>
      <c r="Q93" s="214"/>
      <c r="R93" s="215"/>
      <c r="S93" s="183">
        <f>3.4+1.5</f>
        <v>4.9000000000000004</v>
      </c>
      <c r="T93" s="184"/>
      <c r="U93" s="214"/>
      <c r="V93" s="215"/>
      <c r="W93" s="208">
        <f t="shared" ref="W93:W117" si="10">K93*O93</f>
        <v>4.4999999999999998E-2</v>
      </c>
      <c r="X93" s="209"/>
      <c r="Y93" s="210"/>
      <c r="Z93" s="208">
        <f t="shared" ref="Z93:Z108" si="11">W93*S93</f>
        <v>0.2205</v>
      </c>
      <c r="AA93" s="209"/>
      <c r="AB93" s="210"/>
      <c r="AC93" s="54"/>
      <c r="AD93" s="55"/>
      <c r="AE93" s="56"/>
      <c r="AF93" s="54"/>
      <c r="AG93" s="55"/>
      <c r="AH93" s="57"/>
    </row>
    <row r="94" spans="1:34" ht="15.75" x14ac:dyDescent="0.25">
      <c r="A94" s="185"/>
      <c r="B94" s="186"/>
      <c r="C94" s="184"/>
      <c r="D94" s="211" t="s">
        <v>743</v>
      </c>
      <c r="E94" s="212"/>
      <c r="F94" s="212"/>
      <c r="G94" s="212"/>
      <c r="H94" s="212"/>
      <c r="I94" s="213"/>
      <c r="J94" s="66"/>
      <c r="K94" s="183">
        <v>0.15</v>
      </c>
      <c r="L94" s="184"/>
      <c r="M94" s="183"/>
      <c r="N94" s="184"/>
      <c r="O94" s="183">
        <v>0.3</v>
      </c>
      <c r="P94" s="184"/>
      <c r="Q94" s="183"/>
      <c r="R94" s="184"/>
      <c r="S94" s="183">
        <v>3.4</v>
      </c>
      <c r="T94" s="184"/>
      <c r="U94" s="183"/>
      <c r="V94" s="184"/>
      <c r="W94" s="180">
        <f t="shared" si="10"/>
        <v>4.4999999999999998E-2</v>
      </c>
      <c r="X94" s="181"/>
      <c r="Y94" s="182"/>
      <c r="Z94" s="180">
        <f t="shared" si="11"/>
        <v>0.153</v>
      </c>
      <c r="AA94" s="181"/>
      <c r="AB94" s="182"/>
      <c r="AC94" s="54"/>
      <c r="AD94" s="55"/>
      <c r="AE94" s="56"/>
      <c r="AF94" s="54"/>
      <c r="AG94" s="55"/>
      <c r="AH94" s="57"/>
    </row>
    <row r="95" spans="1:34" ht="15.75" x14ac:dyDescent="0.25">
      <c r="A95" s="185"/>
      <c r="B95" s="186"/>
      <c r="C95" s="184"/>
      <c r="D95" s="211" t="s">
        <v>744</v>
      </c>
      <c r="E95" s="212"/>
      <c r="F95" s="212"/>
      <c r="G95" s="212"/>
      <c r="H95" s="212"/>
      <c r="I95" s="213"/>
      <c r="J95" s="66"/>
      <c r="K95" s="183">
        <v>0.15</v>
      </c>
      <c r="L95" s="184"/>
      <c r="M95" s="183"/>
      <c r="N95" s="184"/>
      <c r="O95" s="183">
        <v>0.3</v>
      </c>
      <c r="P95" s="184"/>
      <c r="Q95" s="183"/>
      <c r="R95" s="184"/>
      <c r="S95" s="183">
        <v>3.4</v>
      </c>
      <c r="T95" s="184"/>
      <c r="U95" s="214"/>
      <c r="V95" s="215"/>
      <c r="W95" s="208">
        <f t="shared" si="10"/>
        <v>4.4999999999999998E-2</v>
      </c>
      <c r="X95" s="209"/>
      <c r="Y95" s="210"/>
      <c r="Z95" s="208">
        <f t="shared" si="11"/>
        <v>0.153</v>
      </c>
      <c r="AA95" s="209"/>
      <c r="AB95" s="210"/>
      <c r="AC95" s="54"/>
      <c r="AD95" s="55"/>
      <c r="AE95" s="56"/>
      <c r="AF95" s="54"/>
      <c r="AG95" s="55"/>
      <c r="AH95" s="57"/>
    </row>
    <row r="96" spans="1:34" ht="15.75" x14ac:dyDescent="0.25">
      <c r="A96" s="185"/>
      <c r="B96" s="186"/>
      <c r="C96" s="184"/>
      <c r="D96" s="211" t="s">
        <v>745</v>
      </c>
      <c r="E96" s="212"/>
      <c r="F96" s="212"/>
      <c r="G96" s="212"/>
      <c r="H96" s="212"/>
      <c r="I96" s="213"/>
      <c r="J96" s="66"/>
      <c r="K96" s="183">
        <v>0.15</v>
      </c>
      <c r="L96" s="184"/>
      <c r="M96" s="183"/>
      <c r="N96" s="184"/>
      <c r="O96" s="183">
        <v>0.3</v>
      </c>
      <c r="P96" s="184"/>
      <c r="Q96" s="183"/>
      <c r="R96" s="184"/>
      <c r="S96" s="183">
        <v>3.4</v>
      </c>
      <c r="T96" s="184"/>
      <c r="U96" s="214"/>
      <c r="V96" s="215"/>
      <c r="W96" s="208">
        <f t="shared" si="10"/>
        <v>4.4999999999999998E-2</v>
      </c>
      <c r="X96" s="209"/>
      <c r="Y96" s="210"/>
      <c r="Z96" s="208">
        <f t="shared" si="11"/>
        <v>0.153</v>
      </c>
      <c r="AA96" s="209"/>
      <c r="AB96" s="210"/>
      <c r="AC96" s="54"/>
      <c r="AD96" s="55"/>
      <c r="AE96" s="56"/>
      <c r="AF96" s="54"/>
      <c r="AG96" s="55"/>
      <c r="AH96" s="57"/>
    </row>
    <row r="97" spans="1:35" ht="15.75" x14ac:dyDescent="0.25">
      <c r="A97" s="185"/>
      <c r="B97" s="186"/>
      <c r="C97" s="184"/>
      <c r="D97" s="211" t="s">
        <v>746</v>
      </c>
      <c r="E97" s="212"/>
      <c r="F97" s="212"/>
      <c r="G97" s="212"/>
      <c r="H97" s="212"/>
      <c r="I97" s="213"/>
      <c r="J97" s="66"/>
      <c r="K97" s="183">
        <v>0.15</v>
      </c>
      <c r="L97" s="184"/>
      <c r="M97" s="183"/>
      <c r="N97" s="184"/>
      <c r="O97" s="183">
        <v>0.3</v>
      </c>
      <c r="P97" s="184"/>
      <c r="Q97" s="214"/>
      <c r="R97" s="215"/>
      <c r="S97" s="183">
        <f t="shared" ref="S97:S108" si="12">3.4+1.5</f>
        <v>4.9000000000000004</v>
      </c>
      <c r="T97" s="184"/>
      <c r="U97" s="214"/>
      <c r="V97" s="215"/>
      <c r="W97" s="208">
        <f t="shared" si="10"/>
        <v>4.4999999999999998E-2</v>
      </c>
      <c r="X97" s="209"/>
      <c r="Y97" s="210"/>
      <c r="Z97" s="208">
        <f t="shared" si="11"/>
        <v>0.2205</v>
      </c>
      <c r="AA97" s="209"/>
      <c r="AB97" s="210"/>
      <c r="AC97" s="54"/>
      <c r="AD97" s="55"/>
      <c r="AE97" s="56"/>
      <c r="AF97" s="54"/>
      <c r="AG97" s="55"/>
      <c r="AH97" s="57"/>
    </row>
    <row r="98" spans="1:35" ht="15.75" x14ac:dyDescent="0.25">
      <c r="A98" s="185"/>
      <c r="B98" s="186"/>
      <c r="C98" s="184"/>
      <c r="D98" s="211" t="s">
        <v>747</v>
      </c>
      <c r="E98" s="212"/>
      <c r="F98" s="212"/>
      <c r="G98" s="212"/>
      <c r="H98" s="212"/>
      <c r="I98" s="213"/>
      <c r="J98" s="66"/>
      <c r="K98" s="183">
        <v>0.15</v>
      </c>
      <c r="L98" s="184"/>
      <c r="M98" s="183"/>
      <c r="N98" s="184"/>
      <c r="O98" s="183">
        <v>0.3</v>
      </c>
      <c r="P98" s="184"/>
      <c r="Q98" s="214"/>
      <c r="R98" s="215"/>
      <c r="S98" s="183">
        <f t="shared" si="12"/>
        <v>4.9000000000000004</v>
      </c>
      <c r="T98" s="184"/>
      <c r="U98" s="214"/>
      <c r="V98" s="215"/>
      <c r="W98" s="208">
        <f t="shared" si="10"/>
        <v>4.4999999999999998E-2</v>
      </c>
      <c r="X98" s="209"/>
      <c r="Y98" s="210"/>
      <c r="Z98" s="208">
        <f t="shared" si="11"/>
        <v>0.2205</v>
      </c>
      <c r="AA98" s="209"/>
      <c r="AB98" s="210"/>
      <c r="AC98" s="54"/>
      <c r="AD98" s="55"/>
      <c r="AE98" s="56"/>
      <c r="AF98" s="54"/>
      <c r="AG98" s="55"/>
      <c r="AH98" s="57"/>
    </row>
    <row r="99" spans="1:35" ht="15.75" x14ac:dyDescent="0.25">
      <c r="A99" s="185"/>
      <c r="B99" s="186"/>
      <c r="C99" s="184"/>
      <c r="D99" s="211" t="s">
        <v>748</v>
      </c>
      <c r="E99" s="212"/>
      <c r="F99" s="212"/>
      <c r="G99" s="212"/>
      <c r="H99" s="212"/>
      <c r="I99" s="213"/>
      <c r="J99" s="66"/>
      <c r="K99" s="183">
        <v>0.15</v>
      </c>
      <c r="L99" s="184"/>
      <c r="M99" s="183"/>
      <c r="N99" s="184"/>
      <c r="O99" s="183">
        <v>0.3</v>
      </c>
      <c r="P99" s="184"/>
      <c r="Q99" s="214"/>
      <c r="R99" s="215"/>
      <c r="S99" s="183">
        <f t="shared" si="12"/>
        <v>4.9000000000000004</v>
      </c>
      <c r="T99" s="184"/>
      <c r="U99" s="183"/>
      <c r="V99" s="184"/>
      <c r="W99" s="180">
        <f t="shared" si="10"/>
        <v>4.4999999999999998E-2</v>
      </c>
      <c r="X99" s="181"/>
      <c r="Y99" s="182"/>
      <c r="Z99" s="180">
        <f t="shared" si="11"/>
        <v>0.2205</v>
      </c>
      <c r="AA99" s="181"/>
      <c r="AB99" s="182"/>
      <c r="AC99" s="54"/>
      <c r="AD99" s="55"/>
      <c r="AE99" s="56"/>
      <c r="AF99" s="54"/>
      <c r="AG99" s="55"/>
      <c r="AH99" s="57"/>
    </row>
    <row r="100" spans="1:35" ht="15.75" x14ac:dyDescent="0.25">
      <c r="A100" s="185"/>
      <c r="B100" s="186"/>
      <c r="C100" s="184"/>
      <c r="D100" s="211" t="s">
        <v>749</v>
      </c>
      <c r="E100" s="212"/>
      <c r="F100" s="212"/>
      <c r="G100" s="212"/>
      <c r="H100" s="212"/>
      <c r="I100" s="213"/>
      <c r="J100" s="66"/>
      <c r="K100" s="183">
        <v>0.15</v>
      </c>
      <c r="L100" s="184"/>
      <c r="M100" s="183"/>
      <c r="N100" s="184"/>
      <c r="O100" s="183">
        <v>0.3</v>
      </c>
      <c r="P100" s="184"/>
      <c r="Q100" s="214"/>
      <c r="R100" s="215"/>
      <c r="S100" s="183">
        <f t="shared" si="12"/>
        <v>4.9000000000000004</v>
      </c>
      <c r="T100" s="184"/>
      <c r="U100" s="214"/>
      <c r="V100" s="215"/>
      <c r="W100" s="208">
        <f t="shared" si="10"/>
        <v>4.4999999999999998E-2</v>
      </c>
      <c r="X100" s="209"/>
      <c r="Y100" s="210"/>
      <c r="Z100" s="208">
        <f t="shared" si="11"/>
        <v>0.2205</v>
      </c>
      <c r="AA100" s="209"/>
      <c r="AB100" s="210"/>
      <c r="AC100" s="54"/>
      <c r="AD100" s="55"/>
      <c r="AE100" s="56"/>
      <c r="AF100" s="54"/>
      <c r="AG100" s="55"/>
      <c r="AH100" s="57"/>
    </row>
    <row r="101" spans="1:35" ht="15.75" x14ac:dyDescent="0.25">
      <c r="A101" s="185"/>
      <c r="B101" s="186"/>
      <c r="C101" s="184"/>
      <c r="D101" s="211" t="s">
        <v>750</v>
      </c>
      <c r="E101" s="212"/>
      <c r="F101" s="212"/>
      <c r="G101" s="212"/>
      <c r="H101" s="212"/>
      <c r="I101" s="213"/>
      <c r="J101" s="66"/>
      <c r="K101" s="183">
        <v>0.15</v>
      </c>
      <c r="L101" s="184"/>
      <c r="M101" s="183"/>
      <c r="N101" s="184"/>
      <c r="O101" s="183">
        <v>0.3</v>
      </c>
      <c r="P101" s="184"/>
      <c r="Q101" s="214"/>
      <c r="R101" s="215"/>
      <c r="S101" s="183">
        <f t="shared" si="12"/>
        <v>4.9000000000000004</v>
      </c>
      <c r="T101" s="184"/>
      <c r="U101" s="214"/>
      <c r="V101" s="215"/>
      <c r="W101" s="208">
        <f t="shared" si="10"/>
        <v>4.4999999999999998E-2</v>
      </c>
      <c r="X101" s="209"/>
      <c r="Y101" s="210"/>
      <c r="Z101" s="208">
        <f t="shared" si="11"/>
        <v>0.2205</v>
      </c>
      <c r="AA101" s="209"/>
      <c r="AB101" s="210"/>
      <c r="AC101" s="54"/>
      <c r="AD101" s="55"/>
      <c r="AE101" s="56"/>
      <c r="AF101" s="54"/>
      <c r="AG101" s="55"/>
      <c r="AH101" s="57"/>
    </row>
    <row r="102" spans="1:35" ht="15.75" x14ac:dyDescent="0.25">
      <c r="A102" s="185"/>
      <c r="B102" s="186"/>
      <c r="C102" s="184"/>
      <c r="D102" s="211" t="s">
        <v>751</v>
      </c>
      <c r="E102" s="212"/>
      <c r="F102" s="212"/>
      <c r="G102" s="212"/>
      <c r="H102" s="212"/>
      <c r="I102" s="213"/>
      <c r="J102" s="66"/>
      <c r="K102" s="183">
        <v>0.15</v>
      </c>
      <c r="L102" s="184"/>
      <c r="M102" s="183"/>
      <c r="N102" s="184"/>
      <c r="O102" s="183">
        <v>0.3</v>
      </c>
      <c r="P102" s="184"/>
      <c r="Q102" s="214"/>
      <c r="R102" s="215"/>
      <c r="S102" s="183">
        <f t="shared" si="12"/>
        <v>4.9000000000000004</v>
      </c>
      <c r="T102" s="184"/>
      <c r="U102" s="214"/>
      <c r="V102" s="215"/>
      <c r="W102" s="208">
        <f t="shared" si="10"/>
        <v>4.4999999999999998E-2</v>
      </c>
      <c r="X102" s="209"/>
      <c r="Y102" s="210"/>
      <c r="Z102" s="208">
        <f t="shared" si="11"/>
        <v>0.2205</v>
      </c>
      <c r="AA102" s="209"/>
      <c r="AB102" s="210"/>
      <c r="AC102" s="54"/>
      <c r="AD102" s="55"/>
      <c r="AE102" s="56"/>
      <c r="AF102" s="54"/>
      <c r="AG102" s="55"/>
      <c r="AH102" s="57"/>
    </row>
    <row r="103" spans="1:35" ht="15.75" x14ac:dyDescent="0.25">
      <c r="A103" s="185"/>
      <c r="B103" s="186"/>
      <c r="C103" s="184"/>
      <c r="D103" s="211" t="s">
        <v>752</v>
      </c>
      <c r="E103" s="212"/>
      <c r="F103" s="212"/>
      <c r="G103" s="212"/>
      <c r="H103" s="212"/>
      <c r="I103" s="213"/>
      <c r="J103" s="66"/>
      <c r="K103" s="214">
        <v>0.2</v>
      </c>
      <c r="L103" s="215"/>
      <c r="M103" s="214"/>
      <c r="N103" s="215"/>
      <c r="O103" s="214">
        <v>0.3</v>
      </c>
      <c r="P103" s="215"/>
      <c r="Q103" s="214"/>
      <c r="R103" s="215"/>
      <c r="S103" s="183">
        <f t="shared" si="12"/>
        <v>4.9000000000000004</v>
      </c>
      <c r="T103" s="184"/>
      <c r="U103" s="214"/>
      <c r="V103" s="215"/>
      <c r="W103" s="208">
        <f t="shared" si="10"/>
        <v>0.06</v>
      </c>
      <c r="X103" s="209"/>
      <c r="Y103" s="210"/>
      <c r="Z103" s="208">
        <f t="shared" si="11"/>
        <v>0.29399999999999998</v>
      </c>
      <c r="AA103" s="209"/>
      <c r="AB103" s="210"/>
      <c r="AC103" s="54"/>
      <c r="AD103" s="55"/>
      <c r="AE103" s="56"/>
      <c r="AF103" s="54"/>
      <c r="AG103" s="55"/>
      <c r="AH103" s="57"/>
    </row>
    <row r="104" spans="1:35" ht="15.75" x14ac:dyDescent="0.25">
      <c r="A104" s="185"/>
      <c r="B104" s="186"/>
      <c r="C104" s="184"/>
      <c r="D104" s="211" t="s">
        <v>753</v>
      </c>
      <c r="E104" s="212"/>
      <c r="F104" s="212"/>
      <c r="G104" s="212"/>
      <c r="H104" s="212"/>
      <c r="I104" s="213"/>
      <c r="J104" s="66"/>
      <c r="K104" s="214">
        <v>0.2</v>
      </c>
      <c r="L104" s="215"/>
      <c r="M104" s="214"/>
      <c r="N104" s="215"/>
      <c r="O104" s="214">
        <v>0.3</v>
      </c>
      <c r="P104" s="215"/>
      <c r="Q104" s="214"/>
      <c r="R104" s="215"/>
      <c r="S104" s="183">
        <f t="shared" si="12"/>
        <v>4.9000000000000004</v>
      </c>
      <c r="T104" s="184"/>
      <c r="U104" s="183"/>
      <c r="V104" s="184"/>
      <c r="W104" s="180">
        <f t="shared" si="10"/>
        <v>0.06</v>
      </c>
      <c r="X104" s="181"/>
      <c r="Y104" s="182"/>
      <c r="Z104" s="180">
        <f t="shared" si="11"/>
        <v>0.29399999999999998</v>
      </c>
      <c r="AA104" s="181"/>
      <c r="AB104" s="182"/>
      <c r="AC104" s="54"/>
      <c r="AD104" s="55"/>
      <c r="AE104" s="56"/>
      <c r="AF104" s="54"/>
      <c r="AG104" s="55"/>
      <c r="AH104" s="57"/>
    </row>
    <row r="105" spans="1:35" ht="15.75" x14ac:dyDescent="0.25">
      <c r="A105" s="185"/>
      <c r="B105" s="186"/>
      <c r="C105" s="184"/>
      <c r="D105" s="211" t="s">
        <v>754</v>
      </c>
      <c r="E105" s="212"/>
      <c r="F105" s="212"/>
      <c r="G105" s="212"/>
      <c r="H105" s="212"/>
      <c r="I105" s="213"/>
      <c r="J105" s="66"/>
      <c r="K105" s="183">
        <v>0.15</v>
      </c>
      <c r="L105" s="184"/>
      <c r="M105" s="183"/>
      <c r="N105" s="184"/>
      <c r="O105" s="183">
        <v>0.3</v>
      </c>
      <c r="P105" s="184"/>
      <c r="Q105" s="214"/>
      <c r="R105" s="215"/>
      <c r="S105" s="183">
        <f t="shared" si="12"/>
        <v>4.9000000000000004</v>
      </c>
      <c r="T105" s="184"/>
      <c r="U105" s="214"/>
      <c r="V105" s="215"/>
      <c r="W105" s="208">
        <f t="shared" si="10"/>
        <v>4.4999999999999998E-2</v>
      </c>
      <c r="X105" s="209"/>
      <c r="Y105" s="210"/>
      <c r="Z105" s="208">
        <f t="shared" si="11"/>
        <v>0.2205</v>
      </c>
      <c r="AA105" s="209"/>
      <c r="AB105" s="210"/>
      <c r="AC105" s="54"/>
      <c r="AD105" s="55"/>
      <c r="AE105" s="56"/>
      <c r="AF105" s="54"/>
      <c r="AG105" s="55"/>
      <c r="AH105" s="57"/>
    </row>
    <row r="106" spans="1:35" ht="15.75" x14ac:dyDescent="0.25">
      <c r="A106" s="185"/>
      <c r="B106" s="186"/>
      <c r="C106" s="184"/>
      <c r="D106" s="211" t="s">
        <v>755</v>
      </c>
      <c r="E106" s="212"/>
      <c r="F106" s="212"/>
      <c r="G106" s="212"/>
      <c r="H106" s="212"/>
      <c r="I106" s="213"/>
      <c r="J106" s="66"/>
      <c r="K106" s="183">
        <v>0.15</v>
      </c>
      <c r="L106" s="184"/>
      <c r="M106" s="183"/>
      <c r="N106" s="184"/>
      <c r="O106" s="183">
        <v>0.3</v>
      </c>
      <c r="P106" s="184"/>
      <c r="Q106" s="214"/>
      <c r="R106" s="215"/>
      <c r="S106" s="183">
        <f t="shared" si="12"/>
        <v>4.9000000000000004</v>
      </c>
      <c r="T106" s="184"/>
      <c r="U106" s="214"/>
      <c r="V106" s="215"/>
      <c r="W106" s="208">
        <f t="shared" si="10"/>
        <v>4.4999999999999998E-2</v>
      </c>
      <c r="X106" s="209"/>
      <c r="Y106" s="210"/>
      <c r="Z106" s="208">
        <f t="shared" si="11"/>
        <v>0.2205</v>
      </c>
      <c r="AA106" s="209"/>
      <c r="AB106" s="210"/>
      <c r="AC106" s="54"/>
      <c r="AD106" s="55"/>
      <c r="AE106" s="56"/>
      <c r="AF106" s="54"/>
      <c r="AG106" s="55"/>
      <c r="AH106" s="57"/>
    </row>
    <row r="107" spans="1:35" ht="15.75" x14ac:dyDescent="0.25">
      <c r="A107" s="185"/>
      <c r="B107" s="186"/>
      <c r="C107" s="184"/>
      <c r="D107" s="211" t="s">
        <v>756</v>
      </c>
      <c r="E107" s="212"/>
      <c r="F107" s="212"/>
      <c r="G107" s="212"/>
      <c r="H107" s="212"/>
      <c r="I107" s="213"/>
      <c r="J107" s="66"/>
      <c r="K107" s="183">
        <v>0.15</v>
      </c>
      <c r="L107" s="184"/>
      <c r="M107" s="183"/>
      <c r="N107" s="184"/>
      <c r="O107" s="183">
        <v>0.3</v>
      </c>
      <c r="P107" s="184"/>
      <c r="Q107" s="214"/>
      <c r="R107" s="215"/>
      <c r="S107" s="183">
        <f t="shared" si="12"/>
        <v>4.9000000000000004</v>
      </c>
      <c r="T107" s="184"/>
      <c r="U107" s="214"/>
      <c r="V107" s="215"/>
      <c r="W107" s="208">
        <f t="shared" si="10"/>
        <v>4.4999999999999998E-2</v>
      </c>
      <c r="X107" s="209"/>
      <c r="Y107" s="210"/>
      <c r="Z107" s="208">
        <f t="shared" si="11"/>
        <v>0.2205</v>
      </c>
      <c r="AA107" s="209"/>
      <c r="AB107" s="210"/>
      <c r="AC107" s="54"/>
      <c r="AD107" s="55"/>
      <c r="AE107" s="56"/>
      <c r="AF107" s="54"/>
      <c r="AG107" s="55"/>
      <c r="AH107" s="57"/>
    </row>
    <row r="108" spans="1:35" ht="15.75" x14ac:dyDescent="0.25">
      <c r="A108" s="185"/>
      <c r="B108" s="186"/>
      <c r="C108" s="184"/>
      <c r="D108" s="211" t="s">
        <v>757</v>
      </c>
      <c r="E108" s="212"/>
      <c r="F108" s="212"/>
      <c r="G108" s="212"/>
      <c r="H108" s="212"/>
      <c r="I108" s="213"/>
      <c r="J108" s="66"/>
      <c r="K108" s="183">
        <v>0.15</v>
      </c>
      <c r="L108" s="184"/>
      <c r="M108" s="183"/>
      <c r="N108" s="184"/>
      <c r="O108" s="183">
        <v>0.3</v>
      </c>
      <c r="P108" s="184"/>
      <c r="Q108" s="214"/>
      <c r="R108" s="215"/>
      <c r="S108" s="183">
        <f t="shared" si="12"/>
        <v>4.9000000000000004</v>
      </c>
      <c r="T108" s="184"/>
      <c r="U108" s="214"/>
      <c r="V108" s="215"/>
      <c r="W108" s="208">
        <f t="shared" si="10"/>
        <v>4.4999999999999998E-2</v>
      </c>
      <c r="X108" s="209"/>
      <c r="Y108" s="210"/>
      <c r="Z108" s="208">
        <f t="shared" si="11"/>
        <v>0.2205</v>
      </c>
      <c r="AA108" s="209"/>
      <c r="AB108" s="210"/>
      <c r="AC108" s="54"/>
      <c r="AD108" s="55"/>
      <c r="AE108" s="56"/>
      <c r="AF108" s="54"/>
      <c r="AG108" s="55"/>
      <c r="AH108" s="57"/>
    </row>
    <row r="109" spans="1:35" ht="41.25" customHeight="1" x14ac:dyDescent="0.25">
      <c r="A109" s="189" t="str">
        <f>'MEMORIA BM 08'!A40</f>
        <v>5.3</v>
      </c>
      <c r="B109" s="190"/>
      <c r="C109" s="191"/>
      <c r="D109" s="218" t="str">
        <f>'MEMORIA BM 08'!B40</f>
        <v>ARMAÇÃO DE PILAR OU VIGA DE UMA ESTRUTURA CONVENCIONAL DE CONCRETO ARMADO EM UMA EDIFICAÇÃO TÉRREA OU SOBRADO UTILIZANDO AÇO CA-50 DE 10,0 MM - MONTAGEM. AF_12/2015</v>
      </c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20"/>
      <c r="AC109" s="195">
        <f>SUM(Z110:AB202)</f>
        <v>1074.159979999999</v>
      </c>
      <c r="AD109" s="190"/>
      <c r="AE109" s="191"/>
      <c r="AF109" s="195" t="s">
        <v>361</v>
      </c>
      <c r="AG109" s="190"/>
      <c r="AH109" s="196"/>
      <c r="AI109">
        <v>1074.1600000000001</v>
      </c>
    </row>
    <row r="110" spans="1:35" ht="15.75" x14ac:dyDescent="0.25">
      <c r="A110" s="185"/>
      <c r="B110" s="186"/>
      <c r="C110" s="184"/>
      <c r="D110" s="216" t="s">
        <v>665</v>
      </c>
      <c r="E110" s="217"/>
      <c r="F110" s="217"/>
      <c r="G110" s="217"/>
      <c r="H110" s="217"/>
      <c r="I110" s="217"/>
      <c r="J110" s="66"/>
      <c r="K110" s="214">
        <f>((4*3.73)+(4*1.47))</f>
        <v>20.8</v>
      </c>
      <c r="L110" s="215"/>
      <c r="M110" s="214"/>
      <c r="N110" s="215"/>
      <c r="O110" s="214">
        <v>1</v>
      </c>
      <c r="P110" s="215"/>
      <c r="Q110" s="214"/>
      <c r="R110" s="215"/>
      <c r="S110" s="214"/>
      <c r="T110" s="215"/>
      <c r="U110" s="214"/>
      <c r="V110" s="215"/>
      <c r="W110" s="208">
        <f t="shared" si="10"/>
        <v>20.8</v>
      </c>
      <c r="X110" s="209"/>
      <c r="Y110" s="210"/>
      <c r="Z110" s="208">
        <f>W110*0.617</f>
        <v>12.833600000000001</v>
      </c>
      <c r="AA110" s="209"/>
      <c r="AB110" s="210"/>
      <c r="AC110" s="54"/>
      <c r="AD110" s="55"/>
      <c r="AE110" s="56"/>
      <c r="AF110" s="54"/>
      <c r="AG110" s="55"/>
      <c r="AH110" s="57"/>
    </row>
    <row r="111" spans="1:35" ht="15.75" x14ac:dyDescent="0.25">
      <c r="A111" s="185"/>
      <c r="B111" s="186"/>
      <c r="C111" s="184"/>
      <c r="D111" s="216" t="s">
        <v>666</v>
      </c>
      <c r="E111" s="217"/>
      <c r="F111" s="217"/>
      <c r="G111" s="217"/>
      <c r="H111" s="217"/>
      <c r="I111" s="217"/>
      <c r="J111" s="66"/>
      <c r="K111" s="214">
        <f>((6*3.73)+(6*1.47))</f>
        <v>31.2</v>
      </c>
      <c r="L111" s="215"/>
      <c r="M111" s="214"/>
      <c r="N111" s="215"/>
      <c r="O111" s="214">
        <v>1</v>
      </c>
      <c r="P111" s="215"/>
      <c r="Q111" s="214"/>
      <c r="R111" s="215"/>
      <c r="S111" s="214"/>
      <c r="T111" s="215"/>
      <c r="U111" s="214"/>
      <c r="V111" s="215"/>
      <c r="W111" s="208">
        <f t="shared" si="10"/>
        <v>31.2</v>
      </c>
      <c r="X111" s="209"/>
      <c r="Y111" s="210"/>
      <c r="Z111" s="208">
        <f t="shared" ref="Z111:Z174" si="13">W111*0.617</f>
        <v>19.250399999999999</v>
      </c>
      <c r="AA111" s="209"/>
      <c r="AB111" s="210"/>
      <c r="AC111" s="54"/>
      <c r="AD111" s="55"/>
      <c r="AE111" s="56"/>
      <c r="AF111" s="54"/>
      <c r="AG111" s="55"/>
      <c r="AH111" s="57"/>
    </row>
    <row r="112" spans="1:35" ht="15.75" x14ac:dyDescent="0.25">
      <c r="A112" s="185"/>
      <c r="B112" s="186"/>
      <c r="C112" s="184"/>
      <c r="D112" s="216" t="s">
        <v>667</v>
      </c>
      <c r="E112" s="217"/>
      <c r="F112" s="217"/>
      <c r="G112" s="217"/>
      <c r="H112" s="217"/>
      <c r="I112" s="217"/>
      <c r="J112" s="66"/>
      <c r="K112" s="214">
        <f>((6*3.73)+(6*1.47))</f>
        <v>31.2</v>
      </c>
      <c r="L112" s="215"/>
      <c r="M112" s="214"/>
      <c r="N112" s="215"/>
      <c r="O112" s="214">
        <v>1</v>
      </c>
      <c r="P112" s="215"/>
      <c r="Q112" s="214"/>
      <c r="R112" s="215"/>
      <c r="S112" s="214"/>
      <c r="T112" s="215"/>
      <c r="U112" s="214"/>
      <c r="V112" s="215"/>
      <c r="W112" s="208">
        <f t="shared" si="10"/>
        <v>31.2</v>
      </c>
      <c r="X112" s="209"/>
      <c r="Y112" s="210"/>
      <c r="Z112" s="208">
        <f t="shared" si="13"/>
        <v>19.250399999999999</v>
      </c>
      <c r="AA112" s="209"/>
      <c r="AB112" s="210"/>
      <c r="AC112" s="54"/>
      <c r="AD112" s="55"/>
      <c r="AE112" s="56"/>
      <c r="AF112" s="54"/>
      <c r="AG112" s="55"/>
      <c r="AH112" s="57"/>
    </row>
    <row r="113" spans="1:34" ht="15.75" x14ac:dyDescent="0.25">
      <c r="A113" s="185"/>
      <c r="B113" s="186"/>
      <c r="C113" s="184"/>
      <c r="D113" s="216" t="s">
        <v>668</v>
      </c>
      <c r="E113" s="217"/>
      <c r="F113" s="217"/>
      <c r="G113" s="217"/>
      <c r="H113" s="217"/>
      <c r="I113" s="217"/>
      <c r="J113" s="66"/>
      <c r="K113" s="214">
        <f>((6*3.73)+(6*1.47))</f>
        <v>31.2</v>
      </c>
      <c r="L113" s="215"/>
      <c r="M113" s="214"/>
      <c r="N113" s="215"/>
      <c r="O113" s="214">
        <v>1</v>
      </c>
      <c r="P113" s="215"/>
      <c r="Q113" s="214"/>
      <c r="R113" s="215"/>
      <c r="S113" s="214"/>
      <c r="T113" s="215"/>
      <c r="U113" s="214"/>
      <c r="V113" s="215"/>
      <c r="W113" s="208">
        <f t="shared" si="10"/>
        <v>31.2</v>
      </c>
      <c r="X113" s="209"/>
      <c r="Y113" s="210"/>
      <c r="Z113" s="208">
        <f t="shared" si="13"/>
        <v>19.250399999999999</v>
      </c>
      <c r="AA113" s="209"/>
      <c r="AB113" s="210"/>
      <c r="AC113" s="54"/>
      <c r="AD113" s="55"/>
      <c r="AE113" s="56"/>
      <c r="AF113" s="54"/>
      <c r="AG113" s="55"/>
      <c r="AH113" s="57"/>
    </row>
    <row r="114" spans="1:34" ht="15.75" x14ac:dyDescent="0.25">
      <c r="A114" s="185"/>
      <c r="B114" s="186"/>
      <c r="C114" s="184"/>
      <c r="D114" s="216" t="s">
        <v>669</v>
      </c>
      <c r="E114" s="217"/>
      <c r="F114" s="217"/>
      <c r="G114" s="217"/>
      <c r="H114" s="217"/>
      <c r="I114" s="217"/>
      <c r="J114" s="66"/>
      <c r="K114" s="214">
        <f>((6*3.73)+(6*1.47))</f>
        <v>31.2</v>
      </c>
      <c r="L114" s="215"/>
      <c r="M114" s="214"/>
      <c r="N114" s="215"/>
      <c r="O114" s="214">
        <v>1</v>
      </c>
      <c r="P114" s="215"/>
      <c r="Q114" s="183"/>
      <c r="R114" s="184"/>
      <c r="S114" s="183"/>
      <c r="T114" s="184"/>
      <c r="U114" s="183"/>
      <c r="V114" s="184"/>
      <c r="W114" s="208">
        <f t="shared" si="10"/>
        <v>31.2</v>
      </c>
      <c r="X114" s="209"/>
      <c r="Y114" s="210"/>
      <c r="Z114" s="208">
        <f t="shared" si="13"/>
        <v>19.250399999999999</v>
      </c>
      <c r="AA114" s="209"/>
      <c r="AB114" s="210"/>
      <c r="AC114" s="54"/>
      <c r="AD114" s="55"/>
      <c r="AE114" s="56"/>
      <c r="AF114" s="54"/>
      <c r="AG114" s="55"/>
      <c r="AH114" s="57"/>
    </row>
    <row r="115" spans="1:34" ht="15.75" x14ac:dyDescent="0.25">
      <c r="A115" s="185"/>
      <c r="B115" s="186"/>
      <c r="C115" s="184"/>
      <c r="D115" s="216" t="s">
        <v>670</v>
      </c>
      <c r="E115" s="217"/>
      <c r="F115" s="217"/>
      <c r="G115" s="217"/>
      <c r="H115" s="217"/>
      <c r="I115" s="217"/>
      <c r="J115" s="66"/>
      <c r="K115" s="214">
        <f>((6*3.73)+(6*1.47))</f>
        <v>31.2</v>
      </c>
      <c r="L115" s="215"/>
      <c r="M115" s="214"/>
      <c r="N115" s="215"/>
      <c r="O115" s="214">
        <v>1</v>
      </c>
      <c r="P115" s="215"/>
      <c r="Q115" s="214"/>
      <c r="R115" s="215"/>
      <c r="S115" s="214"/>
      <c r="T115" s="215"/>
      <c r="U115" s="214"/>
      <c r="V115" s="215"/>
      <c r="W115" s="208">
        <f t="shared" si="10"/>
        <v>31.2</v>
      </c>
      <c r="X115" s="209"/>
      <c r="Y115" s="210"/>
      <c r="Z115" s="208">
        <f t="shared" si="13"/>
        <v>19.250399999999999</v>
      </c>
      <c r="AA115" s="209"/>
      <c r="AB115" s="210"/>
      <c r="AC115" s="54"/>
      <c r="AD115" s="55"/>
      <c r="AE115" s="56"/>
      <c r="AF115" s="54"/>
      <c r="AG115" s="55"/>
      <c r="AH115" s="57"/>
    </row>
    <row r="116" spans="1:34" ht="15.75" x14ac:dyDescent="0.25">
      <c r="A116" s="185"/>
      <c r="B116" s="186"/>
      <c r="C116" s="184"/>
      <c r="D116" s="216" t="s">
        <v>671</v>
      </c>
      <c r="E116" s="217"/>
      <c r="F116" s="217"/>
      <c r="G116" s="217"/>
      <c r="H116" s="217"/>
      <c r="I116" s="217"/>
      <c r="J116" s="66"/>
      <c r="K116" s="214">
        <f>((4*3.73)+(4*1.47))</f>
        <v>20.8</v>
      </c>
      <c r="L116" s="215"/>
      <c r="M116" s="214"/>
      <c r="N116" s="215"/>
      <c r="O116" s="214">
        <v>1</v>
      </c>
      <c r="P116" s="215"/>
      <c r="Q116" s="214"/>
      <c r="R116" s="215"/>
      <c r="S116" s="214"/>
      <c r="T116" s="215"/>
      <c r="U116" s="214"/>
      <c r="V116" s="215"/>
      <c r="W116" s="208">
        <f t="shared" si="10"/>
        <v>20.8</v>
      </c>
      <c r="X116" s="209"/>
      <c r="Y116" s="210"/>
      <c r="Z116" s="208">
        <f t="shared" si="13"/>
        <v>12.833600000000001</v>
      </c>
      <c r="AA116" s="209"/>
      <c r="AB116" s="210"/>
      <c r="AC116" s="54"/>
      <c r="AD116" s="55"/>
      <c r="AE116" s="56"/>
      <c r="AF116" s="54"/>
      <c r="AG116" s="55"/>
      <c r="AH116" s="57"/>
    </row>
    <row r="117" spans="1:34" ht="15.75" x14ac:dyDescent="0.25">
      <c r="A117" s="185"/>
      <c r="B117" s="186"/>
      <c r="C117" s="184"/>
      <c r="D117" s="216" t="s">
        <v>672</v>
      </c>
      <c r="E117" s="217"/>
      <c r="F117" s="217"/>
      <c r="G117" s="217"/>
      <c r="H117" s="217"/>
      <c r="I117" s="217"/>
      <c r="J117" s="66"/>
      <c r="K117" s="214">
        <f>((4*3.73)+(4*1.47))</f>
        <v>20.8</v>
      </c>
      <c r="L117" s="215"/>
      <c r="M117" s="214"/>
      <c r="N117" s="215"/>
      <c r="O117" s="214">
        <v>1</v>
      </c>
      <c r="P117" s="215"/>
      <c r="Q117" s="214"/>
      <c r="R117" s="215"/>
      <c r="S117" s="214"/>
      <c r="T117" s="215"/>
      <c r="U117" s="214"/>
      <c r="V117" s="215"/>
      <c r="W117" s="208">
        <f t="shared" si="10"/>
        <v>20.8</v>
      </c>
      <c r="X117" s="209"/>
      <c r="Y117" s="210"/>
      <c r="Z117" s="208">
        <f t="shared" si="13"/>
        <v>12.833600000000001</v>
      </c>
      <c r="AA117" s="209"/>
      <c r="AB117" s="210"/>
      <c r="AC117" s="54"/>
      <c r="AD117" s="55"/>
      <c r="AE117" s="56"/>
      <c r="AF117" s="54"/>
      <c r="AG117" s="55"/>
      <c r="AH117" s="57"/>
    </row>
    <row r="118" spans="1:34" ht="15.75" x14ac:dyDescent="0.25">
      <c r="A118" s="185"/>
      <c r="B118" s="186"/>
      <c r="C118" s="184"/>
      <c r="D118" s="216" t="s">
        <v>673</v>
      </c>
      <c r="E118" s="217"/>
      <c r="F118" s="217"/>
      <c r="G118" s="217"/>
      <c r="H118" s="217"/>
      <c r="I118" s="217"/>
      <c r="J118" s="66"/>
      <c r="K118" s="214">
        <f>4*3.37</f>
        <v>13.48</v>
      </c>
      <c r="L118" s="215"/>
      <c r="M118" s="214"/>
      <c r="N118" s="215"/>
      <c r="O118" s="214">
        <v>1</v>
      </c>
      <c r="P118" s="215"/>
      <c r="Q118" s="214"/>
      <c r="R118" s="215"/>
      <c r="S118" s="214"/>
      <c r="T118" s="215"/>
      <c r="U118" s="214"/>
      <c r="V118" s="215"/>
      <c r="W118" s="208">
        <f t="shared" ref="W118:W181" si="14">K118*O118</f>
        <v>13.48</v>
      </c>
      <c r="X118" s="209"/>
      <c r="Y118" s="210"/>
      <c r="Z118" s="208">
        <f t="shared" si="13"/>
        <v>8.3171599999999994</v>
      </c>
      <c r="AA118" s="209"/>
      <c r="AB118" s="210"/>
      <c r="AC118" s="54"/>
      <c r="AD118" s="55"/>
      <c r="AE118" s="56"/>
      <c r="AF118" s="54"/>
      <c r="AG118" s="55"/>
      <c r="AH118" s="57"/>
    </row>
    <row r="119" spans="1:34" ht="15.75" x14ac:dyDescent="0.25">
      <c r="A119" s="185"/>
      <c r="B119" s="186"/>
      <c r="C119" s="184"/>
      <c r="D119" s="216" t="s">
        <v>674</v>
      </c>
      <c r="E119" s="217"/>
      <c r="F119" s="217"/>
      <c r="G119" s="217"/>
      <c r="H119" s="217"/>
      <c r="I119" s="217"/>
      <c r="J119" s="66"/>
      <c r="K119" s="214">
        <f>((4*3.73)+(4*1.47))</f>
        <v>20.8</v>
      </c>
      <c r="L119" s="215"/>
      <c r="M119" s="214"/>
      <c r="N119" s="215"/>
      <c r="O119" s="214">
        <v>1</v>
      </c>
      <c r="P119" s="215"/>
      <c r="Q119" s="214"/>
      <c r="R119" s="215"/>
      <c r="S119" s="214"/>
      <c r="T119" s="215"/>
      <c r="U119" s="214"/>
      <c r="V119" s="215"/>
      <c r="W119" s="208">
        <f t="shared" si="14"/>
        <v>20.8</v>
      </c>
      <c r="X119" s="209"/>
      <c r="Y119" s="210"/>
      <c r="Z119" s="208">
        <f t="shared" si="13"/>
        <v>12.833600000000001</v>
      </c>
      <c r="AA119" s="209"/>
      <c r="AB119" s="210"/>
      <c r="AC119" s="54"/>
      <c r="AD119" s="55"/>
      <c r="AE119" s="56"/>
      <c r="AF119" s="54"/>
      <c r="AG119" s="55"/>
      <c r="AH119" s="57"/>
    </row>
    <row r="120" spans="1:34" ht="15.75" x14ac:dyDescent="0.25">
      <c r="A120" s="185"/>
      <c r="B120" s="186"/>
      <c r="C120" s="184"/>
      <c r="D120" s="216" t="s">
        <v>675</v>
      </c>
      <c r="E120" s="217"/>
      <c r="F120" s="217"/>
      <c r="G120" s="217"/>
      <c r="H120" s="217"/>
      <c r="I120" s="217"/>
      <c r="J120" s="66"/>
      <c r="K120" s="214">
        <f>((4*3.73)+(4*1.47))</f>
        <v>20.8</v>
      </c>
      <c r="L120" s="215"/>
      <c r="M120" s="214"/>
      <c r="N120" s="215"/>
      <c r="O120" s="214">
        <v>1</v>
      </c>
      <c r="P120" s="215"/>
      <c r="Q120" s="214"/>
      <c r="R120" s="215"/>
      <c r="S120" s="214"/>
      <c r="T120" s="215"/>
      <c r="U120" s="214"/>
      <c r="V120" s="215"/>
      <c r="W120" s="208">
        <f t="shared" si="14"/>
        <v>20.8</v>
      </c>
      <c r="X120" s="209"/>
      <c r="Y120" s="210"/>
      <c r="Z120" s="208">
        <f t="shared" si="13"/>
        <v>12.833600000000001</v>
      </c>
      <c r="AA120" s="209"/>
      <c r="AB120" s="210"/>
      <c r="AC120" s="54"/>
      <c r="AD120" s="55"/>
      <c r="AE120" s="56"/>
      <c r="AF120" s="54"/>
      <c r="AG120" s="55"/>
      <c r="AH120" s="57"/>
    </row>
    <row r="121" spans="1:34" ht="15.75" x14ac:dyDescent="0.25">
      <c r="A121" s="185"/>
      <c r="B121" s="186"/>
      <c r="C121" s="184"/>
      <c r="D121" s="216" t="s">
        <v>676</v>
      </c>
      <c r="E121" s="217"/>
      <c r="F121" s="217"/>
      <c r="G121" s="217"/>
      <c r="H121" s="217"/>
      <c r="I121" s="217"/>
      <c r="J121" s="66"/>
      <c r="K121" s="214">
        <f>4*3.37</f>
        <v>13.48</v>
      </c>
      <c r="L121" s="215"/>
      <c r="M121" s="214"/>
      <c r="N121" s="215"/>
      <c r="O121" s="214">
        <v>1</v>
      </c>
      <c r="P121" s="215"/>
      <c r="Q121" s="214"/>
      <c r="R121" s="215"/>
      <c r="S121" s="214"/>
      <c r="T121" s="215"/>
      <c r="U121" s="214"/>
      <c r="V121" s="215"/>
      <c r="W121" s="208">
        <f t="shared" si="14"/>
        <v>13.48</v>
      </c>
      <c r="X121" s="209"/>
      <c r="Y121" s="210"/>
      <c r="Z121" s="208">
        <f t="shared" si="13"/>
        <v>8.3171599999999994</v>
      </c>
      <c r="AA121" s="209"/>
      <c r="AB121" s="210"/>
      <c r="AC121" s="54"/>
      <c r="AD121" s="55"/>
      <c r="AE121" s="56"/>
      <c r="AF121" s="54"/>
      <c r="AG121" s="55"/>
      <c r="AH121" s="57"/>
    </row>
    <row r="122" spans="1:34" ht="15.75" x14ac:dyDescent="0.25">
      <c r="A122" s="185"/>
      <c r="B122" s="186"/>
      <c r="C122" s="184"/>
      <c r="D122" s="216" t="s">
        <v>677</v>
      </c>
      <c r="E122" s="217"/>
      <c r="F122" s="217"/>
      <c r="G122" s="217"/>
      <c r="H122" s="217"/>
      <c r="I122" s="217"/>
      <c r="J122" s="66"/>
      <c r="K122" s="183">
        <f>6*3.37</f>
        <v>20.22</v>
      </c>
      <c r="L122" s="184"/>
      <c r="M122" s="183"/>
      <c r="N122" s="184"/>
      <c r="O122" s="183">
        <v>1</v>
      </c>
      <c r="P122" s="184"/>
      <c r="Q122" s="183"/>
      <c r="R122" s="184"/>
      <c r="S122" s="183"/>
      <c r="T122" s="184"/>
      <c r="U122" s="183"/>
      <c r="V122" s="184"/>
      <c r="W122" s="208">
        <f t="shared" si="14"/>
        <v>20.22</v>
      </c>
      <c r="X122" s="209"/>
      <c r="Y122" s="210"/>
      <c r="Z122" s="208">
        <f t="shared" si="13"/>
        <v>12.475739999999998</v>
      </c>
      <c r="AA122" s="209"/>
      <c r="AB122" s="210"/>
      <c r="AC122" s="54"/>
      <c r="AD122" s="55"/>
      <c r="AE122" s="56"/>
      <c r="AF122" s="54"/>
      <c r="AG122" s="55"/>
      <c r="AH122" s="57"/>
    </row>
    <row r="123" spans="1:34" ht="15.75" x14ac:dyDescent="0.25">
      <c r="A123" s="185"/>
      <c r="B123" s="186"/>
      <c r="C123" s="184"/>
      <c r="D123" s="211" t="s">
        <v>678</v>
      </c>
      <c r="E123" s="212"/>
      <c r="F123" s="212"/>
      <c r="G123" s="212"/>
      <c r="H123" s="212"/>
      <c r="I123" s="213"/>
      <c r="J123" s="66"/>
      <c r="K123" s="214">
        <f>4*3.37</f>
        <v>13.48</v>
      </c>
      <c r="L123" s="215"/>
      <c r="M123" s="214"/>
      <c r="N123" s="215"/>
      <c r="O123" s="183">
        <v>1</v>
      </c>
      <c r="P123" s="184"/>
      <c r="Q123" s="214"/>
      <c r="R123" s="215"/>
      <c r="S123" s="214"/>
      <c r="T123" s="215"/>
      <c r="U123" s="214"/>
      <c r="V123" s="215"/>
      <c r="W123" s="208">
        <f t="shared" si="14"/>
        <v>13.48</v>
      </c>
      <c r="X123" s="209"/>
      <c r="Y123" s="210"/>
      <c r="Z123" s="208">
        <f t="shared" si="13"/>
        <v>8.3171599999999994</v>
      </c>
      <c r="AA123" s="209"/>
      <c r="AB123" s="210"/>
      <c r="AC123" s="54"/>
      <c r="AD123" s="55"/>
      <c r="AE123" s="56"/>
      <c r="AF123" s="54"/>
      <c r="AG123" s="55"/>
      <c r="AH123" s="57"/>
    </row>
    <row r="124" spans="1:34" ht="15.75" x14ac:dyDescent="0.25">
      <c r="A124" s="185"/>
      <c r="B124" s="186"/>
      <c r="C124" s="184"/>
      <c r="D124" s="211" t="s">
        <v>680</v>
      </c>
      <c r="E124" s="212"/>
      <c r="F124" s="212"/>
      <c r="G124" s="212"/>
      <c r="H124" s="212"/>
      <c r="I124" s="213"/>
      <c r="J124" s="66"/>
      <c r="K124" s="214">
        <f>4*3.37</f>
        <v>13.48</v>
      </c>
      <c r="L124" s="215"/>
      <c r="M124" s="214"/>
      <c r="N124" s="215"/>
      <c r="O124" s="183">
        <v>1</v>
      </c>
      <c r="P124" s="184"/>
      <c r="Q124" s="214"/>
      <c r="R124" s="215"/>
      <c r="S124" s="214"/>
      <c r="T124" s="215"/>
      <c r="U124" s="214"/>
      <c r="V124" s="215"/>
      <c r="W124" s="208">
        <f t="shared" si="14"/>
        <v>13.48</v>
      </c>
      <c r="X124" s="209"/>
      <c r="Y124" s="210"/>
      <c r="Z124" s="208">
        <f t="shared" si="13"/>
        <v>8.3171599999999994</v>
      </c>
      <c r="AA124" s="209"/>
      <c r="AB124" s="210"/>
      <c r="AC124" s="54"/>
      <c r="AD124" s="55"/>
      <c r="AE124" s="56"/>
      <c r="AF124" s="54"/>
      <c r="AG124" s="55"/>
      <c r="AH124" s="57"/>
    </row>
    <row r="125" spans="1:34" ht="15.75" x14ac:dyDescent="0.25">
      <c r="A125" s="185"/>
      <c r="B125" s="186"/>
      <c r="C125" s="184"/>
      <c r="D125" s="211" t="s">
        <v>681</v>
      </c>
      <c r="E125" s="212"/>
      <c r="F125" s="212"/>
      <c r="G125" s="212"/>
      <c r="H125" s="212"/>
      <c r="I125" s="213"/>
      <c r="J125" s="66"/>
      <c r="K125" s="214">
        <f>((4*3.73)+(4*1.47))</f>
        <v>20.8</v>
      </c>
      <c r="L125" s="215"/>
      <c r="M125" s="214"/>
      <c r="N125" s="215"/>
      <c r="O125" s="214">
        <v>1</v>
      </c>
      <c r="P125" s="215"/>
      <c r="Q125" s="214"/>
      <c r="R125" s="215"/>
      <c r="S125" s="214"/>
      <c r="T125" s="215"/>
      <c r="U125" s="214"/>
      <c r="V125" s="215"/>
      <c r="W125" s="208">
        <f t="shared" si="14"/>
        <v>20.8</v>
      </c>
      <c r="X125" s="209"/>
      <c r="Y125" s="210"/>
      <c r="Z125" s="208">
        <f t="shared" si="13"/>
        <v>12.833600000000001</v>
      </c>
      <c r="AA125" s="209"/>
      <c r="AB125" s="210"/>
      <c r="AC125" s="54"/>
      <c r="AD125" s="55"/>
      <c r="AE125" s="56"/>
      <c r="AF125" s="54"/>
      <c r="AG125" s="55"/>
      <c r="AH125" s="57"/>
    </row>
    <row r="126" spans="1:34" ht="15.75" x14ac:dyDescent="0.25">
      <c r="A126" s="185"/>
      <c r="B126" s="186"/>
      <c r="C126" s="184"/>
      <c r="D126" s="211" t="s">
        <v>682</v>
      </c>
      <c r="E126" s="212"/>
      <c r="F126" s="212"/>
      <c r="G126" s="212"/>
      <c r="H126" s="212"/>
      <c r="I126" s="213"/>
      <c r="J126" s="66"/>
      <c r="K126" s="214">
        <f>4*3.37</f>
        <v>13.48</v>
      </c>
      <c r="L126" s="215"/>
      <c r="M126" s="214"/>
      <c r="N126" s="215"/>
      <c r="O126" s="183">
        <v>1</v>
      </c>
      <c r="P126" s="184"/>
      <c r="Q126" s="214"/>
      <c r="R126" s="215"/>
      <c r="S126" s="214"/>
      <c r="T126" s="215"/>
      <c r="U126" s="214"/>
      <c r="V126" s="215"/>
      <c r="W126" s="208">
        <f t="shared" si="14"/>
        <v>13.48</v>
      </c>
      <c r="X126" s="209"/>
      <c r="Y126" s="210"/>
      <c r="Z126" s="208">
        <f t="shared" si="13"/>
        <v>8.3171599999999994</v>
      </c>
      <c r="AA126" s="209"/>
      <c r="AB126" s="210"/>
      <c r="AC126" s="54"/>
      <c r="AD126" s="55"/>
      <c r="AE126" s="56"/>
      <c r="AF126" s="54"/>
      <c r="AG126" s="55"/>
      <c r="AH126" s="57"/>
    </row>
    <row r="127" spans="1:34" ht="15.75" x14ac:dyDescent="0.25">
      <c r="A127" s="185"/>
      <c r="B127" s="186"/>
      <c r="C127" s="184"/>
      <c r="D127" s="211" t="s">
        <v>683</v>
      </c>
      <c r="E127" s="212"/>
      <c r="F127" s="212"/>
      <c r="G127" s="212"/>
      <c r="H127" s="212"/>
      <c r="I127" s="213"/>
      <c r="J127" s="66"/>
      <c r="K127" s="214">
        <f>((4*3.73)+(4*1.47))</f>
        <v>20.8</v>
      </c>
      <c r="L127" s="215"/>
      <c r="M127" s="214"/>
      <c r="N127" s="215"/>
      <c r="O127" s="214">
        <v>1</v>
      </c>
      <c r="P127" s="215"/>
      <c r="Q127" s="214"/>
      <c r="R127" s="215"/>
      <c r="S127" s="214"/>
      <c r="T127" s="215"/>
      <c r="U127" s="214"/>
      <c r="V127" s="215"/>
      <c r="W127" s="208">
        <f t="shared" si="14"/>
        <v>20.8</v>
      </c>
      <c r="X127" s="209"/>
      <c r="Y127" s="210"/>
      <c r="Z127" s="208">
        <f t="shared" si="13"/>
        <v>12.833600000000001</v>
      </c>
      <c r="AA127" s="209"/>
      <c r="AB127" s="210"/>
      <c r="AC127" s="54"/>
      <c r="AD127" s="55"/>
      <c r="AE127" s="56"/>
      <c r="AF127" s="54"/>
      <c r="AG127" s="55"/>
      <c r="AH127" s="57"/>
    </row>
    <row r="128" spans="1:34" ht="15.75" x14ac:dyDescent="0.25">
      <c r="A128" s="185"/>
      <c r="B128" s="186"/>
      <c r="C128" s="184"/>
      <c r="D128" s="211" t="s">
        <v>679</v>
      </c>
      <c r="E128" s="212"/>
      <c r="F128" s="212"/>
      <c r="G128" s="212"/>
      <c r="H128" s="212"/>
      <c r="I128" s="213"/>
      <c r="J128" s="66"/>
      <c r="K128" s="214">
        <f>4*3.37</f>
        <v>13.48</v>
      </c>
      <c r="L128" s="215"/>
      <c r="M128" s="214"/>
      <c r="N128" s="215"/>
      <c r="O128" s="214">
        <v>1</v>
      </c>
      <c r="P128" s="215"/>
      <c r="Q128" s="214"/>
      <c r="R128" s="215"/>
      <c r="S128" s="214"/>
      <c r="T128" s="215"/>
      <c r="U128" s="214"/>
      <c r="V128" s="215"/>
      <c r="W128" s="208">
        <f t="shared" si="14"/>
        <v>13.48</v>
      </c>
      <c r="X128" s="209"/>
      <c r="Y128" s="210"/>
      <c r="Z128" s="208">
        <f t="shared" si="13"/>
        <v>8.3171599999999994</v>
      </c>
      <c r="AA128" s="209"/>
      <c r="AB128" s="210"/>
      <c r="AC128" s="54"/>
      <c r="AD128" s="55"/>
      <c r="AE128" s="56"/>
      <c r="AF128" s="54"/>
      <c r="AG128" s="55"/>
      <c r="AH128" s="57"/>
    </row>
    <row r="129" spans="1:34" ht="15.75" x14ac:dyDescent="0.25">
      <c r="A129" s="185"/>
      <c r="B129" s="186"/>
      <c r="C129" s="184"/>
      <c r="D129" s="211" t="s">
        <v>684</v>
      </c>
      <c r="E129" s="212"/>
      <c r="F129" s="212"/>
      <c r="G129" s="212"/>
      <c r="H129" s="212"/>
      <c r="I129" s="213"/>
      <c r="J129" s="66"/>
      <c r="K129" s="214">
        <f>((4*3.73)+(4*1.47))</f>
        <v>20.8</v>
      </c>
      <c r="L129" s="215"/>
      <c r="M129" s="214"/>
      <c r="N129" s="215"/>
      <c r="O129" s="214">
        <v>1</v>
      </c>
      <c r="P129" s="215"/>
      <c r="Q129" s="214"/>
      <c r="R129" s="215"/>
      <c r="S129" s="214"/>
      <c r="T129" s="215"/>
      <c r="U129" s="214"/>
      <c r="V129" s="215"/>
      <c r="W129" s="208">
        <f t="shared" si="14"/>
        <v>20.8</v>
      </c>
      <c r="X129" s="209"/>
      <c r="Y129" s="210"/>
      <c r="Z129" s="208">
        <f t="shared" si="13"/>
        <v>12.833600000000001</v>
      </c>
      <c r="AA129" s="209"/>
      <c r="AB129" s="210"/>
      <c r="AC129" s="54"/>
      <c r="AD129" s="55"/>
      <c r="AE129" s="56"/>
      <c r="AF129" s="54"/>
      <c r="AG129" s="55"/>
      <c r="AH129" s="57"/>
    </row>
    <row r="130" spans="1:34" ht="15.75" x14ac:dyDescent="0.25">
      <c r="A130" s="185"/>
      <c r="B130" s="186"/>
      <c r="C130" s="184"/>
      <c r="D130" s="211" t="s">
        <v>685</v>
      </c>
      <c r="E130" s="212"/>
      <c r="F130" s="212"/>
      <c r="G130" s="212"/>
      <c r="H130" s="212"/>
      <c r="I130" s="213"/>
      <c r="J130" s="66"/>
      <c r="K130" s="183">
        <f>6*1.47</f>
        <v>8.82</v>
      </c>
      <c r="L130" s="184"/>
      <c r="M130" s="183"/>
      <c r="N130" s="184"/>
      <c r="O130" s="214">
        <v>1</v>
      </c>
      <c r="P130" s="215"/>
      <c r="Q130" s="183"/>
      <c r="R130" s="184"/>
      <c r="S130" s="183"/>
      <c r="T130" s="184"/>
      <c r="U130" s="183"/>
      <c r="V130" s="184"/>
      <c r="W130" s="208">
        <f t="shared" si="14"/>
        <v>8.82</v>
      </c>
      <c r="X130" s="209"/>
      <c r="Y130" s="210"/>
      <c r="Z130" s="208">
        <f t="shared" si="13"/>
        <v>5.4419399999999998</v>
      </c>
      <c r="AA130" s="209"/>
      <c r="AB130" s="210"/>
      <c r="AC130" s="54"/>
      <c r="AD130" s="55"/>
      <c r="AE130" s="56"/>
      <c r="AF130" s="54"/>
      <c r="AG130" s="55"/>
      <c r="AH130" s="57"/>
    </row>
    <row r="131" spans="1:34" ht="15.75" x14ac:dyDescent="0.25">
      <c r="A131" s="185"/>
      <c r="B131" s="186"/>
      <c r="C131" s="184"/>
      <c r="D131" s="221" t="s">
        <v>686</v>
      </c>
      <c r="E131" s="222"/>
      <c r="F131" s="222"/>
      <c r="G131" s="222"/>
      <c r="H131" s="222"/>
      <c r="I131" s="223"/>
      <c r="J131" s="66"/>
      <c r="K131" s="214"/>
      <c r="L131" s="215"/>
      <c r="M131" s="214"/>
      <c r="N131" s="215"/>
      <c r="O131" s="214"/>
      <c r="P131" s="215"/>
      <c r="Q131" s="214"/>
      <c r="R131" s="215"/>
      <c r="S131" s="214"/>
      <c r="T131" s="215"/>
      <c r="U131" s="214"/>
      <c r="V131" s="215"/>
      <c r="W131" s="208">
        <f t="shared" si="14"/>
        <v>0</v>
      </c>
      <c r="X131" s="209"/>
      <c r="Y131" s="210"/>
      <c r="Z131" s="208">
        <f t="shared" si="13"/>
        <v>0</v>
      </c>
      <c r="AA131" s="209"/>
      <c r="AB131" s="210"/>
      <c r="AC131" s="54"/>
      <c r="AD131" s="55"/>
      <c r="AE131" s="56"/>
      <c r="AF131" s="54"/>
      <c r="AG131" s="55"/>
      <c r="AH131" s="57"/>
    </row>
    <row r="132" spans="1:34" ht="15.75" x14ac:dyDescent="0.25">
      <c r="A132" s="185"/>
      <c r="B132" s="186"/>
      <c r="C132" s="184"/>
      <c r="D132" s="211" t="s">
        <v>687</v>
      </c>
      <c r="E132" s="212"/>
      <c r="F132" s="212"/>
      <c r="G132" s="212"/>
      <c r="H132" s="212"/>
      <c r="I132" s="213"/>
      <c r="J132" s="66"/>
      <c r="K132" s="214">
        <f t="shared" ref="K132:K148" si="15">((4*3.73)+(4*1.47))</f>
        <v>20.8</v>
      </c>
      <c r="L132" s="215"/>
      <c r="M132" s="214"/>
      <c r="N132" s="215"/>
      <c r="O132" s="214">
        <v>1</v>
      </c>
      <c r="P132" s="215"/>
      <c r="Q132" s="214"/>
      <c r="R132" s="215"/>
      <c r="S132" s="214"/>
      <c r="T132" s="215"/>
      <c r="U132" s="214"/>
      <c r="V132" s="215"/>
      <c r="W132" s="208">
        <f t="shared" si="14"/>
        <v>20.8</v>
      </c>
      <c r="X132" s="209"/>
      <c r="Y132" s="210"/>
      <c r="Z132" s="208">
        <f t="shared" si="13"/>
        <v>12.833600000000001</v>
      </c>
      <c r="AA132" s="209"/>
      <c r="AB132" s="210"/>
      <c r="AC132" s="54"/>
      <c r="AD132" s="55"/>
      <c r="AE132" s="56"/>
      <c r="AF132" s="54"/>
      <c r="AG132" s="55"/>
      <c r="AH132" s="57"/>
    </row>
    <row r="133" spans="1:34" ht="15.75" x14ac:dyDescent="0.25">
      <c r="A133" s="185"/>
      <c r="B133" s="186"/>
      <c r="C133" s="184"/>
      <c r="D133" s="211" t="s">
        <v>688</v>
      </c>
      <c r="E133" s="212"/>
      <c r="F133" s="212"/>
      <c r="G133" s="212"/>
      <c r="H133" s="212"/>
      <c r="I133" s="213"/>
      <c r="J133" s="66"/>
      <c r="K133" s="214">
        <f t="shared" si="15"/>
        <v>20.8</v>
      </c>
      <c r="L133" s="215"/>
      <c r="M133" s="214"/>
      <c r="N133" s="215"/>
      <c r="O133" s="214">
        <v>1</v>
      </c>
      <c r="P133" s="215"/>
      <c r="Q133" s="214"/>
      <c r="R133" s="215"/>
      <c r="S133" s="214"/>
      <c r="T133" s="215"/>
      <c r="U133" s="214"/>
      <c r="V133" s="215"/>
      <c r="W133" s="208">
        <f t="shared" si="14"/>
        <v>20.8</v>
      </c>
      <c r="X133" s="209"/>
      <c r="Y133" s="210"/>
      <c r="Z133" s="208">
        <f t="shared" si="13"/>
        <v>12.833600000000001</v>
      </c>
      <c r="AA133" s="209"/>
      <c r="AB133" s="210"/>
      <c r="AC133" s="54"/>
      <c r="AD133" s="55"/>
      <c r="AE133" s="56"/>
      <c r="AF133" s="54"/>
      <c r="AG133" s="55"/>
      <c r="AH133" s="57"/>
    </row>
    <row r="134" spans="1:34" ht="15.75" x14ac:dyDescent="0.25">
      <c r="A134" s="185"/>
      <c r="B134" s="186"/>
      <c r="C134" s="184"/>
      <c r="D134" s="211" t="s">
        <v>689</v>
      </c>
      <c r="E134" s="212"/>
      <c r="F134" s="212"/>
      <c r="G134" s="212"/>
      <c r="H134" s="212"/>
      <c r="I134" s="213"/>
      <c r="J134" s="66"/>
      <c r="K134" s="214">
        <f t="shared" si="15"/>
        <v>20.8</v>
      </c>
      <c r="L134" s="215"/>
      <c r="M134" s="214"/>
      <c r="N134" s="215"/>
      <c r="O134" s="214">
        <v>1</v>
      </c>
      <c r="P134" s="215"/>
      <c r="Q134" s="214"/>
      <c r="R134" s="215"/>
      <c r="S134" s="214"/>
      <c r="T134" s="215"/>
      <c r="U134" s="214"/>
      <c r="V134" s="215"/>
      <c r="W134" s="208">
        <f t="shared" si="14"/>
        <v>20.8</v>
      </c>
      <c r="X134" s="209"/>
      <c r="Y134" s="210"/>
      <c r="Z134" s="208">
        <f t="shared" si="13"/>
        <v>12.833600000000001</v>
      </c>
      <c r="AA134" s="209"/>
      <c r="AB134" s="210"/>
      <c r="AC134" s="54"/>
      <c r="AD134" s="55"/>
      <c r="AE134" s="56"/>
      <c r="AF134" s="54"/>
      <c r="AG134" s="55"/>
      <c r="AH134" s="57"/>
    </row>
    <row r="135" spans="1:34" ht="15.75" x14ac:dyDescent="0.25">
      <c r="A135" s="185"/>
      <c r="B135" s="186"/>
      <c r="C135" s="184"/>
      <c r="D135" s="211" t="s">
        <v>690</v>
      </c>
      <c r="E135" s="212"/>
      <c r="F135" s="212"/>
      <c r="G135" s="212"/>
      <c r="H135" s="212"/>
      <c r="I135" s="213"/>
      <c r="J135" s="66"/>
      <c r="K135" s="214">
        <f t="shared" si="15"/>
        <v>20.8</v>
      </c>
      <c r="L135" s="215"/>
      <c r="M135" s="214"/>
      <c r="N135" s="215"/>
      <c r="O135" s="214">
        <v>1</v>
      </c>
      <c r="P135" s="215"/>
      <c r="Q135" s="214"/>
      <c r="R135" s="215"/>
      <c r="S135" s="214"/>
      <c r="T135" s="215"/>
      <c r="U135" s="214"/>
      <c r="V135" s="215"/>
      <c r="W135" s="208">
        <f t="shared" si="14"/>
        <v>20.8</v>
      </c>
      <c r="X135" s="209"/>
      <c r="Y135" s="210"/>
      <c r="Z135" s="208">
        <f t="shared" si="13"/>
        <v>12.833600000000001</v>
      </c>
      <c r="AA135" s="209"/>
      <c r="AB135" s="210"/>
      <c r="AC135" s="54"/>
      <c r="AD135" s="55"/>
      <c r="AE135" s="56"/>
      <c r="AF135" s="54"/>
      <c r="AG135" s="55"/>
      <c r="AH135" s="57"/>
    </row>
    <row r="136" spans="1:34" ht="15.75" x14ac:dyDescent="0.25">
      <c r="A136" s="185"/>
      <c r="B136" s="186"/>
      <c r="C136" s="184"/>
      <c r="D136" s="211" t="s">
        <v>691</v>
      </c>
      <c r="E136" s="212"/>
      <c r="F136" s="212"/>
      <c r="G136" s="212"/>
      <c r="H136" s="212"/>
      <c r="I136" s="213"/>
      <c r="J136" s="66"/>
      <c r="K136" s="214">
        <f t="shared" si="15"/>
        <v>20.8</v>
      </c>
      <c r="L136" s="215"/>
      <c r="M136" s="214"/>
      <c r="N136" s="215"/>
      <c r="O136" s="214">
        <v>1</v>
      </c>
      <c r="P136" s="215"/>
      <c r="Q136" s="214"/>
      <c r="R136" s="215"/>
      <c r="S136" s="214"/>
      <c r="T136" s="215"/>
      <c r="U136" s="214"/>
      <c r="V136" s="215"/>
      <c r="W136" s="208">
        <f t="shared" si="14"/>
        <v>20.8</v>
      </c>
      <c r="X136" s="209"/>
      <c r="Y136" s="210"/>
      <c r="Z136" s="208">
        <f t="shared" si="13"/>
        <v>12.833600000000001</v>
      </c>
      <c r="AA136" s="209"/>
      <c r="AB136" s="210"/>
      <c r="AC136" s="54"/>
      <c r="AD136" s="55"/>
      <c r="AE136" s="56"/>
      <c r="AF136" s="54"/>
      <c r="AG136" s="55"/>
      <c r="AH136" s="57"/>
    </row>
    <row r="137" spans="1:34" ht="15.75" x14ac:dyDescent="0.25">
      <c r="A137" s="185"/>
      <c r="B137" s="186"/>
      <c r="C137" s="184"/>
      <c r="D137" s="211" t="s">
        <v>692</v>
      </c>
      <c r="E137" s="212"/>
      <c r="F137" s="212"/>
      <c r="G137" s="212"/>
      <c r="H137" s="212"/>
      <c r="I137" s="213"/>
      <c r="J137" s="66"/>
      <c r="K137" s="214">
        <f t="shared" si="15"/>
        <v>20.8</v>
      </c>
      <c r="L137" s="215"/>
      <c r="M137" s="214"/>
      <c r="N137" s="215"/>
      <c r="O137" s="214">
        <v>1</v>
      </c>
      <c r="P137" s="215"/>
      <c r="Q137" s="214"/>
      <c r="R137" s="215"/>
      <c r="S137" s="214"/>
      <c r="T137" s="215"/>
      <c r="U137" s="214"/>
      <c r="V137" s="215"/>
      <c r="W137" s="208">
        <f t="shared" si="14"/>
        <v>20.8</v>
      </c>
      <c r="X137" s="209"/>
      <c r="Y137" s="210"/>
      <c r="Z137" s="208">
        <f t="shared" si="13"/>
        <v>12.833600000000001</v>
      </c>
      <c r="AA137" s="209"/>
      <c r="AB137" s="210"/>
      <c r="AC137" s="54"/>
      <c r="AD137" s="55"/>
      <c r="AE137" s="56"/>
      <c r="AF137" s="54"/>
      <c r="AG137" s="55"/>
      <c r="AH137" s="57"/>
    </row>
    <row r="138" spans="1:34" ht="15.75" x14ac:dyDescent="0.25">
      <c r="A138" s="185"/>
      <c r="B138" s="186"/>
      <c r="C138" s="184"/>
      <c r="D138" s="211" t="s">
        <v>693</v>
      </c>
      <c r="E138" s="212"/>
      <c r="F138" s="212"/>
      <c r="G138" s="212"/>
      <c r="H138" s="212"/>
      <c r="I138" s="213"/>
      <c r="J138" s="66"/>
      <c r="K138" s="214">
        <f t="shared" si="15"/>
        <v>20.8</v>
      </c>
      <c r="L138" s="215"/>
      <c r="M138" s="214"/>
      <c r="N138" s="215"/>
      <c r="O138" s="214">
        <v>1</v>
      </c>
      <c r="P138" s="215"/>
      <c r="Q138" s="183"/>
      <c r="R138" s="184"/>
      <c r="S138" s="183"/>
      <c r="T138" s="184"/>
      <c r="U138" s="183"/>
      <c r="V138" s="184"/>
      <c r="W138" s="208">
        <f t="shared" si="14"/>
        <v>20.8</v>
      </c>
      <c r="X138" s="209"/>
      <c r="Y138" s="210"/>
      <c r="Z138" s="208">
        <f t="shared" si="13"/>
        <v>12.833600000000001</v>
      </c>
      <c r="AA138" s="209"/>
      <c r="AB138" s="210"/>
      <c r="AC138" s="54"/>
      <c r="AD138" s="55"/>
      <c r="AE138" s="56"/>
      <c r="AF138" s="54"/>
      <c r="AG138" s="55"/>
      <c r="AH138" s="57"/>
    </row>
    <row r="139" spans="1:34" ht="15.75" x14ac:dyDescent="0.25">
      <c r="A139" s="185"/>
      <c r="B139" s="186"/>
      <c r="C139" s="184"/>
      <c r="D139" s="211" t="s">
        <v>694</v>
      </c>
      <c r="E139" s="212"/>
      <c r="F139" s="212"/>
      <c r="G139" s="212"/>
      <c r="H139" s="212"/>
      <c r="I139" s="213"/>
      <c r="J139" s="66"/>
      <c r="K139" s="214">
        <f t="shared" si="15"/>
        <v>20.8</v>
      </c>
      <c r="L139" s="215"/>
      <c r="M139" s="214"/>
      <c r="N139" s="215"/>
      <c r="O139" s="214">
        <v>1</v>
      </c>
      <c r="P139" s="215"/>
      <c r="Q139" s="214"/>
      <c r="R139" s="215"/>
      <c r="S139" s="214"/>
      <c r="T139" s="215"/>
      <c r="U139" s="214"/>
      <c r="V139" s="215"/>
      <c r="W139" s="208">
        <f t="shared" si="14"/>
        <v>20.8</v>
      </c>
      <c r="X139" s="209"/>
      <c r="Y139" s="210"/>
      <c r="Z139" s="208">
        <f t="shared" si="13"/>
        <v>12.833600000000001</v>
      </c>
      <c r="AA139" s="209"/>
      <c r="AB139" s="210"/>
      <c r="AC139" s="54"/>
      <c r="AD139" s="55"/>
      <c r="AE139" s="56"/>
      <c r="AF139" s="54"/>
      <c r="AG139" s="55"/>
      <c r="AH139" s="57"/>
    </row>
    <row r="140" spans="1:34" ht="15.75" x14ac:dyDescent="0.25">
      <c r="A140" s="185"/>
      <c r="B140" s="186"/>
      <c r="C140" s="184"/>
      <c r="D140" s="211" t="s">
        <v>695</v>
      </c>
      <c r="E140" s="212"/>
      <c r="F140" s="212"/>
      <c r="G140" s="212"/>
      <c r="H140" s="212"/>
      <c r="I140" s="213"/>
      <c r="J140" s="66"/>
      <c r="K140" s="214">
        <f t="shared" si="15"/>
        <v>20.8</v>
      </c>
      <c r="L140" s="215"/>
      <c r="M140" s="214"/>
      <c r="N140" s="215"/>
      <c r="O140" s="214">
        <v>1</v>
      </c>
      <c r="P140" s="215"/>
      <c r="Q140" s="214"/>
      <c r="R140" s="215"/>
      <c r="S140" s="214"/>
      <c r="T140" s="215"/>
      <c r="U140" s="214"/>
      <c r="V140" s="215"/>
      <c r="W140" s="208">
        <f t="shared" si="14"/>
        <v>20.8</v>
      </c>
      <c r="X140" s="209"/>
      <c r="Y140" s="210"/>
      <c r="Z140" s="208">
        <f t="shared" si="13"/>
        <v>12.833600000000001</v>
      </c>
      <c r="AA140" s="209"/>
      <c r="AB140" s="210"/>
      <c r="AC140" s="54"/>
      <c r="AD140" s="55"/>
      <c r="AE140" s="56"/>
      <c r="AF140" s="54"/>
      <c r="AG140" s="55"/>
      <c r="AH140" s="57"/>
    </row>
    <row r="141" spans="1:34" ht="15.75" x14ac:dyDescent="0.25">
      <c r="A141" s="185"/>
      <c r="B141" s="186"/>
      <c r="C141" s="184"/>
      <c r="D141" s="211" t="s">
        <v>696</v>
      </c>
      <c r="E141" s="212"/>
      <c r="F141" s="212"/>
      <c r="G141" s="212"/>
      <c r="H141" s="212"/>
      <c r="I141" s="213"/>
      <c r="J141" s="66"/>
      <c r="K141" s="214">
        <f t="shared" si="15"/>
        <v>20.8</v>
      </c>
      <c r="L141" s="215"/>
      <c r="M141" s="214"/>
      <c r="N141" s="215"/>
      <c r="O141" s="214">
        <v>1</v>
      </c>
      <c r="P141" s="215"/>
      <c r="Q141" s="214"/>
      <c r="R141" s="215"/>
      <c r="S141" s="214"/>
      <c r="T141" s="215"/>
      <c r="U141" s="214"/>
      <c r="V141" s="215"/>
      <c r="W141" s="208">
        <f t="shared" si="14"/>
        <v>20.8</v>
      </c>
      <c r="X141" s="209"/>
      <c r="Y141" s="210"/>
      <c r="Z141" s="208">
        <f t="shared" si="13"/>
        <v>12.833600000000001</v>
      </c>
      <c r="AA141" s="209"/>
      <c r="AB141" s="210"/>
      <c r="AC141" s="54"/>
      <c r="AD141" s="55"/>
      <c r="AE141" s="56"/>
      <c r="AF141" s="54"/>
      <c r="AG141" s="55"/>
      <c r="AH141" s="57"/>
    </row>
    <row r="142" spans="1:34" ht="15.75" x14ac:dyDescent="0.25">
      <c r="A142" s="185"/>
      <c r="B142" s="186"/>
      <c r="C142" s="184"/>
      <c r="D142" s="211" t="s">
        <v>697</v>
      </c>
      <c r="E142" s="212"/>
      <c r="F142" s="212"/>
      <c r="G142" s="212"/>
      <c r="H142" s="212"/>
      <c r="I142" s="213"/>
      <c r="J142" s="66"/>
      <c r="K142" s="214">
        <f t="shared" si="15"/>
        <v>20.8</v>
      </c>
      <c r="L142" s="215"/>
      <c r="M142" s="214"/>
      <c r="N142" s="215"/>
      <c r="O142" s="214">
        <v>1</v>
      </c>
      <c r="P142" s="215"/>
      <c r="Q142" s="214"/>
      <c r="R142" s="215"/>
      <c r="S142" s="214"/>
      <c r="T142" s="215"/>
      <c r="U142" s="214"/>
      <c r="V142" s="215"/>
      <c r="W142" s="208">
        <f t="shared" si="14"/>
        <v>20.8</v>
      </c>
      <c r="X142" s="209"/>
      <c r="Y142" s="210"/>
      <c r="Z142" s="208">
        <f t="shared" si="13"/>
        <v>12.833600000000001</v>
      </c>
      <c r="AA142" s="209"/>
      <c r="AB142" s="210"/>
      <c r="AC142" s="54"/>
      <c r="AD142" s="55"/>
      <c r="AE142" s="56"/>
      <c r="AF142" s="54"/>
      <c r="AG142" s="55"/>
      <c r="AH142" s="57"/>
    </row>
    <row r="143" spans="1:34" ht="15.75" x14ac:dyDescent="0.25">
      <c r="A143" s="185"/>
      <c r="B143" s="186"/>
      <c r="C143" s="184"/>
      <c r="D143" s="211" t="s">
        <v>698</v>
      </c>
      <c r="E143" s="212"/>
      <c r="F143" s="212"/>
      <c r="G143" s="212"/>
      <c r="H143" s="212"/>
      <c r="I143" s="213"/>
      <c r="J143" s="66"/>
      <c r="K143" s="214">
        <f t="shared" si="15"/>
        <v>20.8</v>
      </c>
      <c r="L143" s="215"/>
      <c r="M143" s="214"/>
      <c r="N143" s="215"/>
      <c r="O143" s="214">
        <v>1</v>
      </c>
      <c r="P143" s="215"/>
      <c r="Q143" s="214"/>
      <c r="R143" s="215"/>
      <c r="S143" s="214"/>
      <c r="T143" s="215"/>
      <c r="U143" s="214"/>
      <c r="V143" s="215"/>
      <c r="W143" s="208">
        <f t="shared" si="14"/>
        <v>20.8</v>
      </c>
      <c r="X143" s="209"/>
      <c r="Y143" s="210"/>
      <c r="Z143" s="208">
        <f t="shared" si="13"/>
        <v>12.833600000000001</v>
      </c>
      <c r="AA143" s="209"/>
      <c r="AB143" s="210"/>
      <c r="AC143" s="54"/>
      <c r="AD143" s="55"/>
      <c r="AE143" s="56"/>
      <c r="AF143" s="54"/>
      <c r="AG143" s="55"/>
      <c r="AH143" s="57"/>
    </row>
    <row r="144" spans="1:34" ht="15.75" x14ac:dyDescent="0.25">
      <c r="A144" s="185"/>
      <c r="B144" s="186"/>
      <c r="C144" s="184"/>
      <c r="D144" s="211" t="s">
        <v>699</v>
      </c>
      <c r="E144" s="212"/>
      <c r="F144" s="212"/>
      <c r="G144" s="212"/>
      <c r="H144" s="212"/>
      <c r="I144" s="213"/>
      <c r="J144" s="66"/>
      <c r="K144" s="214">
        <f t="shared" si="15"/>
        <v>20.8</v>
      </c>
      <c r="L144" s="215"/>
      <c r="M144" s="214"/>
      <c r="N144" s="215"/>
      <c r="O144" s="214">
        <v>1</v>
      </c>
      <c r="P144" s="215"/>
      <c r="Q144" s="214"/>
      <c r="R144" s="215"/>
      <c r="S144" s="214"/>
      <c r="T144" s="215"/>
      <c r="U144" s="214"/>
      <c r="V144" s="215"/>
      <c r="W144" s="208">
        <f t="shared" si="14"/>
        <v>20.8</v>
      </c>
      <c r="X144" s="209"/>
      <c r="Y144" s="210"/>
      <c r="Z144" s="208">
        <f t="shared" si="13"/>
        <v>12.833600000000001</v>
      </c>
      <c r="AA144" s="209"/>
      <c r="AB144" s="210"/>
      <c r="AC144" s="54"/>
      <c r="AD144" s="55"/>
      <c r="AE144" s="56"/>
      <c r="AF144" s="54"/>
      <c r="AG144" s="55"/>
      <c r="AH144" s="57"/>
    </row>
    <row r="145" spans="1:34" ht="15.75" x14ac:dyDescent="0.25">
      <c r="A145" s="185"/>
      <c r="B145" s="186"/>
      <c r="C145" s="184"/>
      <c r="D145" s="211" t="s">
        <v>700</v>
      </c>
      <c r="E145" s="212"/>
      <c r="F145" s="212"/>
      <c r="G145" s="212"/>
      <c r="H145" s="212"/>
      <c r="I145" s="213"/>
      <c r="J145" s="66"/>
      <c r="K145" s="214">
        <f t="shared" si="15"/>
        <v>20.8</v>
      </c>
      <c r="L145" s="215"/>
      <c r="M145" s="214"/>
      <c r="N145" s="215"/>
      <c r="O145" s="214">
        <v>1</v>
      </c>
      <c r="P145" s="215"/>
      <c r="Q145" s="214"/>
      <c r="R145" s="215"/>
      <c r="S145" s="214"/>
      <c r="T145" s="215"/>
      <c r="U145" s="214"/>
      <c r="V145" s="215"/>
      <c r="W145" s="208">
        <f t="shared" si="14"/>
        <v>20.8</v>
      </c>
      <c r="X145" s="209"/>
      <c r="Y145" s="210"/>
      <c r="Z145" s="208">
        <f t="shared" si="13"/>
        <v>12.833600000000001</v>
      </c>
      <c r="AA145" s="209"/>
      <c r="AB145" s="210"/>
      <c r="AC145" s="54"/>
      <c r="AD145" s="55"/>
      <c r="AE145" s="56"/>
      <c r="AF145" s="54"/>
      <c r="AG145" s="55"/>
      <c r="AH145" s="57"/>
    </row>
    <row r="146" spans="1:34" ht="15.75" x14ac:dyDescent="0.25">
      <c r="A146" s="185"/>
      <c r="B146" s="186"/>
      <c r="C146" s="184"/>
      <c r="D146" s="211" t="s">
        <v>701</v>
      </c>
      <c r="E146" s="212"/>
      <c r="F146" s="212"/>
      <c r="G146" s="212"/>
      <c r="H146" s="212"/>
      <c r="I146" s="213"/>
      <c r="J146" s="66"/>
      <c r="K146" s="214">
        <f t="shared" si="15"/>
        <v>20.8</v>
      </c>
      <c r="L146" s="215"/>
      <c r="M146" s="214"/>
      <c r="N146" s="215"/>
      <c r="O146" s="214">
        <v>1</v>
      </c>
      <c r="P146" s="215"/>
      <c r="Q146" s="183"/>
      <c r="R146" s="184"/>
      <c r="S146" s="183"/>
      <c r="T146" s="184"/>
      <c r="U146" s="183"/>
      <c r="V146" s="184"/>
      <c r="W146" s="208">
        <f t="shared" si="14"/>
        <v>20.8</v>
      </c>
      <c r="X146" s="209"/>
      <c r="Y146" s="210"/>
      <c r="Z146" s="208">
        <f t="shared" si="13"/>
        <v>12.833600000000001</v>
      </c>
      <c r="AA146" s="209"/>
      <c r="AB146" s="210"/>
      <c r="AC146" s="54"/>
      <c r="AD146" s="55"/>
      <c r="AE146" s="56"/>
      <c r="AF146" s="54"/>
      <c r="AG146" s="55"/>
      <c r="AH146" s="57"/>
    </row>
    <row r="147" spans="1:34" ht="15.75" x14ac:dyDescent="0.25">
      <c r="A147" s="185"/>
      <c r="B147" s="186"/>
      <c r="C147" s="184"/>
      <c r="D147" s="211" t="s">
        <v>702</v>
      </c>
      <c r="E147" s="212"/>
      <c r="F147" s="212"/>
      <c r="G147" s="212"/>
      <c r="H147" s="212"/>
      <c r="I147" s="213"/>
      <c r="J147" s="66"/>
      <c r="K147" s="214">
        <f t="shared" si="15"/>
        <v>20.8</v>
      </c>
      <c r="L147" s="215"/>
      <c r="M147" s="214"/>
      <c r="N147" s="215"/>
      <c r="O147" s="214">
        <v>1</v>
      </c>
      <c r="P147" s="215"/>
      <c r="Q147" s="214"/>
      <c r="R147" s="215"/>
      <c r="S147" s="214"/>
      <c r="T147" s="215"/>
      <c r="U147" s="214"/>
      <c r="V147" s="215"/>
      <c r="W147" s="208">
        <f t="shared" si="14"/>
        <v>20.8</v>
      </c>
      <c r="X147" s="209"/>
      <c r="Y147" s="210"/>
      <c r="Z147" s="208">
        <f t="shared" si="13"/>
        <v>12.833600000000001</v>
      </c>
      <c r="AA147" s="209"/>
      <c r="AB147" s="210"/>
      <c r="AC147" s="54"/>
      <c r="AD147" s="55"/>
      <c r="AE147" s="56"/>
      <c r="AF147" s="54"/>
      <c r="AG147" s="55"/>
      <c r="AH147" s="57"/>
    </row>
    <row r="148" spans="1:34" ht="15.75" x14ac:dyDescent="0.25">
      <c r="A148" s="185"/>
      <c r="B148" s="186"/>
      <c r="C148" s="184"/>
      <c r="D148" s="211" t="s">
        <v>703</v>
      </c>
      <c r="E148" s="212"/>
      <c r="F148" s="212"/>
      <c r="G148" s="212"/>
      <c r="H148" s="212"/>
      <c r="I148" s="213"/>
      <c r="J148" s="66"/>
      <c r="K148" s="214">
        <f t="shared" si="15"/>
        <v>20.8</v>
      </c>
      <c r="L148" s="215"/>
      <c r="M148" s="214"/>
      <c r="N148" s="215"/>
      <c r="O148" s="214">
        <v>1</v>
      </c>
      <c r="P148" s="215"/>
      <c r="Q148" s="214"/>
      <c r="R148" s="215"/>
      <c r="S148" s="214"/>
      <c r="T148" s="215"/>
      <c r="U148" s="214"/>
      <c r="V148" s="215"/>
      <c r="W148" s="208">
        <f t="shared" si="14"/>
        <v>20.8</v>
      </c>
      <c r="X148" s="209"/>
      <c r="Y148" s="210"/>
      <c r="Z148" s="208">
        <f t="shared" si="13"/>
        <v>12.833600000000001</v>
      </c>
      <c r="AA148" s="209"/>
      <c r="AB148" s="210"/>
      <c r="AC148" s="54"/>
      <c r="AD148" s="55"/>
      <c r="AE148" s="56"/>
      <c r="AF148" s="54"/>
      <c r="AG148" s="55"/>
      <c r="AH148" s="57"/>
    </row>
    <row r="149" spans="1:34" ht="15.75" x14ac:dyDescent="0.25">
      <c r="A149" s="185"/>
      <c r="B149" s="186"/>
      <c r="C149" s="184"/>
      <c r="D149" s="211" t="s">
        <v>704</v>
      </c>
      <c r="E149" s="212"/>
      <c r="F149" s="212"/>
      <c r="G149" s="212"/>
      <c r="H149" s="212"/>
      <c r="I149" s="213"/>
      <c r="J149" s="66"/>
      <c r="K149" s="214">
        <f>4*3.37</f>
        <v>13.48</v>
      </c>
      <c r="L149" s="215"/>
      <c r="M149" s="214"/>
      <c r="N149" s="215"/>
      <c r="O149" s="214">
        <v>1</v>
      </c>
      <c r="P149" s="215"/>
      <c r="Q149" s="214"/>
      <c r="R149" s="215"/>
      <c r="S149" s="214"/>
      <c r="T149" s="215"/>
      <c r="U149" s="214"/>
      <c r="V149" s="215"/>
      <c r="W149" s="208">
        <f t="shared" si="14"/>
        <v>13.48</v>
      </c>
      <c r="X149" s="209"/>
      <c r="Y149" s="210"/>
      <c r="Z149" s="208">
        <f t="shared" si="13"/>
        <v>8.3171599999999994</v>
      </c>
      <c r="AA149" s="209"/>
      <c r="AB149" s="210"/>
      <c r="AC149" s="54"/>
      <c r="AD149" s="55"/>
      <c r="AE149" s="56"/>
      <c r="AF149" s="54"/>
      <c r="AG149" s="55"/>
      <c r="AH149" s="57"/>
    </row>
    <row r="150" spans="1:34" ht="15.75" x14ac:dyDescent="0.25">
      <c r="A150" s="185"/>
      <c r="B150" s="186"/>
      <c r="C150" s="184"/>
      <c r="D150" s="211" t="s">
        <v>705</v>
      </c>
      <c r="E150" s="212"/>
      <c r="F150" s="212"/>
      <c r="G150" s="212"/>
      <c r="H150" s="212"/>
      <c r="I150" s="213"/>
      <c r="J150" s="66"/>
      <c r="K150" s="214">
        <f>4*3.37</f>
        <v>13.48</v>
      </c>
      <c r="L150" s="215"/>
      <c r="M150" s="214"/>
      <c r="N150" s="215"/>
      <c r="O150" s="214">
        <v>1</v>
      </c>
      <c r="P150" s="215"/>
      <c r="Q150" s="214"/>
      <c r="R150" s="215"/>
      <c r="S150" s="214"/>
      <c r="T150" s="215"/>
      <c r="U150" s="214"/>
      <c r="V150" s="215"/>
      <c r="W150" s="208">
        <f t="shared" si="14"/>
        <v>13.48</v>
      </c>
      <c r="X150" s="209"/>
      <c r="Y150" s="210"/>
      <c r="Z150" s="208">
        <f t="shared" si="13"/>
        <v>8.3171599999999994</v>
      </c>
      <c r="AA150" s="209"/>
      <c r="AB150" s="210"/>
      <c r="AC150" s="54"/>
      <c r="AD150" s="55"/>
      <c r="AE150" s="56"/>
      <c r="AF150" s="54"/>
      <c r="AG150" s="55"/>
      <c r="AH150" s="57"/>
    </row>
    <row r="151" spans="1:34" ht="15.75" x14ac:dyDescent="0.25">
      <c r="A151" s="185"/>
      <c r="B151" s="186"/>
      <c r="C151" s="184"/>
      <c r="D151" s="211" t="s">
        <v>706</v>
      </c>
      <c r="E151" s="212"/>
      <c r="F151" s="212"/>
      <c r="G151" s="212"/>
      <c r="H151" s="212"/>
      <c r="I151" s="213"/>
      <c r="J151" s="66"/>
      <c r="K151" s="214">
        <f>4*3.37</f>
        <v>13.48</v>
      </c>
      <c r="L151" s="215"/>
      <c r="M151" s="214"/>
      <c r="N151" s="215"/>
      <c r="O151" s="214">
        <v>1</v>
      </c>
      <c r="P151" s="215"/>
      <c r="Q151" s="214"/>
      <c r="R151" s="215"/>
      <c r="S151" s="214"/>
      <c r="T151" s="215"/>
      <c r="U151" s="214"/>
      <c r="V151" s="215"/>
      <c r="W151" s="208">
        <f t="shared" si="14"/>
        <v>13.48</v>
      </c>
      <c r="X151" s="209"/>
      <c r="Y151" s="210"/>
      <c r="Z151" s="208">
        <f t="shared" si="13"/>
        <v>8.3171599999999994</v>
      </c>
      <c r="AA151" s="209"/>
      <c r="AB151" s="210"/>
      <c r="AC151" s="54"/>
      <c r="AD151" s="55"/>
      <c r="AE151" s="56"/>
      <c r="AF151" s="54"/>
      <c r="AG151" s="55"/>
      <c r="AH151" s="57"/>
    </row>
    <row r="152" spans="1:34" ht="15.75" x14ac:dyDescent="0.25">
      <c r="A152" s="185"/>
      <c r="B152" s="186"/>
      <c r="C152" s="184"/>
      <c r="D152" s="211" t="s">
        <v>707</v>
      </c>
      <c r="E152" s="212"/>
      <c r="F152" s="212"/>
      <c r="G152" s="212"/>
      <c r="H152" s="212"/>
      <c r="I152" s="213"/>
      <c r="J152" s="66"/>
      <c r="K152" s="214">
        <f>4*3.37</f>
        <v>13.48</v>
      </c>
      <c r="L152" s="215"/>
      <c r="M152" s="214"/>
      <c r="N152" s="215"/>
      <c r="O152" s="214">
        <v>1</v>
      </c>
      <c r="P152" s="215"/>
      <c r="Q152" s="214"/>
      <c r="R152" s="215"/>
      <c r="S152" s="214"/>
      <c r="T152" s="215"/>
      <c r="U152" s="214"/>
      <c r="V152" s="215"/>
      <c r="W152" s="208">
        <f t="shared" si="14"/>
        <v>13.48</v>
      </c>
      <c r="X152" s="209"/>
      <c r="Y152" s="210"/>
      <c r="Z152" s="208">
        <f t="shared" si="13"/>
        <v>8.3171599999999994</v>
      </c>
      <c r="AA152" s="209"/>
      <c r="AB152" s="210"/>
      <c r="AC152" s="54"/>
      <c r="AD152" s="55"/>
      <c r="AE152" s="56"/>
      <c r="AF152" s="54"/>
      <c r="AG152" s="55"/>
      <c r="AH152" s="57"/>
    </row>
    <row r="153" spans="1:34" ht="15.75" x14ac:dyDescent="0.25">
      <c r="A153" s="185"/>
      <c r="B153" s="186"/>
      <c r="C153" s="184"/>
      <c r="D153" s="211" t="s">
        <v>708</v>
      </c>
      <c r="E153" s="212"/>
      <c r="F153" s="212"/>
      <c r="G153" s="212"/>
      <c r="H153" s="212"/>
      <c r="I153" s="213"/>
      <c r="J153" s="66"/>
      <c r="K153" s="214">
        <f>6*3.37</f>
        <v>20.22</v>
      </c>
      <c r="L153" s="215"/>
      <c r="M153" s="214"/>
      <c r="N153" s="215"/>
      <c r="O153" s="214">
        <v>1</v>
      </c>
      <c r="P153" s="215"/>
      <c r="Q153" s="214"/>
      <c r="R153" s="215"/>
      <c r="S153" s="214"/>
      <c r="T153" s="215"/>
      <c r="U153" s="214"/>
      <c r="V153" s="215"/>
      <c r="W153" s="208">
        <f t="shared" si="14"/>
        <v>20.22</v>
      </c>
      <c r="X153" s="209"/>
      <c r="Y153" s="210"/>
      <c r="Z153" s="208">
        <f t="shared" si="13"/>
        <v>12.475739999999998</v>
      </c>
      <c r="AA153" s="209"/>
      <c r="AB153" s="210"/>
      <c r="AC153" s="54"/>
      <c r="AD153" s="55"/>
      <c r="AE153" s="56"/>
      <c r="AF153" s="54"/>
      <c r="AG153" s="55"/>
      <c r="AH153" s="57"/>
    </row>
    <row r="154" spans="1:34" ht="15.75" x14ac:dyDescent="0.25">
      <c r="A154" s="185"/>
      <c r="B154" s="186"/>
      <c r="C154" s="184"/>
      <c r="D154" s="211" t="s">
        <v>709</v>
      </c>
      <c r="E154" s="212"/>
      <c r="F154" s="212"/>
      <c r="G154" s="212"/>
      <c r="H154" s="212"/>
      <c r="I154" s="213"/>
      <c r="J154" s="66"/>
      <c r="K154" s="214">
        <f>6*3.37</f>
        <v>20.22</v>
      </c>
      <c r="L154" s="215"/>
      <c r="M154" s="214"/>
      <c r="N154" s="215"/>
      <c r="O154" s="214">
        <v>1</v>
      </c>
      <c r="P154" s="215"/>
      <c r="Q154" s="183"/>
      <c r="R154" s="184"/>
      <c r="S154" s="183"/>
      <c r="T154" s="184"/>
      <c r="U154" s="183"/>
      <c r="V154" s="184"/>
      <c r="W154" s="208">
        <f t="shared" si="14"/>
        <v>20.22</v>
      </c>
      <c r="X154" s="209"/>
      <c r="Y154" s="210"/>
      <c r="Z154" s="208">
        <f t="shared" si="13"/>
        <v>12.475739999999998</v>
      </c>
      <c r="AA154" s="209"/>
      <c r="AB154" s="210"/>
      <c r="AC154" s="54"/>
      <c r="AD154" s="55"/>
      <c r="AE154" s="56"/>
      <c r="AF154" s="54"/>
      <c r="AG154" s="55"/>
      <c r="AH154" s="57"/>
    </row>
    <row r="155" spans="1:34" ht="15.75" x14ac:dyDescent="0.25">
      <c r="A155" s="185"/>
      <c r="B155" s="186"/>
      <c r="C155" s="184"/>
      <c r="D155" s="211" t="s">
        <v>710</v>
      </c>
      <c r="E155" s="212"/>
      <c r="F155" s="212"/>
      <c r="G155" s="212"/>
      <c r="H155" s="212"/>
      <c r="I155" s="213"/>
      <c r="J155" s="66"/>
      <c r="K155" s="214">
        <f>((6*3.73)+(6*1.47))</f>
        <v>31.2</v>
      </c>
      <c r="L155" s="215"/>
      <c r="M155" s="214"/>
      <c r="N155" s="215"/>
      <c r="O155" s="214">
        <v>1</v>
      </c>
      <c r="P155" s="215"/>
      <c r="Q155" s="214"/>
      <c r="R155" s="215"/>
      <c r="S155" s="214"/>
      <c r="T155" s="215"/>
      <c r="U155" s="214"/>
      <c r="V155" s="215"/>
      <c r="W155" s="208">
        <f t="shared" si="14"/>
        <v>31.2</v>
      </c>
      <c r="X155" s="209"/>
      <c r="Y155" s="210"/>
      <c r="Z155" s="208">
        <f t="shared" si="13"/>
        <v>19.250399999999999</v>
      </c>
      <c r="AA155" s="209"/>
      <c r="AB155" s="210"/>
      <c r="AC155" s="54"/>
      <c r="AD155" s="55"/>
      <c r="AE155" s="56"/>
      <c r="AF155" s="54"/>
      <c r="AG155" s="55"/>
      <c r="AH155" s="57"/>
    </row>
    <row r="156" spans="1:34" ht="15.75" x14ac:dyDescent="0.25">
      <c r="A156" s="185"/>
      <c r="B156" s="186"/>
      <c r="C156" s="184"/>
      <c r="D156" s="211" t="s">
        <v>711</v>
      </c>
      <c r="E156" s="212"/>
      <c r="F156" s="212"/>
      <c r="G156" s="212"/>
      <c r="H156" s="212"/>
      <c r="I156" s="213"/>
      <c r="J156" s="66"/>
      <c r="K156" s="214">
        <f>((8*3.73)+(8*1.47))</f>
        <v>41.6</v>
      </c>
      <c r="L156" s="215"/>
      <c r="M156" s="214"/>
      <c r="N156" s="215"/>
      <c r="O156" s="214">
        <v>1</v>
      </c>
      <c r="P156" s="215"/>
      <c r="Q156" s="214"/>
      <c r="R156" s="215"/>
      <c r="S156" s="214"/>
      <c r="T156" s="215"/>
      <c r="U156" s="214"/>
      <c r="V156" s="215"/>
      <c r="W156" s="208">
        <f t="shared" si="14"/>
        <v>41.6</v>
      </c>
      <c r="X156" s="209"/>
      <c r="Y156" s="210"/>
      <c r="Z156" s="208">
        <f t="shared" si="13"/>
        <v>25.667200000000001</v>
      </c>
      <c r="AA156" s="209"/>
      <c r="AB156" s="210"/>
      <c r="AC156" s="54"/>
      <c r="AD156" s="55"/>
      <c r="AE156" s="56"/>
      <c r="AF156" s="54"/>
      <c r="AG156" s="55"/>
      <c r="AH156" s="57"/>
    </row>
    <row r="157" spans="1:34" ht="15.75" x14ac:dyDescent="0.25">
      <c r="A157" s="185"/>
      <c r="B157" s="186"/>
      <c r="C157" s="184"/>
      <c r="D157" s="221" t="s">
        <v>712</v>
      </c>
      <c r="E157" s="222"/>
      <c r="F157" s="222"/>
      <c r="G157" s="222"/>
      <c r="H157" s="222"/>
      <c r="I157" s="223"/>
      <c r="J157" s="66"/>
      <c r="K157" s="214"/>
      <c r="L157" s="215"/>
      <c r="M157" s="214"/>
      <c r="N157" s="215"/>
      <c r="O157" s="214"/>
      <c r="P157" s="215"/>
      <c r="Q157" s="214"/>
      <c r="R157" s="215"/>
      <c r="S157" s="214"/>
      <c r="T157" s="215"/>
      <c r="U157" s="214"/>
      <c r="V157" s="215"/>
      <c r="W157" s="208">
        <f t="shared" si="14"/>
        <v>0</v>
      </c>
      <c r="X157" s="209"/>
      <c r="Y157" s="210"/>
      <c r="Z157" s="208">
        <f t="shared" si="13"/>
        <v>0</v>
      </c>
      <c r="AA157" s="209"/>
      <c r="AB157" s="210"/>
      <c r="AC157" s="54"/>
      <c r="AD157" s="55"/>
      <c r="AE157" s="56"/>
      <c r="AF157" s="54"/>
      <c r="AG157" s="55"/>
      <c r="AH157" s="57"/>
    </row>
    <row r="158" spans="1:34" ht="15.75" x14ac:dyDescent="0.25">
      <c r="A158" s="185"/>
      <c r="B158" s="186"/>
      <c r="C158" s="184"/>
      <c r="D158" s="211" t="s">
        <v>713</v>
      </c>
      <c r="E158" s="212"/>
      <c r="F158" s="212"/>
      <c r="G158" s="212"/>
      <c r="H158" s="212"/>
      <c r="I158" s="213"/>
      <c r="J158" s="66"/>
      <c r="K158" s="214">
        <f>((4*3.73)+(4*1.47))</f>
        <v>20.8</v>
      </c>
      <c r="L158" s="215"/>
      <c r="M158" s="214"/>
      <c r="N158" s="215"/>
      <c r="O158" s="214">
        <v>1</v>
      </c>
      <c r="P158" s="215"/>
      <c r="Q158" s="214"/>
      <c r="R158" s="215"/>
      <c r="S158" s="214"/>
      <c r="T158" s="215"/>
      <c r="U158" s="214"/>
      <c r="V158" s="215"/>
      <c r="W158" s="208">
        <f t="shared" si="14"/>
        <v>20.8</v>
      </c>
      <c r="X158" s="209"/>
      <c r="Y158" s="210"/>
      <c r="Z158" s="208">
        <f t="shared" si="13"/>
        <v>12.833600000000001</v>
      </c>
      <c r="AA158" s="209"/>
      <c r="AB158" s="210"/>
      <c r="AC158" s="54"/>
      <c r="AD158" s="55"/>
      <c r="AE158" s="56"/>
      <c r="AF158" s="54"/>
      <c r="AG158" s="55"/>
      <c r="AH158" s="57"/>
    </row>
    <row r="159" spans="1:34" ht="15.75" x14ac:dyDescent="0.25">
      <c r="A159" s="185"/>
      <c r="B159" s="186"/>
      <c r="C159" s="184"/>
      <c r="D159" s="211" t="s">
        <v>714</v>
      </c>
      <c r="E159" s="212"/>
      <c r="F159" s="212"/>
      <c r="G159" s="212"/>
      <c r="H159" s="212"/>
      <c r="I159" s="213"/>
      <c r="J159" s="66"/>
      <c r="K159" s="214">
        <f>4*3.37</f>
        <v>13.48</v>
      </c>
      <c r="L159" s="215"/>
      <c r="M159" s="214"/>
      <c r="N159" s="215"/>
      <c r="O159" s="214">
        <v>1</v>
      </c>
      <c r="P159" s="215"/>
      <c r="Q159" s="214"/>
      <c r="R159" s="215"/>
      <c r="S159" s="214"/>
      <c r="T159" s="215"/>
      <c r="U159" s="214"/>
      <c r="V159" s="215"/>
      <c r="W159" s="208">
        <f t="shared" si="14"/>
        <v>13.48</v>
      </c>
      <c r="X159" s="209"/>
      <c r="Y159" s="210"/>
      <c r="Z159" s="208">
        <f t="shared" si="13"/>
        <v>8.3171599999999994</v>
      </c>
      <c r="AA159" s="209"/>
      <c r="AB159" s="210"/>
      <c r="AC159" s="54"/>
      <c r="AD159" s="55"/>
      <c r="AE159" s="56"/>
      <c r="AF159" s="54"/>
      <c r="AG159" s="55"/>
      <c r="AH159" s="57"/>
    </row>
    <row r="160" spans="1:34" ht="15.75" x14ac:dyDescent="0.25">
      <c r="A160" s="185"/>
      <c r="B160" s="186"/>
      <c r="C160" s="184"/>
      <c r="D160" s="211" t="s">
        <v>715</v>
      </c>
      <c r="E160" s="212"/>
      <c r="F160" s="212"/>
      <c r="G160" s="212"/>
      <c r="H160" s="212"/>
      <c r="I160" s="213"/>
      <c r="J160" s="66"/>
      <c r="K160" s="214">
        <f>4*3.37</f>
        <v>13.48</v>
      </c>
      <c r="L160" s="215"/>
      <c r="M160" s="214"/>
      <c r="N160" s="215"/>
      <c r="O160" s="214">
        <v>1</v>
      </c>
      <c r="P160" s="215"/>
      <c r="Q160" s="214"/>
      <c r="R160" s="215"/>
      <c r="S160" s="214"/>
      <c r="T160" s="215"/>
      <c r="U160" s="214"/>
      <c r="V160" s="215"/>
      <c r="W160" s="208">
        <f t="shared" si="14"/>
        <v>13.48</v>
      </c>
      <c r="X160" s="209"/>
      <c r="Y160" s="210"/>
      <c r="Z160" s="208">
        <f t="shared" si="13"/>
        <v>8.3171599999999994</v>
      </c>
      <c r="AA160" s="209"/>
      <c r="AB160" s="210"/>
      <c r="AC160" s="54"/>
      <c r="AD160" s="55"/>
      <c r="AE160" s="56"/>
      <c r="AF160" s="54"/>
      <c r="AG160" s="55"/>
      <c r="AH160" s="57"/>
    </row>
    <row r="161" spans="1:34" ht="15.75" x14ac:dyDescent="0.25">
      <c r="A161" s="185"/>
      <c r="B161" s="186"/>
      <c r="C161" s="184"/>
      <c r="D161" s="211" t="s">
        <v>716</v>
      </c>
      <c r="E161" s="212"/>
      <c r="F161" s="212"/>
      <c r="G161" s="212"/>
      <c r="H161" s="212"/>
      <c r="I161" s="213"/>
      <c r="J161" s="66"/>
      <c r="K161" s="214">
        <f>4*3.37</f>
        <v>13.48</v>
      </c>
      <c r="L161" s="215"/>
      <c r="M161" s="214"/>
      <c r="N161" s="215"/>
      <c r="O161" s="214">
        <v>1</v>
      </c>
      <c r="P161" s="215"/>
      <c r="Q161" s="214"/>
      <c r="R161" s="215"/>
      <c r="S161" s="214"/>
      <c r="T161" s="215"/>
      <c r="U161" s="214"/>
      <c r="V161" s="215"/>
      <c r="W161" s="208">
        <f t="shared" si="14"/>
        <v>13.48</v>
      </c>
      <c r="X161" s="209"/>
      <c r="Y161" s="210"/>
      <c r="Z161" s="208">
        <f t="shared" si="13"/>
        <v>8.3171599999999994</v>
      </c>
      <c r="AA161" s="209"/>
      <c r="AB161" s="210"/>
      <c r="AC161" s="54"/>
      <c r="AD161" s="55"/>
      <c r="AE161" s="56"/>
      <c r="AF161" s="54"/>
      <c r="AG161" s="55"/>
      <c r="AH161" s="57"/>
    </row>
    <row r="162" spans="1:34" ht="15.75" x14ac:dyDescent="0.25">
      <c r="A162" s="185"/>
      <c r="B162" s="186"/>
      <c r="C162" s="184"/>
      <c r="D162" s="211" t="s">
        <v>717</v>
      </c>
      <c r="E162" s="212"/>
      <c r="F162" s="212"/>
      <c r="G162" s="212"/>
      <c r="H162" s="212"/>
      <c r="I162" s="213"/>
      <c r="J162" s="66"/>
      <c r="K162" s="214">
        <f>4*3.37</f>
        <v>13.48</v>
      </c>
      <c r="L162" s="215"/>
      <c r="M162" s="214"/>
      <c r="N162" s="215"/>
      <c r="O162" s="214">
        <v>1</v>
      </c>
      <c r="P162" s="215"/>
      <c r="Q162" s="183"/>
      <c r="R162" s="184"/>
      <c r="S162" s="183"/>
      <c r="T162" s="184"/>
      <c r="U162" s="183"/>
      <c r="V162" s="184"/>
      <c r="W162" s="208">
        <f t="shared" si="14"/>
        <v>13.48</v>
      </c>
      <c r="X162" s="209"/>
      <c r="Y162" s="210"/>
      <c r="Z162" s="208">
        <f t="shared" si="13"/>
        <v>8.3171599999999994</v>
      </c>
      <c r="AA162" s="209"/>
      <c r="AB162" s="210"/>
      <c r="AC162" s="54"/>
      <c r="AD162" s="55"/>
      <c r="AE162" s="56"/>
      <c r="AF162" s="54"/>
      <c r="AG162" s="55"/>
      <c r="AH162" s="57"/>
    </row>
    <row r="163" spans="1:34" ht="15.75" x14ac:dyDescent="0.25">
      <c r="A163" s="185"/>
      <c r="B163" s="186"/>
      <c r="C163" s="184"/>
      <c r="D163" s="211" t="s">
        <v>718</v>
      </c>
      <c r="E163" s="212"/>
      <c r="F163" s="212"/>
      <c r="G163" s="212"/>
      <c r="H163" s="212"/>
      <c r="I163" s="213"/>
      <c r="J163" s="66"/>
      <c r="K163" s="214">
        <f>4*3.37</f>
        <v>13.48</v>
      </c>
      <c r="L163" s="215"/>
      <c r="M163" s="214"/>
      <c r="N163" s="215"/>
      <c r="O163" s="214">
        <v>1</v>
      </c>
      <c r="P163" s="215"/>
      <c r="Q163" s="214"/>
      <c r="R163" s="215"/>
      <c r="S163" s="214"/>
      <c r="T163" s="215"/>
      <c r="U163" s="214"/>
      <c r="V163" s="215"/>
      <c r="W163" s="208">
        <f t="shared" si="14"/>
        <v>13.48</v>
      </c>
      <c r="X163" s="209"/>
      <c r="Y163" s="210"/>
      <c r="Z163" s="208">
        <f t="shared" si="13"/>
        <v>8.3171599999999994</v>
      </c>
      <c r="AA163" s="209"/>
      <c r="AB163" s="210"/>
      <c r="AC163" s="54"/>
      <c r="AD163" s="55"/>
      <c r="AE163" s="56"/>
      <c r="AF163" s="54"/>
      <c r="AG163" s="55"/>
      <c r="AH163" s="57"/>
    </row>
    <row r="164" spans="1:34" ht="15.75" x14ac:dyDescent="0.25">
      <c r="A164" s="185"/>
      <c r="B164" s="186"/>
      <c r="C164" s="184"/>
      <c r="D164" s="211" t="s">
        <v>719</v>
      </c>
      <c r="E164" s="212"/>
      <c r="F164" s="212"/>
      <c r="G164" s="212"/>
      <c r="H164" s="212"/>
      <c r="I164" s="213"/>
      <c r="J164" s="66"/>
      <c r="K164" s="214">
        <f>8*3.37</f>
        <v>26.96</v>
      </c>
      <c r="L164" s="215"/>
      <c r="M164" s="214"/>
      <c r="N164" s="215"/>
      <c r="O164" s="214">
        <v>1</v>
      </c>
      <c r="P164" s="215"/>
      <c r="Q164" s="214"/>
      <c r="R164" s="215"/>
      <c r="S164" s="214"/>
      <c r="T164" s="215"/>
      <c r="U164" s="214"/>
      <c r="V164" s="215"/>
      <c r="W164" s="208">
        <f t="shared" si="14"/>
        <v>26.96</v>
      </c>
      <c r="X164" s="209"/>
      <c r="Y164" s="210"/>
      <c r="Z164" s="208">
        <f t="shared" si="13"/>
        <v>16.634319999999999</v>
      </c>
      <c r="AA164" s="209"/>
      <c r="AB164" s="210"/>
      <c r="AC164" s="54"/>
      <c r="AD164" s="55"/>
      <c r="AE164" s="56"/>
      <c r="AF164" s="54"/>
      <c r="AG164" s="55"/>
      <c r="AH164" s="57"/>
    </row>
    <row r="165" spans="1:34" ht="15.75" x14ac:dyDescent="0.25">
      <c r="A165" s="185"/>
      <c r="B165" s="186"/>
      <c r="C165" s="184"/>
      <c r="D165" s="211" t="s">
        <v>720</v>
      </c>
      <c r="E165" s="212"/>
      <c r="F165" s="212"/>
      <c r="G165" s="212"/>
      <c r="H165" s="212"/>
      <c r="I165" s="213"/>
      <c r="J165" s="66"/>
      <c r="K165" s="214">
        <f>((6*3.73)+(6*1.47))</f>
        <v>31.2</v>
      </c>
      <c r="L165" s="215"/>
      <c r="M165" s="214"/>
      <c r="N165" s="215"/>
      <c r="O165" s="214">
        <v>1</v>
      </c>
      <c r="P165" s="215"/>
      <c r="Q165" s="214"/>
      <c r="R165" s="215"/>
      <c r="S165" s="214"/>
      <c r="T165" s="215"/>
      <c r="U165" s="214"/>
      <c r="V165" s="215"/>
      <c r="W165" s="208">
        <f t="shared" si="14"/>
        <v>31.2</v>
      </c>
      <c r="X165" s="209"/>
      <c r="Y165" s="210"/>
      <c r="Z165" s="208">
        <f t="shared" si="13"/>
        <v>19.250399999999999</v>
      </c>
      <c r="AA165" s="209"/>
      <c r="AB165" s="210"/>
      <c r="AC165" s="54"/>
      <c r="AD165" s="55"/>
      <c r="AE165" s="56"/>
      <c r="AF165" s="54"/>
      <c r="AG165" s="55"/>
      <c r="AH165" s="57"/>
    </row>
    <row r="166" spans="1:34" ht="15.75" x14ac:dyDescent="0.25">
      <c r="A166" s="185"/>
      <c r="B166" s="186"/>
      <c r="C166" s="184"/>
      <c r="D166" s="211" t="s">
        <v>721</v>
      </c>
      <c r="E166" s="212"/>
      <c r="F166" s="212"/>
      <c r="G166" s="212"/>
      <c r="H166" s="212"/>
      <c r="I166" s="213"/>
      <c r="J166" s="66"/>
      <c r="K166" s="214">
        <f>6*3.37</f>
        <v>20.22</v>
      </c>
      <c r="L166" s="215"/>
      <c r="M166" s="214"/>
      <c r="N166" s="215"/>
      <c r="O166" s="214">
        <v>1</v>
      </c>
      <c r="P166" s="215"/>
      <c r="Q166" s="214"/>
      <c r="R166" s="215"/>
      <c r="S166" s="214"/>
      <c r="T166" s="215"/>
      <c r="U166" s="214"/>
      <c r="V166" s="215"/>
      <c r="W166" s="208">
        <f t="shared" si="14"/>
        <v>20.22</v>
      </c>
      <c r="X166" s="209"/>
      <c r="Y166" s="210"/>
      <c r="Z166" s="208">
        <f t="shared" si="13"/>
        <v>12.475739999999998</v>
      </c>
      <c r="AA166" s="209"/>
      <c r="AB166" s="210"/>
      <c r="AC166" s="54"/>
      <c r="AD166" s="55"/>
      <c r="AE166" s="56"/>
      <c r="AF166" s="54"/>
      <c r="AG166" s="55"/>
      <c r="AH166" s="57"/>
    </row>
    <row r="167" spans="1:34" ht="15.75" x14ac:dyDescent="0.25">
      <c r="A167" s="185"/>
      <c r="B167" s="186"/>
      <c r="C167" s="184"/>
      <c r="D167" s="211" t="s">
        <v>722</v>
      </c>
      <c r="E167" s="212"/>
      <c r="F167" s="212"/>
      <c r="G167" s="212"/>
      <c r="H167" s="212"/>
      <c r="I167" s="213"/>
      <c r="J167" s="66"/>
      <c r="K167" s="214">
        <f>((6*3.73)+(6*1.47))</f>
        <v>31.2</v>
      </c>
      <c r="L167" s="215"/>
      <c r="M167" s="214"/>
      <c r="N167" s="215"/>
      <c r="O167" s="214">
        <v>1</v>
      </c>
      <c r="P167" s="215"/>
      <c r="Q167" s="214"/>
      <c r="R167" s="215"/>
      <c r="S167" s="214"/>
      <c r="T167" s="215"/>
      <c r="U167" s="214"/>
      <c r="V167" s="215"/>
      <c r="W167" s="208">
        <f t="shared" si="14"/>
        <v>31.2</v>
      </c>
      <c r="X167" s="209"/>
      <c r="Y167" s="210"/>
      <c r="Z167" s="208">
        <f t="shared" si="13"/>
        <v>19.250399999999999</v>
      </c>
      <c r="AA167" s="209"/>
      <c r="AB167" s="210"/>
      <c r="AC167" s="54"/>
      <c r="AD167" s="55"/>
      <c r="AE167" s="56"/>
      <c r="AF167" s="54"/>
      <c r="AG167" s="55"/>
      <c r="AH167" s="57"/>
    </row>
    <row r="168" spans="1:34" ht="15.75" x14ac:dyDescent="0.25">
      <c r="A168" s="185"/>
      <c r="B168" s="186"/>
      <c r="C168" s="184"/>
      <c r="D168" s="211" t="s">
        <v>723</v>
      </c>
      <c r="E168" s="212"/>
      <c r="F168" s="212"/>
      <c r="G168" s="212"/>
      <c r="H168" s="212"/>
      <c r="I168" s="213"/>
      <c r="J168" s="66"/>
      <c r="K168" s="214">
        <f>((4*3.73)+(4*1.47))</f>
        <v>20.8</v>
      </c>
      <c r="L168" s="215"/>
      <c r="M168" s="214"/>
      <c r="N168" s="215"/>
      <c r="O168" s="214">
        <v>1</v>
      </c>
      <c r="P168" s="215"/>
      <c r="Q168" s="214"/>
      <c r="R168" s="215"/>
      <c r="S168" s="214"/>
      <c r="T168" s="215"/>
      <c r="U168" s="214"/>
      <c r="V168" s="215"/>
      <c r="W168" s="208">
        <f t="shared" si="14"/>
        <v>20.8</v>
      </c>
      <c r="X168" s="209"/>
      <c r="Y168" s="210"/>
      <c r="Z168" s="208">
        <f t="shared" si="13"/>
        <v>12.833600000000001</v>
      </c>
      <c r="AA168" s="209"/>
      <c r="AB168" s="210"/>
      <c r="AC168" s="54"/>
      <c r="AD168" s="55"/>
      <c r="AE168" s="56"/>
      <c r="AF168" s="54"/>
      <c r="AG168" s="55"/>
      <c r="AH168" s="57"/>
    </row>
    <row r="169" spans="1:34" ht="15.75" x14ac:dyDescent="0.25">
      <c r="A169" s="185"/>
      <c r="B169" s="186"/>
      <c r="C169" s="184"/>
      <c r="D169" s="211" t="s">
        <v>724</v>
      </c>
      <c r="E169" s="212"/>
      <c r="F169" s="212"/>
      <c r="G169" s="212"/>
      <c r="H169" s="212"/>
      <c r="I169" s="213"/>
      <c r="J169" s="66"/>
      <c r="K169" s="214">
        <f>4*3.37</f>
        <v>13.48</v>
      </c>
      <c r="L169" s="215"/>
      <c r="M169" s="214"/>
      <c r="N169" s="215"/>
      <c r="O169" s="214">
        <v>1</v>
      </c>
      <c r="P169" s="215"/>
      <c r="Q169" s="214"/>
      <c r="R169" s="215"/>
      <c r="S169" s="214"/>
      <c r="T169" s="215"/>
      <c r="U169" s="214"/>
      <c r="V169" s="215"/>
      <c r="W169" s="208">
        <f t="shared" si="14"/>
        <v>13.48</v>
      </c>
      <c r="X169" s="209"/>
      <c r="Y169" s="210"/>
      <c r="Z169" s="208">
        <f t="shared" si="13"/>
        <v>8.3171599999999994</v>
      </c>
      <c r="AA169" s="209"/>
      <c r="AB169" s="210"/>
      <c r="AC169" s="54"/>
      <c r="AD169" s="55"/>
      <c r="AE169" s="56"/>
      <c r="AF169" s="54"/>
      <c r="AG169" s="55"/>
      <c r="AH169" s="57"/>
    </row>
    <row r="170" spans="1:34" ht="15.75" x14ac:dyDescent="0.25">
      <c r="A170" s="185"/>
      <c r="B170" s="186"/>
      <c r="C170" s="184"/>
      <c r="D170" s="211" t="s">
        <v>725</v>
      </c>
      <c r="E170" s="212"/>
      <c r="F170" s="212"/>
      <c r="G170" s="212"/>
      <c r="H170" s="212"/>
      <c r="I170" s="213"/>
      <c r="J170" s="66"/>
      <c r="K170" s="214">
        <f>4*3.37</f>
        <v>13.48</v>
      </c>
      <c r="L170" s="215"/>
      <c r="M170" s="214"/>
      <c r="N170" s="215"/>
      <c r="O170" s="214">
        <v>1</v>
      </c>
      <c r="P170" s="215"/>
      <c r="Q170" s="183"/>
      <c r="R170" s="184"/>
      <c r="S170" s="183"/>
      <c r="T170" s="184"/>
      <c r="U170" s="183"/>
      <c r="V170" s="184"/>
      <c r="W170" s="208">
        <f t="shared" si="14"/>
        <v>13.48</v>
      </c>
      <c r="X170" s="209"/>
      <c r="Y170" s="210"/>
      <c r="Z170" s="208">
        <f t="shared" si="13"/>
        <v>8.3171599999999994</v>
      </c>
      <c r="AA170" s="209"/>
      <c r="AB170" s="210"/>
      <c r="AC170" s="54"/>
      <c r="AD170" s="55"/>
      <c r="AE170" s="56"/>
      <c r="AF170" s="54"/>
      <c r="AG170" s="55"/>
      <c r="AH170" s="57"/>
    </row>
    <row r="171" spans="1:34" ht="15.75" x14ac:dyDescent="0.25">
      <c r="A171" s="185"/>
      <c r="B171" s="186"/>
      <c r="C171" s="184"/>
      <c r="D171" s="211" t="s">
        <v>726</v>
      </c>
      <c r="E171" s="212"/>
      <c r="F171" s="212"/>
      <c r="G171" s="212"/>
      <c r="H171" s="212"/>
      <c r="I171" s="213"/>
      <c r="J171" s="66"/>
      <c r="K171" s="214">
        <f>4*3.37</f>
        <v>13.48</v>
      </c>
      <c r="L171" s="215"/>
      <c r="M171" s="214"/>
      <c r="N171" s="215"/>
      <c r="O171" s="214">
        <v>1</v>
      </c>
      <c r="P171" s="215"/>
      <c r="Q171" s="214"/>
      <c r="R171" s="215"/>
      <c r="S171" s="214"/>
      <c r="T171" s="215"/>
      <c r="U171" s="214"/>
      <c r="V171" s="215"/>
      <c r="W171" s="208">
        <f t="shared" si="14"/>
        <v>13.48</v>
      </c>
      <c r="X171" s="209"/>
      <c r="Y171" s="210"/>
      <c r="Z171" s="208">
        <f t="shared" si="13"/>
        <v>8.3171599999999994</v>
      </c>
      <c r="AA171" s="209"/>
      <c r="AB171" s="210"/>
      <c r="AC171" s="54"/>
      <c r="AD171" s="55"/>
      <c r="AE171" s="56"/>
      <c r="AF171" s="54"/>
      <c r="AG171" s="55"/>
      <c r="AH171" s="57"/>
    </row>
    <row r="172" spans="1:34" ht="15.75" x14ac:dyDescent="0.25">
      <c r="A172" s="185"/>
      <c r="B172" s="186"/>
      <c r="C172" s="184"/>
      <c r="D172" s="211" t="s">
        <v>727</v>
      </c>
      <c r="E172" s="212"/>
      <c r="F172" s="212"/>
      <c r="G172" s="212"/>
      <c r="H172" s="212"/>
      <c r="I172" s="213"/>
      <c r="J172" s="66"/>
      <c r="K172" s="214">
        <f>4*3.37</f>
        <v>13.48</v>
      </c>
      <c r="L172" s="215"/>
      <c r="M172" s="214"/>
      <c r="N172" s="215"/>
      <c r="O172" s="214">
        <v>1</v>
      </c>
      <c r="P172" s="215"/>
      <c r="Q172" s="214"/>
      <c r="R172" s="215"/>
      <c r="S172" s="214"/>
      <c r="T172" s="215"/>
      <c r="U172" s="214"/>
      <c r="V172" s="215"/>
      <c r="W172" s="208">
        <f t="shared" si="14"/>
        <v>13.48</v>
      </c>
      <c r="X172" s="209"/>
      <c r="Y172" s="210"/>
      <c r="Z172" s="208">
        <f t="shared" si="13"/>
        <v>8.3171599999999994</v>
      </c>
      <c r="AA172" s="209"/>
      <c r="AB172" s="210"/>
      <c r="AC172" s="54"/>
      <c r="AD172" s="55"/>
      <c r="AE172" s="56"/>
      <c r="AF172" s="54"/>
      <c r="AG172" s="55"/>
      <c r="AH172" s="57"/>
    </row>
    <row r="173" spans="1:34" ht="15.75" x14ac:dyDescent="0.25">
      <c r="A173" s="185"/>
      <c r="B173" s="186"/>
      <c r="C173" s="184"/>
      <c r="D173" s="211" t="s">
        <v>728</v>
      </c>
      <c r="E173" s="212"/>
      <c r="F173" s="212"/>
      <c r="G173" s="212"/>
      <c r="H173" s="212"/>
      <c r="I173" s="213"/>
      <c r="J173" s="66"/>
      <c r="K173" s="214">
        <f>4*3.37</f>
        <v>13.48</v>
      </c>
      <c r="L173" s="215"/>
      <c r="M173" s="214"/>
      <c r="N173" s="215"/>
      <c r="O173" s="214">
        <v>1</v>
      </c>
      <c r="P173" s="215"/>
      <c r="Q173" s="214"/>
      <c r="R173" s="215"/>
      <c r="S173" s="214"/>
      <c r="T173" s="215"/>
      <c r="U173" s="214"/>
      <c r="V173" s="215"/>
      <c r="W173" s="208">
        <f t="shared" si="14"/>
        <v>13.48</v>
      </c>
      <c r="X173" s="209"/>
      <c r="Y173" s="210"/>
      <c r="Z173" s="208">
        <f t="shared" si="13"/>
        <v>8.3171599999999994</v>
      </c>
      <c r="AA173" s="209"/>
      <c r="AB173" s="210"/>
      <c r="AC173" s="54"/>
      <c r="AD173" s="55"/>
      <c r="AE173" s="56"/>
      <c r="AF173" s="54"/>
      <c r="AG173" s="55"/>
      <c r="AH173" s="57"/>
    </row>
    <row r="174" spans="1:34" ht="15.75" x14ac:dyDescent="0.25">
      <c r="A174" s="185"/>
      <c r="B174" s="186"/>
      <c r="C174" s="184"/>
      <c r="D174" s="221" t="s">
        <v>729</v>
      </c>
      <c r="E174" s="222"/>
      <c r="F174" s="222"/>
      <c r="G174" s="222"/>
      <c r="H174" s="222"/>
      <c r="I174" s="223"/>
      <c r="J174" s="66"/>
      <c r="K174" s="214"/>
      <c r="L174" s="215"/>
      <c r="M174" s="214"/>
      <c r="N174" s="215"/>
      <c r="O174" s="214"/>
      <c r="P174" s="215"/>
      <c r="Q174" s="214"/>
      <c r="R174" s="215"/>
      <c r="S174" s="214"/>
      <c r="T174" s="215"/>
      <c r="U174" s="214"/>
      <c r="V174" s="215"/>
      <c r="W174" s="208">
        <f t="shared" si="14"/>
        <v>0</v>
      </c>
      <c r="X174" s="209"/>
      <c r="Y174" s="210"/>
      <c r="Z174" s="208">
        <f t="shared" si="13"/>
        <v>0</v>
      </c>
      <c r="AA174" s="209"/>
      <c r="AB174" s="210"/>
      <c r="AC174" s="54"/>
      <c r="AD174" s="55"/>
      <c r="AE174" s="56"/>
      <c r="AF174" s="54"/>
      <c r="AG174" s="55"/>
      <c r="AH174" s="57"/>
    </row>
    <row r="175" spans="1:34" ht="15.75" x14ac:dyDescent="0.25">
      <c r="A175" s="185"/>
      <c r="B175" s="186"/>
      <c r="C175" s="184"/>
      <c r="D175" s="221" t="s">
        <v>730</v>
      </c>
      <c r="E175" s="222"/>
      <c r="F175" s="222"/>
      <c r="G175" s="222"/>
      <c r="H175" s="222"/>
      <c r="I175" s="223"/>
      <c r="J175" s="66"/>
      <c r="K175" s="214"/>
      <c r="L175" s="215"/>
      <c r="M175" s="214"/>
      <c r="N175" s="215"/>
      <c r="O175" s="214"/>
      <c r="P175" s="215"/>
      <c r="Q175" s="214"/>
      <c r="R175" s="215"/>
      <c r="S175" s="214"/>
      <c r="T175" s="215"/>
      <c r="U175" s="214"/>
      <c r="V175" s="215"/>
      <c r="W175" s="208">
        <f t="shared" si="14"/>
        <v>0</v>
      </c>
      <c r="X175" s="209"/>
      <c r="Y175" s="210"/>
      <c r="Z175" s="208">
        <f t="shared" ref="Z175:Z202" si="16">W175*0.617</f>
        <v>0</v>
      </c>
      <c r="AA175" s="209"/>
      <c r="AB175" s="210"/>
      <c r="AC175" s="54"/>
      <c r="AD175" s="55"/>
      <c r="AE175" s="56"/>
      <c r="AF175" s="54"/>
      <c r="AG175" s="55"/>
      <c r="AH175" s="57"/>
    </row>
    <row r="176" spans="1:34" ht="15.75" x14ac:dyDescent="0.25">
      <c r="A176" s="185"/>
      <c r="B176" s="186"/>
      <c r="C176" s="184"/>
      <c r="D176" s="221" t="s">
        <v>731</v>
      </c>
      <c r="E176" s="222"/>
      <c r="F176" s="222"/>
      <c r="G176" s="222"/>
      <c r="H176" s="222"/>
      <c r="I176" s="223"/>
      <c r="J176" s="66"/>
      <c r="K176" s="214"/>
      <c r="L176" s="215"/>
      <c r="M176" s="214"/>
      <c r="N176" s="215"/>
      <c r="O176" s="214"/>
      <c r="P176" s="215"/>
      <c r="Q176" s="214"/>
      <c r="R176" s="215"/>
      <c r="S176" s="214"/>
      <c r="T176" s="215"/>
      <c r="U176" s="214"/>
      <c r="V176" s="215"/>
      <c r="W176" s="208">
        <f t="shared" si="14"/>
        <v>0</v>
      </c>
      <c r="X176" s="209"/>
      <c r="Y176" s="210"/>
      <c r="Z176" s="208">
        <f t="shared" si="16"/>
        <v>0</v>
      </c>
      <c r="AA176" s="209"/>
      <c r="AB176" s="210"/>
      <c r="AC176" s="54"/>
      <c r="AD176" s="55"/>
      <c r="AE176" s="56"/>
      <c r="AF176" s="54"/>
      <c r="AG176" s="55"/>
      <c r="AH176" s="57"/>
    </row>
    <row r="177" spans="1:34" ht="15.75" x14ac:dyDescent="0.25">
      <c r="A177" s="185"/>
      <c r="B177" s="186"/>
      <c r="C177" s="184"/>
      <c r="D177" s="211" t="s">
        <v>732</v>
      </c>
      <c r="E177" s="212"/>
      <c r="F177" s="212"/>
      <c r="G177" s="212"/>
      <c r="H177" s="212"/>
      <c r="I177" s="213"/>
      <c r="J177" s="66"/>
      <c r="K177" s="214">
        <f>((4*3.73)+(4*1.47))</f>
        <v>20.8</v>
      </c>
      <c r="L177" s="215"/>
      <c r="M177" s="214"/>
      <c r="N177" s="215"/>
      <c r="O177" s="214">
        <v>1</v>
      </c>
      <c r="P177" s="215"/>
      <c r="Q177" s="214"/>
      <c r="R177" s="215"/>
      <c r="S177" s="214"/>
      <c r="T177" s="215"/>
      <c r="U177" s="214"/>
      <c r="V177" s="215"/>
      <c r="W177" s="208">
        <f t="shared" si="14"/>
        <v>20.8</v>
      </c>
      <c r="X177" s="209"/>
      <c r="Y177" s="210"/>
      <c r="Z177" s="208">
        <f t="shared" si="16"/>
        <v>12.833600000000001</v>
      </c>
      <c r="AA177" s="209"/>
      <c r="AB177" s="210"/>
      <c r="AC177" s="54"/>
      <c r="AD177" s="55"/>
      <c r="AE177" s="56"/>
      <c r="AF177" s="54"/>
      <c r="AG177" s="55"/>
      <c r="AH177" s="57"/>
    </row>
    <row r="178" spans="1:34" ht="15.75" x14ac:dyDescent="0.25">
      <c r="A178" s="185"/>
      <c r="B178" s="186"/>
      <c r="C178" s="184"/>
      <c r="D178" s="211" t="s">
        <v>733</v>
      </c>
      <c r="E178" s="212"/>
      <c r="F178" s="212"/>
      <c r="G178" s="212"/>
      <c r="H178" s="212"/>
      <c r="I178" s="213"/>
      <c r="J178" s="66"/>
      <c r="K178" s="214">
        <f>4*3.37</f>
        <v>13.48</v>
      </c>
      <c r="L178" s="215"/>
      <c r="M178" s="214"/>
      <c r="N178" s="215"/>
      <c r="O178" s="214">
        <v>1</v>
      </c>
      <c r="P178" s="215"/>
      <c r="Q178" s="183"/>
      <c r="R178" s="184"/>
      <c r="S178" s="183"/>
      <c r="T178" s="184"/>
      <c r="U178" s="183"/>
      <c r="V178" s="184"/>
      <c r="W178" s="208">
        <f t="shared" si="14"/>
        <v>13.48</v>
      </c>
      <c r="X178" s="209"/>
      <c r="Y178" s="210"/>
      <c r="Z178" s="208">
        <f t="shared" si="16"/>
        <v>8.3171599999999994</v>
      </c>
      <c r="AA178" s="209"/>
      <c r="AB178" s="210"/>
      <c r="AC178" s="54"/>
      <c r="AD178" s="55"/>
      <c r="AE178" s="56"/>
      <c r="AF178" s="54"/>
      <c r="AG178" s="55"/>
      <c r="AH178" s="57"/>
    </row>
    <row r="179" spans="1:34" ht="15.75" x14ac:dyDescent="0.25">
      <c r="A179" s="185"/>
      <c r="B179" s="186"/>
      <c r="C179" s="184"/>
      <c r="D179" s="211" t="s">
        <v>734</v>
      </c>
      <c r="E179" s="212"/>
      <c r="F179" s="212"/>
      <c r="G179" s="212"/>
      <c r="H179" s="212"/>
      <c r="I179" s="213"/>
      <c r="J179" s="66"/>
      <c r="K179" s="214">
        <f>4*3.37</f>
        <v>13.48</v>
      </c>
      <c r="L179" s="215"/>
      <c r="M179" s="214"/>
      <c r="N179" s="215"/>
      <c r="O179" s="214">
        <v>1</v>
      </c>
      <c r="P179" s="215"/>
      <c r="Q179" s="214"/>
      <c r="R179" s="215"/>
      <c r="S179" s="214"/>
      <c r="T179" s="215"/>
      <c r="U179" s="214"/>
      <c r="V179" s="215"/>
      <c r="W179" s="208">
        <f t="shared" si="14"/>
        <v>13.48</v>
      </c>
      <c r="X179" s="209"/>
      <c r="Y179" s="210"/>
      <c r="Z179" s="208">
        <f t="shared" si="16"/>
        <v>8.3171599999999994</v>
      </c>
      <c r="AA179" s="209"/>
      <c r="AB179" s="210"/>
      <c r="AC179" s="54"/>
      <c r="AD179" s="55"/>
      <c r="AE179" s="56"/>
      <c r="AF179" s="54"/>
      <c r="AG179" s="55"/>
      <c r="AH179" s="57"/>
    </row>
    <row r="180" spans="1:34" ht="15.75" x14ac:dyDescent="0.25">
      <c r="A180" s="185"/>
      <c r="B180" s="186"/>
      <c r="C180" s="184"/>
      <c r="D180" s="211" t="s">
        <v>735</v>
      </c>
      <c r="E180" s="212"/>
      <c r="F180" s="212"/>
      <c r="G180" s="212"/>
      <c r="H180" s="212"/>
      <c r="I180" s="213"/>
      <c r="J180" s="66"/>
      <c r="K180" s="214">
        <f>((4*3.73)+(4*1.47))</f>
        <v>20.8</v>
      </c>
      <c r="L180" s="215"/>
      <c r="M180" s="214"/>
      <c r="N180" s="215"/>
      <c r="O180" s="214">
        <v>1</v>
      </c>
      <c r="P180" s="215"/>
      <c r="Q180" s="214"/>
      <c r="R180" s="215"/>
      <c r="S180" s="214"/>
      <c r="T180" s="215"/>
      <c r="U180" s="214"/>
      <c r="V180" s="215"/>
      <c r="W180" s="208">
        <f t="shared" si="14"/>
        <v>20.8</v>
      </c>
      <c r="X180" s="209"/>
      <c r="Y180" s="210"/>
      <c r="Z180" s="208">
        <f t="shared" si="16"/>
        <v>12.833600000000001</v>
      </c>
      <c r="AA180" s="209"/>
      <c r="AB180" s="210"/>
      <c r="AC180" s="54"/>
      <c r="AD180" s="55"/>
      <c r="AE180" s="56"/>
      <c r="AF180" s="54"/>
      <c r="AG180" s="55"/>
      <c r="AH180" s="57"/>
    </row>
    <row r="181" spans="1:34" ht="15.75" x14ac:dyDescent="0.25">
      <c r="A181" s="185"/>
      <c r="B181" s="186"/>
      <c r="C181" s="184"/>
      <c r="D181" s="211" t="s">
        <v>736</v>
      </c>
      <c r="E181" s="212"/>
      <c r="F181" s="212"/>
      <c r="G181" s="212"/>
      <c r="H181" s="212"/>
      <c r="I181" s="213"/>
      <c r="J181" s="66"/>
      <c r="K181" s="214">
        <f>((4*3.73)+(4*1.47))</f>
        <v>20.8</v>
      </c>
      <c r="L181" s="215"/>
      <c r="M181" s="214"/>
      <c r="N181" s="215"/>
      <c r="O181" s="214">
        <v>1</v>
      </c>
      <c r="P181" s="215"/>
      <c r="Q181" s="214"/>
      <c r="R181" s="215"/>
      <c r="S181" s="214"/>
      <c r="T181" s="215"/>
      <c r="U181" s="214"/>
      <c r="V181" s="215"/>
      <c r="W181" s="208">
        <f t="shared" si="14"/>
        <v>20.8</v>
      </c>
      <c r="X181" s="209"/>
      <c r="Y181" s="210"/>
      <c r="Z181" s="208">
        <f t="shared" si="16"/>
        <v>12.833600000000001</v>
      </c>
      <c r="AA181" s="209"/>
      <c r="AB181" s="210"/>
      <c r="AC181" s="54"/>
      <c r="AD181" s="55"/>
      <c r="AE181" s="56"/>
      <c r="AF181" s="54"/>
      <c r="AG181" s="55"/>
      <c r="AH181" s="57"/>
    </row>
    <row r="182" spans="1:34" ht="15.75" x14ac:dyDescent="0.25">
      <c r="A182" s="185"/>
      <c r="B182" s="186"/>
      <c r="C182" s="184"/>
      <c r="D182" s="211" t="s">
        <v>737</v>
      </c>
      <c r="E182" s="212"/>
      <c r="F182" s="212"/>
      <c r="G182" s="212"/>
      <c r="H182" s="212"/>
      <c r="I182" s="213"/>
      <c r="J182" s="66"/>
      <c r="K182" s="214">
        <f>4*3.37</f>
        <v>13.48</v>
      </c>
      <c r="L182" s="215"/>
      <c r="M182" s="214"/>
      <c r="N182" s="215"/>
      <c r="O182" s="214">
        <v>1</v>
      </c>
      <c r="P182" s="215"/>
      <c r="Q182" s="214"/>
      <c r="R182" s="215"/>
      <c r="S182" s="214"/>
      <c r="T182" s="215"/>
      <c r="U182" s="214"/>
      <c r="V182" s="215"/>
      <c r="W182" s="208">
        <f t="shared" ref="W182:W202" si="17">K182*O182</f>
        <v>13.48</v>
      </c>
      <c r="X182" s="209"/>
      <c r="Y182" s="210"/>
      <c r="Z182" s="208">
        <f t="shared" si="16"/>
        <v>8.3171599999999994</v>
      </c>
      <c r="AA182" s="209"/>
      <c r="AB182" s="210"/>
      <c r="AC182" s="54"/>
      <c r="AD182" s="55"/>
      <c r="AE182" s="56"/>
      <c r="AF182" s="54"/>
      <c r="AG182" s="55"/>
      <c r="AH182" s="57"/>
    </row>
    <row r="183" spans="1:34" ht="15.75" x14ac:dyDescent="0.25">
      <c r="A183" s="185"/>
      <c r="B183" s="186"/>
      <c r="C183" s="184"/>
      <c r="D183" s="211" t="s">
        <v>738</v>
      </c>
      <c r="E183" s="212"/>
      <c r="F183" s="212"/>
      <c r="G183" s="212"/>
      <c r="H183" s="212"/>
      <c r="I183" s="213"/>
      <c r="J183" s="66"/>
      <c r="K183" s="214">
        <f>4*3.37</f>
        <v>13.48</v>
      </c>
      <c r="L183" s="215"/>
      <c r="M183" s="214"/>
      <c r="N183" s="215"/>
      <c r="O183" s="214">
        <v>1</v>
      </c>
      <c r="P183" s="215"/>
      <c r="Q183" s="214"/>
      <c r="R183" s="215"/>
      <c r="S183" s="214"/>
      <c r="T183" s="215"/>
      <c r="U183" s="214"/>
      <c r="V183" s="215"/>
      <c r="W183" s="208">
        <f t="shared" si="17"/>
        <v>13.48</v>
      </c>
      <c r="X183" s="209"/>
      <c r="Y183" s="210"/>
      <c r="Z183" s="208">
        <f t="shared" si="16"/>
        <v>8.3171599999999994</v>
      </c>
      <c r="AA183" s="209"/>
      <c r="AB183" s="210"/>
      <c r="AC183" s="54"/>
      <c r="AD183" s="55"/>
      <c r="AE183" s="56"/>
      <c r="AF183" s="54"/>
      <c r="AG183" s="55"/>
      <c r="AH183" s="57"/>
    </row>
    <row r="184" spans="1:34" ht="15.75" x14ac:dyDescent="0.25">
      <c r="A184" s="185"/>
      <c r="B184" s="186"/>
      <c r="C184" s="184"/>
      <c r="D184" s="211" t="s">
        <v>739</v>
      </c>
      <c r="E184" s="212"/>
      <c r="F184" s="212"/>
      <c r="G184" s="212"/>
      <c r="H184" s="212"/>
      <c r="I184" s="213"/>
      <c r="J184" s="66"/>
      <c r="K184" s="214">
        <f>4*3.37</f>
        <v>13.48</v>
      </c>
      <c r="L184" s="215"/>
      <c r="M184" s="214"/>
      <c r="N184" s="215"/>
      <c r="O184" s="214">
        <v>1</v>
      </c>
      <c r="P184" s="215"/>
      <c r="Q184" s="214"/>
      <c r="R184" s="215"/>
      <c r="S184" s="214"/>
      <c r="T184" s="215"/>
      <c r="U184" s="214"/>
      <c r="V184" s="215"/>
      <c r="W184" s="208">
        <f t="shared" si="17"/>
        <v>13.48</v>
      </c>
      <c r="X184" s="209"/>
      <c r="Y184" s="210"/>
      <c r="Z184" s="208">
        <f t="shared" si="16"/>
        <v>8.3171599999999994</v>
      </c>
      <c r="AA184" s="209"/>
      <c r="AB184" s="210"/>
      <c r="AC184" s="54"/>
      <c r="AD184" s="55"/>
      <c r="AE184" s="56"/>
      <c r="AF184" s="54"/>
      <c r="AG184" s="55"/>
      <c r="AH184" s="57"/>
    </row>
    <row r="185" spans="1:34" ht="15.75" x14ac:dyDescent="0.25">
      <c r="A185" s="185"/>
      <c r="B185" s="186"/>
      <c r="C185" s="184"/>
      <c r="D185" s="211" t="s">
        <v>740</v>
      </c>
      <c r="E185" s="212"/>
      <c r="F185" s="212"/>
      <c r="G185" s="212"/>
      <c r="H185" s="212"/>
      <c r="I185" s="213"/>
      <c r="J185" s="66"/>
      <c r="K185" s="214">
        <f>4*3.37</f>
        <v>13.48</v>
      </c>
      <c r="L185" s="215"/>
      <c r="M185" s="214"/>
      <c r="N185" s="215"/>
      <c r="O185" s="214">
        <v>1</v>
      </c>
      <c r="P185" s="215"/>
      <c r="Q185" s="214"/>
      <c r="R185" s="215"/>
      <c r="S185" s="214"/>
      <c r="T185" s="215"/>
      <c r="U185" s="214"/>
      <c r="V185" s="215"/>
      <c r="W185" s="208">
        <f t="shared" si="17"/>
        <v>13.48</v>
      </c>
      <c r="X185" s="209"/>
      <c r="Y185" s="210"/>
      <c r="Z185" s="208">
        <f t="shared" si="16"/>
        <v>8.3171599999999994</v>
      </c>
      <c r="AA185" s="209"/>
      <c r="AB185" s="210"/>
      <c r="AC185" s="54"/>
      <c r="AD185" s="55"/>
      <c r="AE185" s="56"/>
      <c r="AF185" s="54"/>
      <c r="AG185" s="55"/>
      <c r="AH185" s="57"/>
    </row>
    <row r="186" spans="1:34" ht="15.75" x14ac:dyDescent="0.25">
      <c r="A186" s="185"/>
      <c r="B186" s="186"/>
      <c r="C186" s="184"/>
      <c r="D186" s="211" t="s">
        <v>741</v>
      </c>
      <c r="E186" s="212"/>
      <c r="F186" s="212"/>
      <c r="G186" s="212"/>
      <c r="H186" s="212"/>
      <c r="I186" s="213"/>
      <c r="J186" s="66"/>
      <c r="K186" s="214">
        <f>4*3.37</f>
        <v>13.48</v>
      </c>
      <c r="L186" s="215"/>
      <c r="M186" s="214"/>
      <c r="N186" s="215"/>
      <c r="O186" s="214">
        <v>1</v>
      </c>
      <c r="P186" s="215"/>
      <c r="Q186" s="183"/>
      <c r="R186" s="184"/>
      <c r="S186" s="183"/>
      <c r="T186" s="184"/>
      <c r="U186" s="183"/>
      <c r="V186" s="184"/>
      <c r="W186" s="208">
        <f t="shared" si="17"/>
        <v>13.48</v>
      </c>
      <c r="X186" s="209"/>
      <c r="Y186" s="210"/>
      <c r="Z186" s="208">
        <f t="shared" si="16"/>
        <v>8.3171599999999994</v>
      </c>
      <c r="AA186" s="209"/>
      <c r="AB186" s="210"/>
      <c r="AC186" s="54"/>
      <c r="AD186" s="55"/>
      <c r="AE186" s="56"/>
      <c r="AF186" s="54"/>
      <c r="AG186" s="55"/>
      <c r="AH186" s="57"/>
    </row>
    <row r="187" spans="1:34" ht="15.75" x14ac:dyDescent="0.25">
      <c r="A187" s="185"/>
      <c r="B187" s="186"/>
      <c r="C187" s="184"/>
      <c r="D187" s="211" t="s">
        <v>742</v>
      </c>
      <c r="E187" s="212"/>
      <c r="F187" s="212"/>
      <c r="G187" s="212"/>
      <c r="H187" s="212"/>
      <c r="I187" s="213"/>
      <c r="J187" s="66"/>
      <c r="K187" s="214">
        <f>((4*3.73)+(4*1.47))</f>
        <v>20.8</v>
      </c>
      <c r="L187" s="215"/>
      <c r="M187" s="214"/>
      <c r="N187" s="215"/>
      <c r="O187" s="214">
        <v>1</v>
      </c>
      <c r="P187" s="215"/>
      <c r="Q187" s="214"/>
      <c r="R187" s="215"/>
      <c r="S187" s="214"/>
      <c r="T187" s="215"/>
      <c r="U187" s="214"/>
      <c r="V187" s="215"/>
      <c r="W187" s="208">
        <f t="shared" si="17"/>
        <v>20.8</v>
      </c>
      <c r="X187" s="209"/>
      <c r="Y187" s="210"/>
      <c r="Z187" s="208">
        <f t="shared" si="16"/>
        <v>12.833600000000001</v>
      </c>
      <c r="AA187" s="209"/>
      <c r="AB187" s="210"/>
      <c r="AC187" s="54"/>
      <c r="AD187" s="55"/>
      <c r="AE187" s="56"/>
      <c r="AF187" s="54"/>
      <c r="AG187" s="55"/>
      <c r="AH187" s="57"/>
    </row>
    <row r="188" spans="1:34" ht="15.75" x14ac:dyDescent="0.25">
      <c r="A188" s="185"/>
      <c r="B188" s="186"/>
      <c r="C188" s="184"/>
      <c r="D188" s="211" t="s">
        <v>743</v>
      </c>
      <c r="E188" s="212"/>
      <c r="F188" s="212"/>
      <c r="G188" s="212"/>
      <c r="H188" s="212"/>
      <c r="I188" s="213"/>
      <c r="J188" s="66"/>
      <c r="K188" s="214">
        <f>8*3.37</f>
        <v>26.96</v>
      </c>
      <c r="L188" s="215"/>
      <c r="M188" s="214"/>
      <c r="N188" s="215"/>
      <c r="O188" s="214">
        <v>1</v>
      </c>
      <c r="P188" s="215"/>
      <c r="Q188" s="214"/>
      <c r="R188" s="215"/>
      <c r="S188" s="214"/>
      <c r="T188" s="215"/>
      <c r="U188" s="214"/>
      <c r="V188" s="215"/>
      <c r="W188" s="208">
        <f t="shared" si="17"/>
        <v>26.96</v>
      </c>
      <c r="X188" s="209"/>
      <c r="Y188" s="210"/>
      <c r="Z188" s="208">
        <f t="shared" si="16"/>
        <v>16.634319999999999</v>
      </c>
      <c r="AA188" s="209"/>
      <c r="AB188" s="210"/>
      <c r="AC188" s="54"/>
      <c r="AD188" s="55"/>
      <c r="AE188" s="56"/>
      <c r="AF188" s="54"/>
      <c r="AG188" s="55"/>
      <c r="AH188" s="57"/>
    </row>
    <row r="189" spans="1:34" ht="15.75" x14ac:dyDescent="0.25">
      <c r="A189" s="185"/>
      <c r="B189" s="186"/>
      <c r="C189" s="184"/>
      <c r="D189" s="211" t="s">
        <v>744</v>
      </c>
      <c r="E189" s="212"/>
      <c r="F189" s="212"/>
      <c r="G189" s="212"/>
      <c r="H189" s="212"/>
      <c r="I189" s="213"/>
      <c r="J189" s="66"/>
      <c r="K189" s="214">
        <f>4*3.37</f>
        <v>13.48</v>
      </c>
      <c r="L189" s="215"/>
      <c r="M189" s="214"/>
      <c r="N189" s="215"/>
      <c r="O189" s="214">
        <v>1</v>
      </c>
      <c r="P189" s="215"/>
      <c r="Q189" s="214"/>
      <c r="R189" s="215"/>
      <c r="S189" s="214"/>
      <c r="T189" s="215"/>
      <c r="U189" s="214"/>
      <c r="V189" s="215"/>
      <c r="W189" s="208">
        <f t="shared" si="17"/>
        <v>13.48</v>
      </c>
      <c r="X189" s="209"/>
      <c r="Y189" s="210"/>
      <c r="Z189" s="208">
        <f t="shared" si="16"/>
        <v>8.3171599999999994</v>
      </c>
      <c r="AA189" s="209"/>
      <c r="AB189" s="210"/>
      <c r="AC189" s="54"/>
      <c r="AD189" s="55"/>
      <c r="AE189" s="56"/>
      <c r="AF189" s="54"/>
      <c r="AG189" s="55"/>
      <c r="AH189" s="57"/>
    </row>
    <row r="190" spans="1:34" ht="15.75" x14ac:dyDescent="0.25">
      <c r="A190" s="185"/>
      <c r="B190" s="186"/>
      <c r="C190" s="184"/>
      <c r="D190" s="211" t="s">
        <v>745</v>
      </c>
      <c r="E190" s="212"/>
      <c r="F190" s="212"/>
      <c r="G190" s="212"/>
      <c r="H190" s="212"/>
      <c r="I190" s="213"/>
      <c r="J190" s="66"/>
      <c r="K190" s="214">
        <f>4*3.37</f>
        <v>13.48</v>
      </c>
      <c r="L190" s="215"/>
      <c r="M190" s="214"/>
      <c r="N190" s="215"/>
      <c r="O190" s="214">
        <v>1</v>
      </c>
      <c r="P190" s="215"/>
      <c r="Q190" s="214"/>
      <c r="R190" s="215"/>
      <c r="S190" s="214"/>
      <c r="T190" s="215"/>
      <c r="U190" s="214"/>
      <c r="V190" s="215"/>
      <c r="W190" s="208">
        <f t="shared" si="17"/>
        <v>13.48</v>
      </c>
      <c r="X190" s="209"/>
      <c r="Y190" s="210"/>
      <c r="Z190" s="208">
        <f t="shared" si="16"/>
        <v>8.3171599999999994</v>
      </c>
      <c r="AA190" s="209"/>
      <c r="AB190" s="210"/>
      <c r="AC190" s="54"/>
      <c r="AD190" s="55"/>
      <c r="AE190" s="56"/>
      <c r="AF190" s="54"/>
      <c r="AG190" s="55"/>
      <c r="AH190" s="57"/>
    </row>
    <row r="191" spans="1:34" ht="15.75" x14ac:dyDescent="0.25">
      <c r="A191" s="185"/>
      <c r="B191" s="186"/>
      <c r="C191" s="184"/>
      <c r="D191" s="211" t="s">
        <v>746</v>
      </c>
      <c r="E191" s="212"/>
      <c r="F191" s="212"/>
      <c r="G191" s="212"/>
      <c r="H191" s="212"/>
      <c r="I191" s="213"/>
      <c r="J191" s="66"/>
      <c r="K191" s="214">
        <f t="shared" ref="K191:K196" si="18">((4*3.73)+(4*1.47))</f>
        <v>20.8</v>
      </c>
      <c r="L191" s="215"/>
      <c r="M191" s="214"/>
      <c r="N191" s="215"/>
      <c r="O191" s="214">
        <v>1</v>
      </c>
      <c r="P191" s="215"/>
      <c r="Q191" s="214"/>
      <c r="R191" s="215"/>
      <c r="S191" s="214"/>
      <c r="T191" s="215"/>
      <c r="U191" s="214"/>
      <c r="V191" s="215"/>
      <c r="W191" s="208">
        <f t="shared" si="17"/>
        <v>20.8</v>
      </c>
      <c r="X191" s="209"/>
      <c r="Y191" s="210"/>
      <c r="Z191" s="208">
        <f t="shared" si="16"/>
        <v>12.833600000000001</v>
      </c>
      <c r="AA191" s="209"/>
      <c r="AB191" s="210"/>
      <c r="AC191" s="54"/>
      <c r="AD191" s="55"/>
      <c r="AE191" s="56"/>
      <c r="AF191" s="54"/>
      <c r="AG191" s="55"/>
      <c r="AH191" s="57"/>
    </row>
    <row r="192" spans="1:34" ht="15.75" x14ac:dyDescent="0.25">
      <c r="A192" s="185"/>
      <c r="B192" s="186"/>
      <c r="C192" s="184"/>
      <c r="D192" s="211" t="s">
        <v>747</v>
      </c>
      <c r="E192" s="212"/>
      <c r="F192" s="212"/>
      <c r="G192" s="212"/>
      <c r="H192" s="212"/>
      <c r="I192" s="213"/>
      <c r="J192" s="66"/>
      <c r="K192" s="214">
        <f t="shared" si="18"/>
        <v>20.8</v>
      </c>
      <c r="L192" s="215"/>
      <c r="M192" s="214"/>
      <c r="N192" s="215"/>
      <c r="O192" s="214">
        <v>1</v>
      </c>
      <c r="P192" s="215"/>
      <c r="Q192" s="214"/>
      <c r="R192" s="215"/>
      <c r="S192" s="214"/>
      <c r="T192" s="215"/>
      <c r="U192" s="214"/>
      <c r="V192" s="215"/>
      <c r="W192" s="208">
        <f t="shared" si="17"/>
        <v>20.8</v>
      </c>
      <c r="X192" s="209"/>
      <c r="Y192" s="210"/>
      <c r="Z192" s="208">
        <f t="shared" si="16"/>
        <v>12.833600000000001</v>
      </c>
      <c r="AA192" s="209"/>
      <c r="AB192" s="210"/>
      <c r="AC192" s="54"/>
      <c r="AD192" s="55"/>
      <c r="AE192" s="56"/>
      <c r="AF192" s="54"/>
      <c r="AG192" s="55"/>
      <c r="AH192" s="57"/>
    </row>
    <row r="193" spans="1:35" ht="15.75" x14ac:dyDescent="0.25">
      <c r="A193" s="185"/>
      <c r="B193" s="186"/>
      <c r="C193" s="184"/>
      <c r="D193" s="211" t="s">
        <v>748</v>
      </c>
      <c r="E193" s="212"/>
      <c r="F193" s="212"/>
      <c r="G193" s="212"/>
      <c r="H193" s="212"/>
      <c r="I193" s="213"/>
      <c r="J193" s="66"/>
      <c r="K193" s="214">
        <f t="shared" si="18"/>
        <v>20.8</v>
      </c>
      <c r="L193" s="215"/>
      <c r="M193" s="214"/>
      <c r="N193" s="215"/>
      <c r="O193" s="214">
        <v>1</v>
      </c>
      <c r="P193" s="215"/>
      <c r="Q193" s="214"/>
      <c r="R193" s="215"/>
      <c r="S193" s="214"/>
      <c r="T193" s="215"/>
      <c r="U193" s="214"/>
      <c r="V193" s="215"/>
      <c r="W193" s="208">
        <f t="shared" si="17"/>
        <v>20.8</v>
      </c>
      <c r="X193" s="209"/>
      <c r="Y193" s="210"/>
      <c r="Z193" s="208">
        <f t="shared" si="16"/>
        <v>12.833600000000001</v>
      </c>
      <c r="AA193" s="209"/>
      <c r="AB193" s="210"/>
      <c r="AC193" s="54"/>
      <c r="AD193" s="55"/>
      <c r="AE193" s="56"/>
      <c r="AF193" s="54"/>
      <c r="AG193" s="55"/>
      <c r="AH193" s="57"/>
    </row>
    <row r="194" spans="1:35" ht="15.75" x14ac:dyDescent="0.25">
      <c r="A194" s="185"/>
      <c r="B194" s="186"/>
      <c r="C194" s="184"/>
      <c r="D194" s="211" t="s">
        <v>749</v>
      </c>
      <c r="E194" s="212"/>
      <c r="F194" s="212"/>
      <c r="G194" s="212"/>
      <c r="H194" s="212"/>
      <c r="I194" s="213"/>
      <c r="J194" s="66"/>
      <c r="K194" s="214">
        <f t="shared" si="18"/>
        <v>20.8</v>
      </c>
      <c r="L194" s="215"/>
      <c r="M194" s="214"/>
      <c r="N194" s="215"/>
      <c r="O194" s="214">
        <v>1</v>
      </c>
      <c r="P194" s="215"/>
      <c r="Q194" s="183"/>
      <c r="R194" s="184"/>
      <c r="S194" s="183"/>
      <c r="T194" s="184"/>
      <c r="U194" s="183"/>
      <c r="V194" s="184"/>
      <c r="W194" s="208">
        <f t="shared" si="17"/>
        <v>20.8</v>
      </c>
      <c r="X194" s="209"/>
      <c r="Y194" s="210"/>
      <c r="Z194" s="208">
        <f t="shared" si="16"/>
        <v>12.833600000000001</v>
      </c>
      <c r="AA194" s="209"/>
      <c r="AB194" s="210"/>
      <c r="AC194" s="54"/>
      <c r="AD194" s="55"/>
      <c r="AE194" s="56"/>
      <c r="AF194" s="54"/>
      <c r="AG194" s="55"/>
      <c r="AH194" s="57"/>
    </row>
    <row r="195" spans="1:35" ht="15.75" x14ac:dyDescent="0.25">
      <c r="A195" s="185"/>
      <c r="B195" s="186"/>
      <c r="C195" s="184"/>
      <c r="D195" s="211" t="s">
        <v>750</v>
      </c>
      <c r="E195" s="212"/>
      <c r="F195" s="212"/>
      <c r="G195" s="212"/>
      <c r="H195" s="212"/>
      <c r="I195" s="213"/>
      <c r="J195" s="66"/>
      <c r="K195" s="214">
        <f t="shared" si="18"/>
        <v>20.8</v>
      </c>
      <c r="L195" s="215"/>
      <c r="M195" s="214"/>
      <c r="N195" s="215"/>
      <c r="O195" s="214">
        <v>1</v>
      </c>
      <c r="P195" s="215"/>
      <c r="Q195" s="214"/>
      <c r="R195" s="215"/>
      <c r="S195" s="214"/>
      <c r="T195" s="215"/>
      <c r="U195" s="214"/>
      <c r="V195" s="215"/>
      <c r="W195" s="208">
        <f t="shared" si="17"/>
        <v>20.8</v>
      </c>
      <c r="X195" s="209"/>
      <c r="Y195" s="210"/>
      <c r="Z195" s="208">
        <f t="shared" si="16"/>
        <v>12.833600000000001</v>
      </c>
      <c r="AA195" s="209"/>
      <c r="AB195" s="210"/>
      <c r="AC195" s="54"/>
      <c r="AD195" s="55"/>
      <c r="AE195" s="56"/>
      <c r="AF195" s="54"/>
      <c r="AG195" s="55"/>
      <c r="AH195" s="57"/>
    </row>
    <row r="196" spans="1:35" ht="15.75" x14ac:dyDescent="0.25">
      <c r="A196" s="185"/>
      <c r="B196" s="186"/>
      <c r="C196" s="184"/>
      <c r="D196" s="211" t="s">
        <v>751</v>
      </c>
      <c r="E196" s="212"/>
      <c r="F196" s="212"/>
      <c r="G196" s="212"/>
      <c r="H196" s="212"/>
      <c r="I196" s="213"/>
      <c r="J196" s="66"/>
      <c r="K196" s="214">
        <f t="shared" si="18"/>
        <v>20.8</v>
      </c>
      <c r="L196" s="215"/>
      <c r="M196" s="214"/>
      <c r="N196" s="215"/>
      <c r="O196" s="214">
        <v>1</v>
      </c>
      <c r="P196" s="215"/>
      <c r="Q196" s="214"/>
      <c r="R196" s="215"/>
      <c r="S196" s="214"/>
      <c r="T196" s="215"/>
      <c r="U196" s="214"/>
      <c r="V196" s="215"/>
      <c r="W196" s="208">
        <f t="shared" si="17"/>
        <v>20.8</v>
      </c>
      <c r="X196" s="209"/>
      <c r="Y196" s="210"/>
      <c r="Z196" s="208">
        <f t="shared" si="16"/>
        <v>12.833600000000001</v>
      </c>
      <c r="AA196" s="209"/>
      <c r="AB196" s="210"/>
      <c r="AC196" s="54"/>
      <c r="AD196" s="55"/>
      <c r="AE196" s="56"/>
      <c r="AF196" s="54"/>
      <c r="AG196" s="55"/>
      <c r="AH196" s="57"/>
    </row>
    <row r="197" spans="1:35" ht="15.75" x14ac:dyDescent="0.25">
      <c r="A197" s="185"/>
      <c r="B197" s="186"/>
      <c r="C197" s="184"/>
      <c r="D197" s="211" t="s">
        <v>752</v>
      </c>
      <c r="E197" s="212"/>
      <c r="F197" s="212"/>
      <c r="G197" s="212"/>
      <c r="H197" s="212"/>
      <c r="I197" s="213"/>
      <c r="J197" s="66"/>
      <c r="K197" s="214">
        <f>((6*3.73)+(6*1.47))</f>
        <v>31.2</v>
      </c>
      <c r="L197" s="215"/>
      <c r="M197" s="214"/>
      <c r="N197" s="215"/>
      <c r="O197" s="214">
        <v>1</v>
      </c>
      <c r="P197" s="215"/>
      <c r="Q197" s="214"/>
      <c r="R197" s="215"/>
      <c r="S197" s="214"/>
      <c r="T197" s="215"/>
      <c r="U197" s="214"/>
      <c r="V197" s="215"/>
      <c r="W197" s="208">
        <f t="shared" si="17"/>
        <v>31.2</v>
      </c>
      <c r="X197" s="209"/>
      <c r="Y197" s="210"/>
      <c r="Z197" s="208">
        <f t="shared" si="16"/>
        <v>19.250399999999999</v>
      </c>
      <c r="AA197" s="209"/>
      <c r="AB197" s="210"/>
      <c r="AC197" s="54"/>
      <c r="AD197" s="55"/>
      <c r="AE197" s="56"/>
      <c r="AF197" s="54"/>
      <c r="AG197" s="55"/>
      <c r="AH197" s="57"/>
    </row>
    <row r="198" spans="1:35" ht="15.75" x14ac:dyDescent="0.25">
      <c r="A198" s="185"/>
      <c r="B198" s="186"/>
      <c r="C198" s="184"/>
      <c r="D198" s="211" t="s">
        <v>753</v>
      </c>
      <c r="E198" s="212"/>
      <c r="F198" s="212"/>
      <c r="G198" s="212"/>
      <c r="H198" s="212"/>
      <c r="I198" s="213"/>
      <c r="J198" s="66"/>
      <c r="K198" s="214">
        <f>((6*3.73)+(6*1.47))</f>
        <v>31.2</v>
      </c>
      <c r="L198" s="215"/>
      <c r="M198" s="214"/>
      <c r="N198" s="215"/>
      <c r="O198" s="214">
        <v>1</v>
      </c>
      <c r="P198" s="215"/>
      <c r="Q198" s="214"/>
      <c r="R198" s="215"/>
      <c r="S198" s="214"/>
      <c r="T198" s="215"/>
      <c r="U198" s="214"/>
      <c r="V198" s="215"/>
      <c r="W198" s="208">
        <f t="shared" si="17"/>
        <v>31.2</v>
      </c>
      <c r="X198" s="209"/>
      <c r="Y198" s="210"/>
      <c r="Z198" s="208">
        <f t="shared" si="16"/>
        <v>19.250399999999999</v>
      </c>
      <c r="AA198" s="209"/>
      <c r="AB198" s="210"/>
      <c r="AC198" s="54"/>
      <c r="AD198" s="55"/>
      <c r="AE198" s="56"/>
      <c r="AF198" s="54"/>
      <c r="AG198" s="55"/>
      <c r="AH198" s="57"/>
    </row>
    <row r="199" spans="1:35" ht="15.75" x14ac:dyDescent="0.25">
      <c r="A199" s="185"/>
      <c r="B199" s="186"/>
      <c r="C199" s="184"/>
      <c r="D199" s="211" t="s">
        <v>754</v>
      </c>
      <c r="E199" s="212"/>
      <c r="F199" s="212"/>
      <c r="G199" s="212"/>
      <c r="H199" s="212"/>
      <c r="I199" s="213"/>
      <c r="J199" s="66"/>
      <c r="K199" s="214">
        <f>((4*3.73)+(4*1.47))</f>
        <v>20.8</v>
      </c>
      <c r="L199" s="215"/>
      <c r="M199" s="214"/>
      <c r="N199" s="215"/>
      <c r="O199" s="214">
        <v>1</v>
      </c>
      <c r="P199" s="215"/>
      <c r="Q199" s="214"/>
      <c r="R199" s="215"/>
      <c r="S199" s="214"/>
      <c r="T199" s="215"/>
      <c r="U199" s="214"/>
      <c r="V199" s="215"/>
      <c r="W199" s="208">
        <f t="shared" si="17"/>
        <v>20.8</v>
      </c>
      <c r="X199" s="209"/>
      <c r="Y199" s="210"/>
      <c r="Z199" s="208">
        <f t="shared" si="16"/>
        <v>12.833600000000001</v>
      </c>
      <c r="AA199" s="209"/>
      <c r="AB199" s="210"/>
      <c r="AC199" s="54"/>
      <c r="AD199" s="55"/>
      <c r="AE199" s="56"/>
      <c r="AF199" s="54"/>
      <c r="AG199" s="55"/>
      <c r="AH199" s="57"/>
    </row>
    <row r="200" spans="1:35" ht="15.75" x14ac:dyDescent="0.25">
      <c r="A200" s="185"/>
      <c r="B200" s="186"/>
      <c r="C200" s="184"/>
      <c r="D200" s="211" t="s">
        <v>755</v>
      </c>
      <c r="E200" s="212"/>
      <c r="F200" s="212"/>
      <c r="G200" s="212"/>
      <c r="H200" s="212"/>
      <c r="I200" s="213"/>
      <c r="J200" s="66"/>
      <c r="K200" s="214">
        <f>((4*3.73)+(4*1.47))</f>
        <v>20.8</v>
      </c>
      <c r="L200" s="215"/>
      <c r="M200" s="214"/>
      <c r="N200" s="215"/>
      <c r="O200" s="214">
        <v>1</v>
      </c>
      <c r="P200" s="215"/>
      <c r="Q200" s="214"/>
      <c r="R200" s="215"/>
      <c r="S200" s="214"/>
      <c r="T200" s="215"/>
      <c r="U200" s="214"/>
      <c r="V200" s="215"/>
      <c r="W200" s="208">
        <f t="shared" si="17"/>
        <v>20.8</v>
      </c>
      <c r="X200" s="209"/>
      <c r="Y200" s="210"/>
      <c r="Z200" s="208">
        <f t="shared" si="16"/>
        <v>12.833600000000001</v>
      </c>
      <c r="AA200" s="209"/>
      <c r="AB200" s="210"/>
      <c r="AC200" s="54"/>
      <c r="AD200" s="55"/>
      <c r="AE200" s="56"/>
      <c r="AF200" s="54"/>
      <c r="AG200" s="55"/>
      <c r="AH200" s="57"/>
    </row>
    <row r="201" spans="1:35" ht="15.75" x14ac:dyDescent="0.25">
      <c r="A201" s="185"/>
      <c r="B201" s="186"/>
      <c r="C201" s="184"/>
      <c r="D201" s="211" t="s">
        <v>756</v>
      </c>
      <c r="E201" s="212"/>
      <c r="F201" s="212"/>
      <c r="G201" s="212"/>
      <c r="H201" s="212"/>
      <c r="I201" s="213"/>
      <c r="J201" s="66"/>
      <c r="K201" s="214">
        <f>((4*3.73)+(4*1.47))</f>
        <v>20.8</v>
      </c>
      <c r="L201" s="215"/>
      <c r="M201" s="214"/>
      <c r="N201" s="215"/>
      <c r="O201" s="214">
        <v>1</v>
      </c>
      <c r="P201" s="215"/>
      <c r="Q201" s="214"/>
      <c r="R201" s="215"/>
      <c r="S201" s="214"/>
      <c r="T201" s="215"/>
      <c r="U201" s="214"/>
      <c r="V201" s="215"/>
      <c r="W201" s="208">
        <f t="shared" si="17"/>
        <v>20.8</v>
      </c>
      <c r="X201" s="209"/>
      <c r="Y201" s="210"/>
      <c r="Z201" s="208">
        <f t="shared" si="16"/>
        <v>12.833600000000001</v>
      </c>
      <c r="AA201" s="209"/>
      <c r="AB201" s="210"/>
      <c r="AC201" s="54"/>
      <c r="AD201" s="55"/>
      <c r="AE201" s="56"/>
      <c r="AF201" s="54"/>
      <c r="AG201" s="55"/>
      <c r="AH201" s="57"/>
    </row>
    <row r="202" spans="1:35" ht="15.75" x14ac:dyDescent="0.25">
      <c r="A202" s="185"/>
      <c r="B202" s="186"/>
      <c r="C202" s="184"/>
      <c r="D202" s="211" t="s">
        <v>757</v>
      </c>
      <c r="E202" s="212"/>
      <c r="F202" s="212"/>
      <c r="G202" s="212"/>
      <c r="H202" s="212"/>
      <c r="I202" s="213"/>
      <c r="J202" s="66"/>
      <c r="K202" s="214">
        <f>((4*3.73)+(4*1.47))</f>
        <v>20.8</v>
      </c>
      <c r="L202" s="215"/>
      <c r="M202" s="214"/>
      <c r="N202" s="215"/>
      <c r="O202" s="214">
        <v>1</v>
      </c>
      <c r="P202" s="215"/>
      <c r="Q202" s="183"/>
      <c r="R202" s="184"/>
      <c r="S202" s="183"/>
      <c r="T202" s="184"/>
      <c r="U202" s="183"/>
      <c r="V202" s="184"/>
      <c r="W202" s="208">
        <f t="shared" si="17"/>
        <v>20.8</v>
      </c>
      <c r="X202" s="209"/>
      <c r="Y202" s="210"/>
      <c r="Z202" s="208">
        <f t="shared" si="16"/>
        <v>12.833600000000001</v>
      </c>
      <c r="AA202" s="209"/>
      <c r="AB202" s="210"/>
      <c r="AC202" s="54"/>
      <c r="AD202" s="55"/>
      <c r="AE202" s="56"/>
      <c r="AF202" s="54"/>
      <c r="AG202" s="55"/>
      <c r="AH202" s="57"/>
    </row>
    <row r="203" spans="1:35" ht="15.75" x14ac:dyDescent="0.25">
      <c r="A203" s="189" t="str">
        <f>'MEMORIA BM 08'!A41</f>
        <v>5.4</v>
      </c>
      <c r="B203" s="190"/>
      <c r="C203" s="191"/>
      <c r="D203" s="218" t="str">
        <f>'MEMORIA BM 08'!B41</f>
        <v>ARMAÇÃO DE PILAR OU VIGA DE UMA ESTRUTURA CONVENCIONAL DE CONCRETO ARMADO EM UMA EDIFICAÇÃO TÉRREA OU SOBRADO UTILIZANDO AÇO CA-50 DE 12,5 MM - MONTAGEM. AF_12/2015</v>
      </c>
      <c r="E203" s="219"/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20"/>
      <c r="AC203" s="195">
        <f>SUM(Z204:AB209)</f>
        <v>270.46818000000002</v>
      </c>
      <c r="AD203" s="190"/>
      <c r="AE203" s="191"/>
      <c r="AF203" s="195" t="s">
        <v>361</v>
      </c>
      <c r="AG203" s="190"/>
      <c r="AH203" s="196"/>
      <c r="AI203">
        <v>270.47000000000003</v>
      </c>
    </row>
    <row r="204" spans="1:35" ht="15.75" x14ac:dyDescent="0.25">
      <c r="A204" s="185"/>
      <c r="B204" s="186"/>
      <c r="C204" s="184"/>
      <c r="D204" s="211" t="s">
        <v>685</v>
      </c>
      <c r="E204" s="212"/>
      <c r="F204" s="212"/>
      <c r="G204" s="212"/>
      <c r="H204" s="212"/>
      <c r="I204" s="213"/>
      <c r="J204" s="66"/>
      <c r="K204" s="183">
        <f>((16*0.83)+(10*3.37)+(6*3.82)+(6*1.47))</f>
        <v>78.72</v>
      </c>
      <c r="L204" s="184"/>
      <c r="M204" s="183"/>
      <c r="N204" s="184"/>
      <c r="O204" s="214">
        <v>1</v>
      </c>
      <c r="P204" s="215"/>
      <c r="Q204" s="183"/>
      <c r="R204" s="184"/>
      <c r="S204" s="183"/>
      <c r="T204" s="184"/>
      <c r="U204" s="183"/>
      <c r="V204" s="184"/>
      <c r="W204" s="208">
        <f t="shared" ref="W204:W209" si="19">K204*O204</f>
        <v>78.72</v>
      </c>
      <c r="X204" s="209"/>
      <c r="Y204" s="210"/>
      <c r="Z204" s="208">
        <f t="shared" ref="Z204:Z209" si="20">W204*0.963</f>
        <v>75.807360000000003</v>
      </c>
      <c r="AA204" s="209"/>
      <c r="AB204" s="210"/>
      <c r="AC204" s="54"/>
      <c r="AD204" s="55"/>
      <c r="AE204" s="56"/>
      <c r="AF204" s="54"/>
      <c r="AG204" s="55"/>
      <c r="AH204" s="57"/>
    </row>
    <row r="205" spans="1:35" ht="15.75" x14ac:dyDescent="0.25">
      <c r="A205" s="185"/>
      <c r="B205" s="186"/>
      <c r="C205" s="184"/>
      <c r="D205" s="211" t="s">
        <v>686</v>
      </c>
      <c r="E205" s="212"/>
      <c r="F205" s="212"/>
      <c r="G205" s="212"/>
      <c r="H205" s="212"/>
      <c r="I205" s="213"/>
      <c r="J205" s="66"/>
      <c r="K205" s="214">
        <f>((14*0.83)+(14*3.37))</f>
        <v>58.8</v>
      </c>
      <c r="L205" s="215"/>
      <c r="M205" s="214"/>
      <c r="N205" s="215"/>
      <c r="O205" s="214">
        <v>1</v>
      </c>
      <c r="P205" s="215"/>
      <c r="Q205" s="214"/>
      <c r="R205" s="215"/>
      <c r="S205" s="214"/>
      <c r="T205" s="215"/>
      <c r="U205" s="214"/>
      <c r="V205" s="215"/>
      <c r="W205" s="208">
        <f t="shared" si="19"/>
        <v>58.8</v>
      </c>
      <c r="X205" s="209"/>
      <c r="Y205" s="210"/>
      <c r="Z205" s="208">
        <f t="shared" si="20"/>
        <v>56.624399999999994</v>
      </c>
      <c r="AA205" s="209"/>
      <c r="AB205" s="210"/>
      <c r="AC205" s="54"/>
      <c r="AD205" s="55"/>
      <c r="AE205" s="56"/>
      <c r="AF205" s="54"/>
      <c r="AG205" s="55"/>
      <c r="AH205" s="57"/>
    </row>
    <row r="206" spans="1:35" ht="15.75" x14ac:dyDescent="0.25">
      <c r="A206" s="185"/>
      <c r="B206" s="186"/>
      <c r="C206" s="184"/>
      <c r="D206" s="211" t="s">
        <v>712</v>
      </c>
      <c r="E206" s="212"/>
      <c r="F206" s="212"/>
      <c r="G206" s="212"/>
      <c r="H206" s="212"/>
      <c r="I206" s="213"/>
      <c r="J206" s="66"/>
      <c r="K206" s="214">
        <f>((6*3.82)+(6*1.47))</f>
        <v>31.74</v>
      </c>
      <c r="L206" s="215"/>
      <c r="M206" s="214"/>
      <c r="N206" s="215"/>
      <c r="O206" s="214">
        <v>1</v>
      </c>
      <c r="P206" s="215"/>
      <c r="Q206" s="214"/>
      <c r="R206" s="215"/>
      <c r="S206" s="214"/>
      <c r="T206" s="215"/>
      <c r="U206" s="214"/>
      <c r="V206" s="215"/>
      <c r="W206" s="208">
        <f t="shared" si="19"/>
        <v>31.74</v>
      </c>
      <c r="X206" s="209"/>
      <c r="Y206" s="210"/>
      <c r="Z206" s="208">
        <f t="shared" si="20"/>
        <v>30.565619999999999</v>
      </c>
      <c r="AA206" s="209"/>
      <c r="AB206" s="210"/>
      <c r="AC206" s="54"/>
      <c r="AD206" s="55"/>
      <c r="AE206" s="56"/>
      <c r="AF206" s="54"/>
      <c r="AG206" s="55"/>
      <c r="AH206" s="57"/>
    </row>
    <row r="207" spans="1:35" ht="15.75" x14ac:dyDescent="0.25">
      <c r="A207" s="185"/>
      <c r="B207" s="186"/>
      <c r="C207" s="184"/>
      <c r="D207" s="211" t="s">
        <v>729</v>
      </c>
      <c r="E207" s="212"/>
      <c r="F207" s="212"/>
      <c r="G207" s="212"/>
      <c r="H207" s="212"/>
      <c r="I207" s="213"/>
      <c r="J207" s="66"/>
      <c r="K207" s="214">
        <f>8*3.37</f>
        <v>26.96</v>
      </c>
      <c r="L207" s="215"/>
      <c r="M207" s="214"/>
      <c r="N207" s="215"/>
      <c r="O207" s="214">
        <v>1</v>
      </c>
      <c r="P207" s="215"/>
      <c r="Q207" s="214"/>
      <c r="R207" s="215"/>
      <c r="S207" s="214"/>
      <c r="T207" s="215"/>
      <c r="U207" s="214"/>
      <c r="V207" s="215"/>
      <c r="W207" s="208">
        <f t="shared" si="19"/>
        <v>26.96</v>
      </c>
      <c r="X207" s="209"/>
      <c r="Y207" s="210"/>
      <c r="Z207" s="208">
        <f t="shared" si="20"/>
        <v>25.962479999999999</v>
      </c>
      <c r="AA207" s="209"/>
      <c r="AB207" s="210"/>
      <c r="AC207" s="54"/>
      <c r="AD207" s="55"/>
      <c r="AE207" s="56"/>
      <c r="AF207" s="54"/>
      <c r="AG207" s="55"/>
      <c r="AH207" s="57"/>
    </row>
    <row r="208" spans="1:35" ht="15.75" x14ac:dyDescent="0.25">
      <c r="A208" s="185"/>
      <c r="B208" s="186"/>
      <c r="C208" s="184"/>
      <c r="D208" s="211" t="s">
        <v>730</v>
      </c>
      <c r="E208" s="212"/>
      <c r="F208" s="212"/>
      <c r="G208" s="212"/>
      <c r="H208" s="212"/>
      <c r="I208" s="213"/>
      <c r="J208" s="66"/>
      <c r="K208" s="214">
        <f>((8*3.82)+(8*1.47))</f>
        <v>42.32</v>
      </c>
      <c r="L208" s="215"/>
      <c r="M208" s="214"/>
      <c r="N208" s="215"/>
      <c r="O208" s="214">
        <v>1</v>
      </c>
      <c r="P208" s="215"/>
      <c r="Q208" s="214"/>
      <c r="R208" s="215"/>
      <c r="S208" s="214"/>
      <c r="T208" s="215"/>
      <c r="U208" s="214"/>
      <c r="V208" s="215"/>
      <c r="W208" s="208">
        <f t="shared" si="19"/>
        <v>42.32</v>
      </c>
      <c r="X208" s="209"/>
      <c r="Y208" s="210"/>
      <c r="Z208" s="208">
        <f t="shared" si="20"/>
        <v>40.754159999999999</v>
      </c>
      <c r="AA208" s="209"/>
      <c r="AB208" s="210"/>
      <c r="AC208" s="54"/>
      <c r="AD208" s="55"/>
      <c r="AE208" s="56"/>
      <c r="AF208" s="54"/>
      <c r="AG208" s="55"/>
      <c r="AH208" s="57"/>
    </row>
    <row r="209" spans="1:35" ht="15.75" x14ac:dyDescent="0.25">
      <c r="A209" s="185"/>
      <c r="B209" s="186"/>
      <c r="C209" s="184"/>
      <c r="D209" s="211" t="s">
        <v>731</v>
      </c>
      <c r="E209" s="212"/>
      <c r="F209" s="212"/>
      <c r="G209" s="212"/>
      <c r="H209" s="212"/>
      <c r="I209" s="213"/>
      <c r="J209" s="66"/>
      <c r="K209" s="214">
        <f>((8*3.82)+(8*1.47))</f>
        <v>42.32</v>
      </c>
      <c r="L209" s="215"/>
      <c r="M209" s="214"/>
      <c r="N209" s="215"/>
      <c r="O209" s="214">
        <v>1</v>
      </c>
      <c r="P209" s="215"/>
      <c r="Q209" s="214"/>
      <c r="R209" s="215"/>
      <c r="S209" s="214"/>
      <c r="T209" s="215"/>
      <c r="U209" s="214"/>
      <c r="V209" s="215"/>
      <c r="W209" s="208">
        <f t="shared" si="19"/>
        <v>42.32</v>
      </c>
      <c r="X209" s="209"/>
      <c r="Y209" s="210"/>
      <c r="Z209" s="208">
        <f t="shared" si="20"/>
        <v>40.754159999999999</v>
      </c>
      <c r="AA209" s="209"/>
      <c r="AB209" s="210"/>
      <c r="AC209" s="54"/>
      <c r="AD209" s="55"/>
      <c r="AE209" s="56"/>
      <c r="AF209" s="54"/>
      <c r="AG209" s="55"/>
      <c r="AH209" s="57"/>
    </row>
    <row r="210" spans="1:35" ht="15.75" x14ac:dyDescent="0.25">
      <c r="A210" s="189" t="str">
        <f>'MEMORIA BM 08'!A42</f>
        <v>5.5</v>
      </c>
      <c r="B210" s="190"/>
      <c r="C210" s="191"/>
      <c r="D210" s="218" t="str">
        <f>'MEMORIA BM 08'!B42</f>
        <v>ARMAÇÃO DE PILAR OU VIGA DE UMA ESTRUTURA CONVENCIONAL DE CONCRETO ARMADO EM UMA EDIFICAÇÃO TÉRREA OU SOBRADO UTILIZANDO AÇO CA-60 DE 5,0 MM - MONTAGEM. AF_12/2015</v>
      </c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20"/>
      <c r="AC210" s="195">
        <f>SUM(Z211:AB303)</f>
        <v>428.65900000000056</v>
      </c>
      <c r="AD210" s="190"/>
      <c r="AE210" s="191"/>
      <c r="AF210" s="195" t="str">
        <f>'MEMORIA BM 08'!C42</f>
        <v>KG</v>
      </c>
      <c r="AG210" s="190"/>
      <c r="AH210" s="196"/>
      <c r="AI210">
        <v>428.66</v>
      </c>
    </row>
    <row r="211" spans="1:35" ht="15.75" x14ac:dyDescent="0.25">
      <c r="A211" s="185"/>
      <c r="B211" s="186"/>
      <c r="C211" s="184"/>
      <c r="D211" s="216" t="s">
        <v>665</v>
      </c>
      <c r="E211" s="217"/>
      <c r="F211" s="217"/>
      <c r="G211" s="217"/>
      <c r="H211" s="217"/>
      <c r="I211" s="217"/>
      <c r="J211" s="66"/>
      <c r="K211" s="214">
        <f>((29*0.77)+(13*0.77))</f>
        <v>32.340000000000003</v>
      </c>
      <c r="L211" s="215"/>
      <c r="M211" s="214"/>
      <c r="N211" s="215"/>
      <c r="O211" s="214">
        <v>1</v>
      </c>
      <c r="P211" s="215"/>
      <c r="Q211" s="214"/>
      <c r="R211" s="215"/>
      <c r="S211" s="214"/>
      <c r="T211" s="215"/>
      <c r="U211" s="214"/>
      <c r="V211" s="215"/>
      <c r="W211" s="208">
        <f t="shared" ref="W211:W274" si="21">K211*O211</f>
        <v>32.340000000000003</v>
      </c>
      <c r="X211" s="209"/>
      <c r="Y211" s="210"/>
      <c r="Z211" s="208">
        <f>W211*0.154</f>
        <v>4.9803600000000001</v>
      </c>
      <c r="AA211" s="209"/>
      <c r="AB211" s="210"/>
      <c r="AC211" s="54"/>
      <c r="AD211" s="55"/>
      <c r="AE211" s="56"/>
      <c r="AF211" s="54"/>
      <c r="AG211" s="55"/>
      <c r="AH211" s="57"/>
    </row>
    <row r="212" spans="1:35" ht="15.75" x14ac:dyDescent="0.25">
      <c r="A212" s="185"/>
      <c r="B212" s="186"/>
      <c r="C212" s="184"/>
      <c r="D212" s="216" t="s">
        <v>666</v>
      </c>
      <c r="E212" s="217"/>
      <c r="F212" s="217"/>
      <c r="G212" s="217"/>
      <c r="H212" s="217"/>
      <c r="I212" s="217"/>
      <c r="J212" s="66"/>
      <c r="K212" s="214">
        <f>((29*0.87)+(13*0.87))</f>
        <v>36.54</v>
      </c>
      <c r="L212" s="215"/>
      <c r="M212" s="214"/>
      <c r="N212" s="215"/>
      <c r="O212" s="214">
        <v>1</v>
      </c>
      <c r="P212" s="215"/>
      <c r="Q212" s="214"/>
      <c r="R212" s="215"/>
      <c r="S212" s="214"/>
      <c r="T212" s="215"/>
      <c r="U212" s="214"/>
      <c r="V212" s="215"/>
      <c r="W212" s="208">
        <f t="shared" si="21"/>
        <v>36.54</v>
      </c>
      <c r="X212" s="209"/>
      <c r="Y212" s="210"/>
      <c r="Z212" s="208">
        <f t="shared" ref="Z212:Z275" si="22">W212*0.154</f>
        <v>5.6271599999999999</v>
      </c>
      <c r="AA212" s="209"/>
      <c r="AB212" s="210"/>
      <c r="AC212" s="54"/>
      <c r="AD212" s="55"/>
      <c r="AE212" s="56"/>
      <c r="AF212" s="54"/>
      <c r="AG212" s="55"/>
      <c r="AH212" s="57"/>
    </row>
    <row r="213" spans="1:35" ht="15.75" x14ac:dyDescent="0.25">
      <c r="A213" s="185"/>
      <c r="B213" s="186"/>
      <c r="C213" s="184"/>
      <c r="D213" s="216" t="s">
        <v>667</v>
      </c>
      <c r="E213" s="217"/>
      <c r="F213" s="217"/>
      <c r="G213" s="217"/>
      <c r="H213" s="217"/>
      <c r="I213" s="217"/>
      <c r="J213" s="66"/>
      <c r="K213" s="214">
        <f>((29*0.87)+(13*0.87))</f>
        <v>36.54</v>
      </c>
      <c r="L213" s="215"/>
      <c r="M213" s="214"/>
      <c r="N213" s="215"/>
      <c r="O213" s="214">
        <v>1</v>
      </c>
      <c r="P213" s="215"/>
      <c r="Q213" s="214"/>
      <c r="R213" s="215"/>
      <c r="S213" s="214"/>
      <c r="T213" s="215"/>
      <c r="U213" s="214"/>
      <c r="V213" s="215"/>
      <c r="W213" s="208">
        <f t="shared" si="21"/>
        <v>36.54</v>
      </c>
      <c r="X213" s="209"/>
      <c r="Y213" s="210"/>
      <c r="Z213" s="208">
        <f t="shared" si="22"/>
        <v>5.6271599999999999</v>
      </c>
      <c r="AA213" s="209"/>
      <c r="AB213" s="210"/>
      <c r="AC213" s="54"/>
      <c r="AD213" s="55"/>
      <c r="AE213" s="56"/>
      <c r="AF213" s="54"/>
      <c r="AG213" s="55"/>
      <c r="AH213" s="57"/>
    </row>
    <row r="214" spans="1:35" ht="15.75" x14ac:dyDescent="0.25">
      <c r="A214" s="185"/>
      <c r="B214" s="186"/>
      <c r="C214" s="184"/>
      <c r="D214" s="216" t="s">
        <v>668</v>
      </c>
      <c r="E214" s="217"/>
      <c r="F214" s="217"/>
      <c r="G214" s="217"/>
      <c r="H214" s="217"/>
      <c r="I214" s="217"/>
      <c r="J214" s="66"/>
      <c r="K214" s="214">
        <f>((29*0.87)+(13*0.87))</f>
        <v>36.54</v>
      </c>
      <c r="L214" s="215"/>
      <c r="M214" s="214"/>
      <c r="N214" s="215"/>
      <c r="O214" s="214">
        <v>1</v>
      </c>
      <c r="P214" s="215"/>
      <c r="Q214" s="214"/>
      <c r="R214" s="215"/>
      <c r="S214" s="214"/>
      <c r="T214" s="215"/>
      <c r="U214" s="214"/>
      <c r="V214" s="215"/>
      <c r="W214" s="208">
        <f t="shared" si="21"/>
        <v>36.54</v>
      </c>
      <c r="X214" s="209"/>
      <c r="Y214" s="210"/>
      <c r="Z214" s="208">
        <f t="shared" si="22"/>
        <v>5.6271599999999999</v>
      </c>
      <c r="AA214" s="209"/>
      <c r="AB214" s="210"/>
      <c r="AC214" s="54"/>
      <c r="AD214" s="55"/>
      <c r="AE214" s="56"/>
      <c r="AF214" s="54"/>
      <c r="AG214" s="55"/>
      <c r="AH214" s="57"/>
    </row>
    <row r="215" spans="1:35" ht="15.75" x14ac:dyDescent="0.25">
      <c r="A215" s="185"/>
      <c r="B215" s="186"/>
      <c r="C215" s="184"/>
      <c r="D215" s="216" t="s">
        <v>669</v>
      </c>
      <c r="E215" s="217"/>
      <c r="F215" s="217"/>
      <c r="G215" s="217"/>
      <c r="H215" s="217"/>
      <c r="I215" s="217"/>
      <c r="J215" s="66"/>
      <c r="K215" s="214">
        <f>((29*0.77)+(13*0.77))</f>
        <v>32.340000000000003</v>
      </c>
      <c r="L215" s="215"/>
      <c r="M215" s="214"/>
      <c r="N215" s="215"/>
      <c r="O215" s="214">
        <v>1</v>
      </c>
      <c r="P215" s="215"/>
      <c r="Q215" s="183"/>
      <c r="R215" s="184"/>
      <c r="S215" s="183"/>
      <c r="T215" s="184"/>
      <c r="U215" s="183"/>
      <c r="V215" s="184"/>
      <c r="W215" s="208">
        <f t="shared" si="21"/>
        <v>32.340000000000003</v>
      </c>
      <c r="X215" s="209"/>
      <c r="Y215" s="210"/>
      <c r="Z215" s="208">
        <f t="shared" si="22"/>
        <v>4.9803600000000001</v>
      </c>
      <c r="AA215" s="209"/>
      <c r="AB215" s="210"/>
      <c r="AC215" s="54"/>
      <c r="AD215" s="55"/>
      <c r="AE215" s="56"/>
      <c r="AF215" s="54"/>
      <c r="AG215" s="55"/>
      <c r="AH215" s="57"/>
    </row>
    <row r="216" spans="1:35" ht="15.75" x14ac:dyDescent="0.25">
      <c r="A216" s="185"/>
      <c r="B216" s="186"/>
      <c r="C216" s="184"/>
      <c r="D216" s="216" t="s">
        <v>670</v>
      </c>
      <c r="E216" s="217"/>
      <c r="F216" s="217"/>
      <c r="G216" s="217"/>
      <c r="H216" s="217"/>
      <c r="I216" s="217"/>
      <c r="J216" s="66"/>
      <c r="K216" s="214">
        <f>((29*0.77)+(13*0.77))</f>
        <v>32.340000000000003</v>
      </c>
      <c r="L216" s="215"/>
      <c r="M216" s="214"/>
      <c r="N216" s="215"/>
      <c r="O216" s="214">
        <v>1</v>
      </c>
      <c r="P216" s="215"/>
      <c r="Q216" s="214"/>
      <c r="R216" s="215"/>
      <c r="S216" s="214"/>
      <c r="T216" s="215"/>
      <c r="U216" s="214"/>
      <c r="V216" s="215"/>
      <c r="W216" s="208">
        <f t="shared" si="21"/>
        <v>32.340000000000003</v>
      </c>
      <c r="X216" s="209"/>
      <c r="Y216" s="210"/>
      <c r="Z216" s="208">
        <f t="shared" si="22"/>
        <v>4.9803600000000001</v>
      </c>
      <c r="AA216" s="209"/>
      <c r="AB216" s="210"/>
      <c r="AC216" s="54"/>
      <c r="AD216" s="55"/>
      <c r="AE216" s="56"/>
      <c r="AF216" s="54"/>
      <c r="AG216" s="55"/>
      <c r="AH216" s="57"/>
    </row>
    <row r="217" spans="1:35" ht="15.75" x14ac:dyDescent="0.25">
      <c r="A217" s="185"/>
      <c r="B217" s="186"/>
      <c r="C217" s="184"/>
      <c r="D217" s="216" t="s">
        <v>671</v>
      </c>
      <c r="E217" s="217"/>
      <c r="F217" s="217"/>
      <c r="G217" s="217"/>
      <c r="H217" s="217"/>
      <c r="I217" s="217"/>
      <c r="J217" s="66"/>
      <c r="K217" s="214">
        <f>((29*0.77)+(13*0.77))</f>
        <v>32.340000000000003</v>
      </c>
      <c r="L217" s="215"/>
      <c r="M217" s="214"/>
      <c r="N217" s="215"/>
      <c r="O217" s="214">
        <v>1</v>
      </c>
      <c r="P217" s="215"/>
      <c r="Q217" s="214"/>
      <c r="R217" s="215"/>
      <c r="S217" s="214"/>
      <c r="T217" s="215"/>
      <c r="U217" s="214"/>
      <c r="V217" s="215"/>
      <c r="W217" s="208">
        <f t="shared" si="21"/>
        <v>32.340000000000003</v>
      </c>
      <c r="X217" s="209"/>
      <c r="Y217" s="210"/>
      <c r="Z217" s="208">
        <f t="shared" si="22"/>
        <v>4.9803600000000001</v>
      </c>
      <c r="AA217" s="209"/>
      <c r="AB217" s="210"/>
      <c r="AC217" s="54"/>
      <c r="AD217" s="55"/>
      <c r="AE217" s="56"/>
      <c r="AF217" s="54"/>
      <c r="AG217" s="55"/>
      <c r="AH217" s="57"/>
    </row>
    <row r="218" spans="1:35" ht="15.75" x14ac:dyDescent="0.25">
      <c r="A218" s="185"/>
      <c r="B218" s="186"/>
      <c r="C218" s="184"/>
      <c r="D218" s="216" t="s">
        <v>672</v>
      </c>
      <c r="E218" s="217"/>
      <c r="F218" s="217"/>
      <c r="G218" s="217"/>
      <c r="H218" s="217"/>
      <c r="I218" s="217"/>
      <c r="J218" s="66"/>
      <c r="K218" s="214">
        <f>((29*0.77)+(13*0.77))</f>
        <v>32.340000000000003</v>
      </c>
      <c r="L218" s="215"/>
      <c r="M218" s="214"/>
      <c r="N218" s="215"/>
      <c r="O218" s="214">
        <v>1</v>
      </c>
      <c r="P218" s="215"/>
      <c r="Q218" s="214"/>
      <c r="R218" s="215"/>
      <c r="S218" s="214"/>
      <c r="T218" s="215"/>
      <c r="U218" s="214"/>
      <c r="V218" s="215"/>
      <c r="W218" s="208">
        <f t="shared" si="21"/>
        <v>32.340000000000003</v>
      </c>
      <c r="X218" s="209"/>
      <c r="Y218" s="210"/>
      <c r="Z218" s="208">
        <f t="shared" si="22"/>
        <v>4.9803600000000001</v>
      </c>
      <c r="AA218" s="209"/>
      <c r="AB218" s="210"/>
      <c r="AC218" s="54"/>
      <c r="AD218" s="55"/>
      <c r="AE218" s="56"/>
      <c r="AF218" s="54"/>
      <c r="AG218" s="55"/>
      <c r="AH218" s="57"/>
    </row>
    <row r="219" spans="1:35" ht="15.75" x14ac:dyDescent="0.25">
      <c r="A219" s="185"/>
      <c r="B219" s="186"/>
      <c r="C219" s="184"/>
      <c r="D219" s="216" t="s">
        <v>673</v>
      </c>
      <c r="E219" s="217"/>
      <c r="F219" s="217"/>
      <c r="G219" s="217"/>
      <c r="H219" s="217"/>
      <c r="I219" s="217"/>
      <c r="J219" s="66"/>
      <c r="K219" s="214">
        <f>29*0.77</f>
        <v>22.330000000000002</v>
      </c>
      <c r="L219" s="215"/>
      <c r="M219" s="214"/>
      <c r="N219" s="215"/>
      <c r="O219" s="214">
        <v>1</v>
      </c>
      <c r="P219" s="215"/>
      <c r="Q219" s="214"/>
      <c r="R219" s="215"/>
      <c r="S219" s="214"/>
      <c r="T219" s="215"/>
      <c r="U219" s="214"/>
      <c r="V219" s="215"/>
      <c r="W219" s="208">
        <f t="shared" si="21"/>
        <v>22.330000000000002</v>
      </c>
      <c r="X219" s="209"/>
      <c r="Y219" s="210"/>
      <c r="Z219" s="208">
        <f t="shared" si="22"/>
        <v>3.4388200000000002</v>
      </c>
      <c r="AA219" s="209"/>
      <c r="AB219" s="210"/>
      <c r="AC219" s="54"/>
      <c r="AD219" s="55"/>
      <c r="AE219" s="56"/>
      <c r="AF219" s="54"/>
      <c r="AG219" s="55"/>
      <c r="AH219" s="57"/>
    </row>
    <row r="220" spans="1:35" ht="15.75" x14ac:dyDescent="0.25">
      <c r="A220" s="185"/>
      <c r="B220" s="186"/>
      <c r="C220" s="184"/>
      <c r="D220" s="216" t="s">
        <v>674</v>
      </c>
      <c r="E220" s="217"/>
      <c r="F220" s="217"/>
      <c r="G220" s="217"/>
      <c r="H220" s="217"/>
      <c r="I220" s="217"/>
      <c r="J220" s="66"/>
      <c r="K220" s="214">
        <f>((29*0.77)+(13*0.77))</f>
        <v>32.340000000000003</v>
      </c>
      <c r="L220" s="215"/>
      <c r="M220" s="214"/>
      <c r="N220" s="215"/>
      <c r="O220" s="214">
        <v>1</v>
      </c>
      <c r="P220" s="215"/>
      <c r="Q220" s="214"/>
      <c r="R220" s="215"/>
      <c r="S220" s="214"/>
      <c r="T220" s="215"/>
      <c r="U220" s="214"/>
      <c r="V220" s="215"/>
      <c r="W220" s="208">
        <f t="shared" si="21"/>
        <v>32.340000000000003</v>
      </c>
      <c r="X220" s="209"/>
      <c r="Y220" s="210"/>
      <c r="Z220" s="208">
        <f t="shared" si="22"/>
        <v>4.9803600000000001</v>
      </c>
      <c r="AA220" s="209"/>
      <c r="AB220" s="210"/>
      <c r="AC220" s="54"/>
      <c r="AD220" s="55"/>
      <c r="AE220" s="56"/>
      <c r="AF220" s="54"/>
      <c r="AG220" s="55"/>
      <c r="AH220" s="57"/>
    </row>
    <row r="221" spans="1:35" ht="15.75" x14ac:dyDescent="0.25">
      <c r="A221" s="185"/>
      <c r="B221" s="186"/>
      <c r="C221" s="184"/>
      <c r="D221" s="216" t="s">
        <v>675</v>
      </c>
      <c r="E221" s="217"/>
      <c r="F221" s="217"/>
      <c r="G221" s="217"/>
      <c r="H221" s="217"/>
      <c r="I221" s="217"/>
      <c r="J221" s="66"/>
      <c r="K221" s="214">
        <f>((29*0.77)+(13*0.77))</f>
        <v>32.340000000000003</v>
      </c>
      <c r="L221" s="215"/>
      <c r="M221" s="214"/>
      <c r="N221" s="215"/>
      <c r="O221" s="214">
        <v>1</v>
      </c>
      <c r="P221" s="215"/>
      <c r="Q221" s="214"/>
      <c r="R221" s="215"/>
      <c r="S221" s="214"/>
      <c r="T221" s="215"/>
      <c r="U221" s="214"/>
      <c r="V221" s="215"/>
      <c r="W221" s="208">
        <f t="shared" si="21"/>
        <v>32.340000000000003</v>
      </c>
      <c r="X221" s="209"/>
      <c r="Y221" s="210"/>
      <c r="Z221" s="208">
        <f t="shared" si="22"/>
        <v>4.9803600000000001</v>
      </c>
      <c r="AA221" s="209"/>
      <c r="AB221" s="210"/>
      <c r="AC221" s="54"/>
      <c r="AD221" s="55"/>
      <c r="AE221" s="56"/>
      <c r="AF221" s="54"/>
      <c r="AG221" s="55"/>
      <c r="AH221" s="57"/>
    </row>
    <row r="222" spans="1:35" ht="15.75" x14ac:dyDescent="0.25">
      <c r="A222" s="185"/>
      <c r="B222" s="186"/>
      <c r="C222" s="184"/>
      <c r="D222" s="216" t="s">
        <v>676</v>
      </c>
      <c r="E222" s="217"/>
      <c r="F222" s="217"/>
      <c r="G222" s="217"/>
      <c r="H222" s="217"/>
      <c r="I222" s="217"/>
      <c r="J222" s="66"/>
      <c r="K222" s="214">
        <f>29*0.77</f>
        <v>22.330000000000002</v>
      </c>
      <c r="L222" s="215"/>
      <c r="M222" s="214"/>
      <c r="N222" s="215"/>
      <c r="O222" s="214">
        <v>1</v>
      </c>
      <c r="P222" s="215"/>
      <c r="Q222" s="214"/>
      <c r="R222" s="215"/>
      <c r="S222" s="214"/>
      <c r="T222" s="215"/>
      <c r="U222" s="214"/>
      <c r="V222" s="215"/>
      <c r="W222" s="208">
        <f t="shared" si="21"/>
        <v>22.330000000000002</v>
      </c>
      <c r="X222" s="209"/>
      <c r="Y222" s="210"/>
      <c r="Z222" s="208">
        <f t="shared" si="22"/>
        <v>3.4388200000000002</v>
      </c>
      <c r="AA222" s="209"/>
      <c r="AB222" s="210"/>
      <c r="AC222" s="54"/>
      <c r="AD222" s="55"/>
      <c r="AE222" s="56"/>
      <c r="AF222" s="54"/>
      <c r="AG222" s="55"/>
      <c r="AH222" s="57"/>
    </row>
    <row r="223" spans="1:35" ht="15.75" x14ac:dyDescent="0.25">
      <c r="A223" s="185"/>
      <c r="B223" s="186"/>
      <c r="C223" s="184"/>
      <c r="D223" s="216" t="s">
        <v>677</v>
      </c>
      <c r="E223" s="217"/>
      <c r="F223" s="217"/>
      <c r="G223" s="217"/>
      <c r="H223" s="217"/>
      <c r="I223" s="217"/>
      <c r="J223" s="66"/>
      <c r="K223" s="183">
        <f>29*0.87</f>
        <v>25.23</v>
      </c>
      <c r="L223" s="184"/>
      <c r="M223" s="183"/>
      <c r="N223" s="184"/>
      <c r="O223" s="214">
        <v>1</v>
      </c>
      <c r="P223" s="215"/>
      <c r="Q223" s="183"/>
      <c r="R223" s="184"/>
      <c r="S223" s="183"/>
      <c r="T223" s="184"/>
      <c r="U223" s="183"/>
      <c r="V223" s="184"/>
      <c r="W223" s="208">
        <f t="shared" si="21"/>
        <v>25.23</v>
      </c>
      <c r="X223" s="209"/>
      <c r="Y223" s="210"/>
      <c r="Z223" s="208">
        <f t="shared" si="22"/>
        <v>3.8854199999999999</v>
      </c>
      <c r="AA223" s="209"/>
      <c r="AB223" s="210"/>
      <c r="AC223" s="54"/>
      <c r="AD223" s="55"/>
      <c r="AE223" s="56"/>
      <c r="AF223" s="54"/>
      <c r="AG223" s="55"/>
      <c r="AH223" s="57"/>
    </row>
    <row r="224" spans="1:35" ht="15.75" x14ac:dyDescent="0.25">
      <c r="A224" s="185"/>
      <c r="B224" s="186"/>
      <c r="C224" s="184"/>
      <c r="D224" s="211" t="s">
        <v>678</v>
      </c>
      <c r="E224" s="212"/>
      <c r="F224" s="212"/>
      <c r="G224" s="212"/>
      <c r="H224" s="212"/>
      <c r="I224" s="213"/>
      <c r="J224" s="66"/>
      <c r="K224" s="214">
        <f>29*0.77</f>
        <v>22.330000000000002</v>
      </c>
      <c r="L224" s="215"/>
      <c r="M224" s="214"/>
      <c r="N224" s="215"/>
      <c r="O224" s="214">
        <v>1</v>
      </c>
      <c r="P224" s="215"/>
      <c r="Q224" s="214"/>
      <c r="R224" s="215"/>
      <c r="S224" s="214"/>
      <c r="T224" s="215"/>
      <c r="U224" s="214"/>
      <c r="V224" s="215"/>
      <c r="W224" s="208">
        <f t="shared" si="21"/>
        <v>22.330000000000002</v>
      </c>
      <c r="X224" s="209"/>
      <c r="Y224" s="210"/>
      <c r="Z224" s="208">
        <f t="shared" si="22"/>
        <v>3.4388200000000002</v>
      </c>
      <c r="AA224" s="209"/>
      <c r="AB224" s="210"/>
      <c r="AC224" s="54"/>
      <c r="AD224" s="55"/>
      <c r="AE224" s="56"/>
      <c r="AF224" s="54"/>
      <c r="AG224" s="55"/>
      <c r="AH224" s="57"/>
    </row>
    <row r="225" spans="1:34" ht="15.75" x14ac:dyDescent="0.25">
      <c r="A225" s="185"/>
      <c r="B225" s="186"/>
      <c r="C225" s="184"/>
      <c r="D225" s="211" t="s">
        <v>680</v>
      </c>
      <c r="E225" s="212"/>
      <c r="F225" s="212"/>
      <c r="G225" s="212"/>
      <c r="H225" s="212"/>
      <c r="I225" s="213"/>
      <c r="J225" s="66"/>
      <c r="K225" s="214">
        <f>29*0.77</f>
        <v>22.330000000000002</v>
      </c>
      <c r="L225" s="215"/>
      <c r="M225" s="214"/>
      <c r="N225" s="215"/>
      <c r="O225" s="214">
        <v>1</v>
      </c>
      <c r="P225" s="215"/>
      <c r="Q225" s="214"/>
      <c r="R225" s="215"/>
      <c r="S225" s="214"/>
      <c r="T225" s="215"/>
      <c r="U225" s="214"/>
      <c r="V225" s="215"/>
      <c r="W225" s="208">
        <f t="shared" si="21"/>
        <v>22.330000000000002</v>
      </c>
      <c r="X225" s="209"/>
      <c r="Y225" s="210"/>
      <c r="Z225" s="208">
        <f t="shared" si="22"/>
        <v>3.4388200000000002</v>
      </c>
      <c r="AA225" s="209"/>
      <c r="AB225" s="210"/>
      <c r="AC225" s="54"/>
      <c r="AD225" s="55"/>
      <c r="AE225" s="56"/>
      <c r="AF225" s="54"/>
      <c r="AG225" s="55"/>
      <c r="AH225" s="57"/>
    </row>
    <row r="226" spans="1:34" ht="15.75" x14ac:dyDescent="0.25">
      <c r="A226" s="185"/>
      <c r="B226" s="186"/>
      <c r="C226" s="184"/>
      <c r="D226" s="211" t="s">
        <v>681</v>
      </c>
      <c r="E226" s="212"/>
      <c r="F226" s="212"/>
      <c r="G226" s="212"/>
      <c r="H226" s="212"/>
      <c r="I226" s="213"/>
      <c r="J226" s="66"/>
      <c r="K226" s="214">
        <f>((29*0.77)+(13*0.77))</f>
        <v>32.340000000000003</v>
      </c>
      <c r="L226" s="215"/>
      <c r="M226" s="214"/>
      <c r="N226" s="215"/>
      <c r="O226" s="214">
        <v>1</v>
      </c>
      <c r="P226" s="215"/>
      <c r="Q226" s="214"/>
      <c r="R226" s="215"/>
      <c r="S226" s="214"/>
      <c r="T226" s="215"/>
      <c r="U226" s="214"/>
      <c r="V226" s="215"/>
      <c r="W226" s="208">
        <f t="shared" si="21"/>
        <v>32.340000000000003</v>
      </c>
      <c r="X226" s="209"/>
      <c r="Y226" s="210"/>
      <c r="Z226" s="208">
        <f t="shared" si="22"/>
        <v>4.9803600000000001</v>
      </c>
      <c r="AA226" s="209"/>
      <c r="AB226" s="210"/>
      <c r="AC226" s="54"/>
      <c r="AD226" s="55"/>
      <c r="AE226" s="56"/>
      <c r="AF226" s="54"/>
      <c r="AG226" s="55"/>
      <c r="AH226" s="57"/>
    </row>
    <row r="227" spans="1:34" ht="15.75" x14ac:dyDescent="0.25">
      <c r="A227" s="185"/>
      <c r="B227" s="186"/>
      <c r="C227" s="184"/>
      <c r="D227" s="211" t="s">
        <v>682</v>
      </c>
      <c r="E227" s="212"/>
      <c r="F227" s="212"/>
      <c r="G227" s="212"/>
      <c r="H227" s="212"/>
      <c r="I227" s="213"/>
      <c r="J227" s="66"/>
      <c r="K227" s="214">
        <f>29*0.77</f>
        <v>22.330000000000002</v>
      </c>
      <c r="L227" s="215"/>
      <c r="M227" s="214"/>
      <c r="N227" s="215"/>
      <c r="O227" s="214">
        <v>1</v>
      </c>
      <c r="P227" s="215"/>
      <c r="Q227" s="214"/>
      <c r="R227" s="215"/>
      <c r="S227" s="214"/>
      <c r="T227" s="215"/>
      <c r="U227" s="214"/>
      <c r="V227" s="215"/>
      <c r="W227" s="208">
        <f t="shared" si="21"/>
        <v>22.330000000000002</v>
      </c>
      <c r="X227" s="209"/>
      <c r="Y227" s="210"/>
      <c r="Z227" s="208">
        <f t="shared" si="22"/>
        <v>3.4388200000000002</v>
      </c>
      <c r="AA227" s="209"/>
      <c r="AB227" s="210"/>
      <c r="AC227" s="54"/>
      <c r="AD227" s="55"/>
      <c r="AE227" s="56"/>
      <c r="AF227" s="54"/>
      <c r="AG227" s="55"/>
      <c r="AH227" s="57"/>
    </row>
    <row r="228" spans="1:34" ht="15.75" x14ac:dyDescent="0.25">
      <c r="A228" s="185"/>
      <c r="B228" s="186"/>
      <c r="C228" s="184"/>
      <c r="D228" s="211" t="s">
        <v>683</v>
      </c>
      <c r="E228" s="212"/>
      <c r="F228" s="212"/>
      <c r="G228" s="212"/>
      <c r="H228" s="212"/>
      <c r="I228" s="213"/>
      <c r="J228" s="66"/>
      <c r="K228" s="214">
        <f>((29*0.77)+(13*0.77))</f>
        <v>32.340000000000003</v>
      </c>
      <c r="L228" s="215"/>
      <c r="M228" s="214"/>
      <c r="N228" s="215"/>
      <c r="O228" s="214">
        <v>1</v>
      </c>
      <c r="P228" s="215"/>
      <c r="Q228" s="214"/>
      <c r="R228" s="215"/>
      <c r="S228" s="214"/>
      <c r="T228" s="215"/>
      <c r="U228" s="214"/>
      <c r="V228" s="215"/>
      <c r="W228" s="208">
        <f t="shared" si="21"/>
        <v>32.340000000000003</v>
      </c>
      <c r="X228" s="209"/>
      <c r="Y228" s="210"/>
      <c r="Z228" s="208">
        <f t="shared" si="22"/>
        <v>4.9803600000000001</v>
      </c>
      <c r="AA228" s="209"/>
      <c r="AB228" s="210"/>
      <c r="AC228" s="54"/>
      <c r="AD228" s="55"/>
      <c r="AE228" s="56"/>
      <c r="AF228" s="54"/>
      <c r="AG228" s="55"/>
      <c r="AH228" s="57"/>
    </row>
    <row r="229" spans="1:34" ht="15.75" x14ac:dyDescent="0.25">
      <c r="A229" s="185"/>
      <c r="B229" s="186"/>
      <c r="C229" s="184"/>
      <c r="D229" s="211" t="s">
        <v>679</v>
      </c>
      <c r="E229" s="212"/>
      <c r="F229" s="212"/>
      <c r="G229" s="212"/>
      <c r="H229" s="212"/>
      <c r="I229" s="213"/>
      <c r="J229" s="66"/>
      <c r="K229" s="214">
        <f>29*0.77</f>
        <v>22.330000000000002</v>
      </c>
      <c r="L229" s="215"/>
      <c r="M229" s="214"/>
      <c r="N229" s="215"/>
      <c r="O229" s="214">
        <v>1</v>
      </c>
      <c r="P229" s="215"/>
      <c r="Q229" s="214"/>
      <c r="R229" s="215"/>
      <c r="S229" s="214"/>
      <c r="T229" s="215"/>
      <c r="U229" s="214"/>
      <c r="V229" s="215"/>
      <c r="W229" s="208">
        <f t="shared" si="21"/>
        <v>22.330000000000002</v>
      </c>
      <c r="X229" s="209"/>
      <c r="Y229" s="210"/>
      <c r="Z229" s="208">
        <f t="shared" si="22"/>
        <v>3.4388200000000002</v>
      </c>
      <c r="AA229" s="209"/>
      <c r="AB229" s="210"/>
      <c r="AC229" s="54"/>
      <c r="AD229" s="55"/>
      <c r="AE229" s="56"/>
      <c r="AF229" s="54"/>
      <c r="AG229" s="55"/>
      <c r="AH229" s="57"/>
    </row>
    <row r="230" spans="1:34" ht="15.75" x14ac:dyDescent="0.25">
      <c r="A230" s="185"/>
      <c r="B230" s="186"/>
      <c r="C230" s="184"/>
      <c r="D230" s="211" t="s">
        <v>684</v>
      </c>
      <c r="E230" s="212"/>
      <c r="F230" s="212"/>
      <c r="G230" s="212"/>
      <c r="H230" s="212"/>
      <c r="I230" s="213"/>
      <c r="J230" s="66"/>
      <c r="K230" s="214">
        <f>((29*0.77)+(13*0.77))</f>
        <v>32.340000000000003</v>
      </c>
      <c r="L230" s="215"/>
      <c r="M230" s="214"/>
      <c r="N230" s="215"/>
      <c r="O230" s="214">
        <v>1</v>
      </c>
      <c r="P230" s="215"/>
      <c r="Q230" s="214"/>
      <c r="R230" s="215"/>
      <c r="S230" s="214"/>
      <c r="T230" s="215"/>
      <c r="U230" s="214"/>
      <c r="V230" s="215"/>
      <c r="W230" s="208">
        <f t="shared" si="21"/>
        <v>32.340000000000003</v>
      </c>
      <c r="X230" s="209"/>
      <c r="Y230" s="210"/>
      <c r="Z230" s="208">
        <f t="shared" si="22"/>
        <v>4.9803600000000001</v>
      </c>
      <c r="AA230" s="209"/>
      <c r="AB230" s="210"/>
      <c r="AC230" s="54"/>
      <c r="AD230" s="55"/>
      <c r="AE230" s="56"/>
      <c r="AF230" s="54"/>
      <c r="AG230" s="55"/>
      <c r="AH230" s="57"/>
    </row>
    <row r="231" spans="1:34" ht="15.75" x14ac:dyDescent="0.25">
      <c r="A231" s="185"/>
      <c r="B231" s="186"/>
      <c r="C231" s="184"/>
      <c r="D231" s="211" t="s">
        <v>685</v>
      </c>
      <c r="E231" s="212"/>
      <c r="F231" s="212"/>
      <c r="G231" s="212"/>
      <c r="H231" s="212"/>
      <c r="I231" s="213"/>
      <c r="J231" s="66"/>
      <c r="K231" s="183">
        <f>((2*23*0.24)+(23*0.97)+(13*0.24)+(13*0.97))</f>
        <v>49.079999999999991</v>
      </c>
      <c r="L231" s="184"/>
      <c r="M231" s="183"/>
      <c r="N231" s="184"/>
      <c r="O231" s="214">
        <v>1</v>
      </c>
      <c r="P231" s="215"/>
      <c r="Q231" s="183"/>
      <c r="R231" s="184"/>
      <c r="S231" s="183"/>
      <c r="T231" s="184"/>
      <c r="U231" s="183"/>
      <c r="V231" s="184"/>
      <c r="W231" s="208">
        <f t="shared" si="21"/>
        <v>49.079999999999991</v>
      </c>
      <c r="X231" s="209"/>
      <c r="Y231" s="210"/>
      <c r="Z231" s="208">
        <f t="shared" si="22"/>
        <v>7.5583199999999984</v>
      </c>
      <c r="AA231" s="209"/>
      <c r="AB231" s="210"/>
      <c r="AC231" s="54"/>
      <c r="AD231" s="55"/>
      <c r="AE231" s="56"/>
      <c r="AF231" s="54"/>
      <c r="AG231" s="55"/>
      <c r="AH231" s="57"/>
    </row>
    <row r="232" spans="1:34" ht="15.75" x14ac:dyDescent="0.25">
      <c r="A232" s="185"/>
      <c r="B232" s="186"/>
      <c r="C232" s="184"/>
      <c r="D232" s="211" t="s">
        <v>686</v>
      </c>
      <c r="E232" s="212"/>
      <c r="F232" s="212"/>
      <c r="G232" s="212"/>
      <c r="H232" s="212"/>
      <c r="I232" s="213"/>
      <c r="J232" s="66"/>
      <c r="K232" s="214">
        <f>((3*23*0.29)+(23*1.07))</f>
        <v>44.620000000000005</v>
      </c>
      <c r="L232" s="215"/>
      <c r="M232" s="214"/>
      <c r="N232" s="215"/>
      <c r="O232" s="214">
        <v>1</v>
      </c>
      <c r="P232" s="215"/>
      <c r="Q232" s="214"/>
      <c r="R232" s="215"/>
      <c r="S232" s="214"/>
      <c r="T232" s="215"/>
      <c r="U232" s="214"/>
      <c r="V232" s="215"/>
      <c r="W232" s="208">
        <f t="shared" si="21"/>
        <v>44.620000000000005</v>
      </c>
      <c r="X232" s="209"/>
      <c r="Y232" s="210"/>
      <c r="Z232" s="208">
        <f t="shared" si="22"/>
        <v>6.8714800000000009</v>
      </c>
      <c r="AA232" s="209"/>
      <c r="AB232" s="210"/>
      <c r="AC232" s="54"/>
      <c r="AD232" s="55"/>
      <c r="AE232" s="56"/>
      <c r="AF232" s="54"/>
      <c r="AG232" s="55"/>
      <c r="AH232" s="57"/>
    </row>
    <row r="233" spans="1:34" ht="15.75" x14ac:dyDescent="0.25">
      <c r="A233" s="185"/>
      <c r="B233" s="186"/>
      <c r="C233" s="184"/>
      <c r="D233" s="211" t="s">
        <v>687</v>
      </c>
      <c r="E233" s="212"/>
      <c r="F233" s="212"/>
      <c r="G233" s="212"/>
      <c r="H233" s="212"/>
      <c r="I233" s="213"/>
      <c r="J233" s="66"/>
      <c r="K233" s="214">
        <f>((29*0.77)+(13*0.77))</f>
        <v>32.340000000000003</v>
      </c>
      <c r="L233" s="215"/>
      <c r="M233" s="214"/>
      <c r="N233" s="215"/>
      <c r="O233" s="214">
        <v>1</v>
      </c>
      <c r="P233" s="215"/>
      <c r="Q233" s="214"/>
      <c r="R233" s="215"/>
      <c r="S233" s="214"/>
      <c r="T233" s="215"/>
      <c r="U233" s="214"/>
      <c r="V233" s="215"/>
      <c r="W233" s="208">
        <f t="shared" si="21"/>
        <v>32.340000000000003</v>
      </c>
      <c r="X233" s="209"/>
      <c r="Y233" s="210"/>
      <c r="Z233" s="208">
        <f t="shared" si="22"/>
        <v>4.9803600000000001</v>
      </c>
      <c r="AA233" s="209"/>
      <c r="AB233" s="210"/>
      <c r="AC233" s="54"/>
      <c r="AD233" s="55"/>
      <c r="AE233" s="56"/>
      <c r="AF233" s="54"/>
      <c r="AG233" s="55"/>
      <c r="AH233" s="57"/>
    </row>
    <row r="234" spans="1:34" ht="15.75" x14ac:dyDescent="0.25">
      <c r="A234" s="185"/>
      <c r="B234" s="186"/>
      <c r="C234" s="184"/>
      <c r="D234" s="211" t="s">
        <v>688</v>
      </c>
      <c r="E234" s="212"/>
      <c r="F234" s="212"/>
      <c r="G234" s="212"/>
      <c r="H234" s="212"/>
      <c r="I234" s="213"/>
      <c r="J234" s="66"/>
      <c r="K234" s="214">
        <f t="shared" ref="K234:K250" si="23">((29*0.77)+(13*0.77))</f>
        <v>32.340000000000003</v>
      </c>
      <c r="L234" s="215"/>
      <c r="M234" s="214"/>
      <c r="N234" s="215"/>
      <c r="O234" s="214">
        <v>1</v>
      </c>
      <c r="P234" s="215"/>
      <c r="Q234" s="214"/>
      <c r="R234" s="215"/>
      <c r="S234" s="214"/>
      <c r="T234" s="215"/>
      <c r="U234" s="214"/>
      <c r="V234" s="215"/>
      <c r="W234" s="208">
        <f t="shared" si="21"/>
        <v>32.340000000000003</v>
      </c>
      <c r="X234" s="209"/>
      <c r="Y234" s="210"/>
      <c r="Z234" s="208">
        <f t="shared" si="22"/>
        <v>4.9803600000000001</v>
      </c>
      <c r="AA234" s="209"/>
      <c r="AB234" s="210"/>
      <c r="AC234" s="54"/>
      <c r="AD234" s="55"/>
      <c r="AE234" s="56"/>
      <c r="AF234" s="54"/>
      <c r="AG234" s="55"/>
      <c r="AH234" s="57"/>
    </row>
    <row r="235" spans="1:34" ht="15.75" x14ac:dyDescent="0.25">
      <c r="A235" s="185"/>
      <c r="B235" s="186"/>
      <c r="C235" s="184"/>
      <c r="D235" s="211" t="s">
        <v>689</v>
      </c>
      <c r="E235" s="212"/>
      <c r="F235" s="212"/>
      <c r="G235" s="212"/>
      <c r="H235" s="212"/>
      <c r="I235" s="213"/>
      <c r="J235" s="66"/>
      <c r="K235" s="214">
        <f t="shared" si="23"/>
        <v>32.340000000000003</v>
      </c>
      <c r="L235" s="215"/>
      <c r="M235" s="214"/>
      <c r="N235" s="215"/>
      <c r="O235" s="214">
        <v>1</v>
      </c>
      <c r="P235" s="215"/>
      <c r="Q235" s="214"/>
      <c r="R235" s="215"/>
      <c r="S235" s="214"/>
      <c r="T235" s="215"/>
      <c r="U235" s="214"/>
      <c r="V235" s="215"/>
      <c r="W235" s="208">
        <f t="shared" si="21"/>
        <v>32.340000000000003</v>
      </c>
      <c r="X235" s="209"/>
      <c r="Y235" s="210"/>
      <c r="Z235" s="208">
        <f t="shared" si="22"/>
        <v>4.9803600000000001</v>
      </c>
      <c r="AA235" s="209"/>
      <c r="AB235" s="210"/>
      <c r="AC235" s="54"/>
      <c r="AD235" s="55"/>
      <c r="AE235" s="56"/>
      <c r="AF235" s="54"/>
      <c r="AG235" s="55"/>
      <c r="AH235" s="57"/>
    </row>
    <row r="236" spans="1:34" ht="15.75" x14ac:dyDescent="0.25">
      <c r="A236" s="185"/>
      <c r="B236" s="186"/>
      <c r="C236" s="184"/>
      <c r="D236" s="211" t="s">
        <v>690</v>
      </c>
      <c r="E236" s="212"/>
      <c r="F236" s="212"/>
      <c r="G236" s="212"/>
      <c r="H236" s="212"/>
      <c r="I236" s="213"/>
      <c r="J236" s="66"/>
      <c r="K236" s="214">
        <f t="shared" si="23"/>
        <v>32.340000000000003</v>
      </c>
      <c r="L236" s="215"/>
      <c r="M236" s="214"/>
      <c r="N236" s="215"/>
      <c r="O236" s="214">
        <v>1</v>
      </c>
      <c r="P236" s="215"/>
      <c r="Q236" s="214"/>
      <c r="R236" s="215"/>
      <c r="S236" s="214"/>
      <c r="T236" s="215"/>
      <c r="U236" s="214"/>
      <c r="V236" s="215"/>
      <c r="W236" s="208">
        <f t="shared" si="21"/>
        <v>32.340000000000003</v>
      </c>
      <c r="X236" s="209"/>
      <c r="Y236" s="210"/>
      <c r="Z236" s="208">
        <f t="shared" si="22"/>
        <v>4.9803600000000001</v>
      </c>
      <c r="AA236" s="209"/>
      <c r="AB236" s="210"/>
      <c r="AC236" s="54"/>
      <c r="AD236" s="55"/>
      <c r="AE236" s="56"/>
      <c r="AF236" s="54"/>
      <c r="AG236" s="55"/>
      <c r="AH236" s="57"/>
    </row>
    <row r="237" spans="1:34" ht="15.75" x14ac:dyDescent="0.25">
      <c r="A237" s="185"/>
      <c r="B237" s="186"/>
      <c r="C237" s="184"/>
      <c r="D237" s="211" t="s">
        <v>691</v>
      </c>
      <c r="E237" s="212"/>
      <c r="F237" s="212"/>
      <c r="G237" s="212"/>
      <c r="H237" s="212"/>
      <c r="I237" s="213"/>
      <c r="J237" s="66"/>
      <c r="K237" s="214">
        <f t="shared" si="23"/>
        <v>32.340000000000003</v>
      </c>
      <c r="L237" s="215"/>
      <c r="M237" s="214"/>
      <c r="N237" s="215"/>
      <c r="O237" s="214">
        <v>1</v>
      </c>
      <c r="P237" s="215"/>
      <c r="Q237" s="214"/>
      <c r="R237" s="215"/>
      <c r="S237" s="214"/>
      <c r="T237" s="215"/>
      <c r="U237" s="214"/>
      <c r="V237" s="215"/>
      <c r="W237" s="208">
        <f t="shared" si="21"/>
        <v>32.340000000000003</v>
      </c>
      <c r="X237" s="209"/>
      <c r="Y237" s="210"/>
      <c r="Z237" s="208">
        <f t="shared" si="22"/>
        <v>4.9803600000000001</v>
      </c>
      <c r="AA237" s="209"/>
      <c r="AB237" s="210"/>
      <c r="AC237" s="54"/>
      <c r="AD237" s="55"/>
      <c r="AE237" s="56"/>
      <c r="AF237" s="54"/>
      <c r="AG237" s="55"/>
      <c r="AH237" s="57"/>
    </row>
    <row r="238" spans="1:34" ht="15.75" x14ac:dyDescent="0.25">
      <c r="A238" s="185"/>
      <c r="B238" s="186"/>
      <c r="C238" s="184"/>
      <c r="D238" s="211" t="s">
        <v>692</v>
      </c>
      <c r="E238" s="212"/>
      <c r="F238" s="212"/>
      <c r="G238" s="212"/>
      <c r="H238" s="212"/>
      <c r="I238" s="213"/>
      <c r="J238" s="66"/>
      <c r="K238" s="214">
        <f t="shared" si="23"/>
        <v>32.340000000000003</v>
      </c>
      <c r="L238" s="215"/>
      <c r="M238" s="214"/>
      <c r="N238" s="215"/>
      <c r="O238" s="214">
        <v>1</v>
      </c>
      <c r="P238" s="215"/>
      <c r="Q238" s="214"/>
      <c r="R238" s="215"/>
      <c r="S238" s="214"/>
      <c r="T238" s="215"/>
      <c r="U238" s="214"/>
      <c r="V238" s="215"/>
      <c r="W238" s="208">
        <f t="shared" si="21"/>
        <v>32.340000000000003</v>
      </c>
      <c r="X238" s="209"/>
      <c r="Y238" s="210"/>
      <c r="Z238" s="208">
        <f t="shared" si="22"/>
        <v>4.9803600000000001</v>
      </c>
      <c r="AA238" s="209"/>
      <c r="AB238" s="210"/>
      <c r="AC238" s="54"/>
      <c r="AD238" s="55"/>
      <c r="AE238" s="56"/>
      <c r="AF238" s="54"/>
      <c r="AG238" s="55"/>
      <c r="AH238" s="57"/>
    </row>
    <row r="239" spans="1:34" ht="15.75" x14ac:dyDescent="0.25">
      <c r="A239" s="185"/>
      <c r="B239" s="186"/>
      <c r="C239" s="184"/>
      <c r="D239" s="211" t="s">
        <v>693</v>
      </c>
      <c r="E239" s="212"/>
      <c r="F239" s="212"/>
      <c r="G239" s="212"/>
      <c r="H239" s="212"/>
      <c r="I239" s="213"/>
      <c r="J239" s="66"/>
      <c r="K239" s="214">
        <f t="shared" si="23"/>
        <v>32.340000000000003</v>
      </c>
      <c r="L239" s="215"/>
      <c r="M239" s="214"/>
      <c r="N239" s="215"/>
      <c r="O239" s="214">
        <v>1</v>
      </c>
      <c r="P239" s="215"/>
      <c r="Q239" s="183"/>
      <c r="R239" s="184"/>
      <c r="S239" s="183"/>
      <c r="T239" s="184"/>
      <c r="U239" s="183"/>
      <c r="V239" s="184"/>
      <c r="W239" s="208">
        <f t="shared" si="21"/>
        <v>32.340000000000003</v>
      </c>
      <c r="X239" s="209"/>
      <c r="Y239" s="210"/>
      <c r="Z239" s="208">
        <f t="shared" si="22"/>
        <v>4.9803600000000001</v>
      </c>
      <c r="AA239" s="209"/>
      <c r="AB239" s="210"/>
      <c r="AC239" s="54"/>
      <c r="AD239" s="55"/>
      <c r="AE239" s="56"/>
      <c r="AF239" s="54"/>
      <c r="AG239" s="55"/>
      <c r="AH239" s="57"/>
    </row>
    <row r="240" spans="1:34" ht="15.75" x14ac:dyDescent="0.25">
      <c r="A240" s="185"/>
      <c r="B240" s="186"/>
      <c r="C240" s="184"/>
      <c r="D240" s="211" t="s">
        <v>694</v>
      </c>
      <c r="E240" s="212"/>
      <c r="F240" s="212"/>
      <c r="G240" s="212"/>
      <c r="H240" s="212"/>
      <c r="I240" s="213"/>
      <c r="J240" s="66"/>
      <c r="K240" s="214">
        <f t="shared" si="23"/>
        <v>32.340000000000003</v>
      </c>
      <c r="L240" s="215"/>
      <c r="M240" s="214"/>
      <c r="N240" s="215"/>
      <c r="O240" s="214">
        <v>1</v>
      </c>
      <c r="P240" s="215"/>
      <c r="Q240" s="214"/>
      <c r="R240" s="215"/>
      <c r="S240" s="214"/>
      <c r="T240" s="215"/>
      <c r="U240" s="214"/>
      <c r="V240" s="215"/>
      <c r="W240" s="208">
        <f t="shared" si="21"/>
        <v>32.340000000000003</v>
      </c>
      <c r="X240" s="209"/>
      <c r="Y240" s="210"/>
      <c r="Z240" s="208">
        <f t="shared" si="22"/>
        <v>4.9803600000000001</v>
      </c>
      <c r="AA240" s="209"/>
      <c r="AB240" s="210"/>
      <c r="AC240" s="54"/>
      <c r="AD240" s="55"/>
      <c r="AE240" s="56"/>
      <c r="AF240" s="54"/>
      <c r="AG240" s="55"/>
      <c r="AH240" s="57"/>
    </row>
    <row r="241" spans="1:34" ht="15.75" x14ac:dyDescent="0.25">
      <c r="A241" s="185"/>
      <c r="B241" s="186"/>
      <c r="C241" s="184"/>
      <c r="D241" s="211" t="s">
        <v>695</v>
      </c>
      <c r="E241" s="212"/>
      <c r="F241" s="212"/>
      <c r="G241" s="212"/>
      <c r="H241" s="212"/>
      <c r="I241" s="213"/>
      <c r="J241" s="66"/>
      <c r="K241" s="214">
        <f t="shared" si="23"/>
        <v>32.340000000000003</v>
      </c>
      <c r="L241" s="215"/>
      <c r="M241" s="214"/>
      <c r="N241" s="215"/>
      <c r="O241" s="214">
        <v>1</v>
      </c>
      <c r="P241" s="215"/>
      <c r="Q241" s="214"/>
      <c r="R241" s="215"/>
      <c r="S241" s="214"/>
      <c r="T241" s="215"/>
      <c r="U241" s="214"/>
      <c r="V241" s="215"/>
      <c r="W241" s="208">
        <f t="shared" si="21"/>
        <v>32.340000000000003</v>
      </c>
      <c r="X241" s="209"/>
      <c r="Y241" s="210"/>
      <c r="Z241" s="208">
        <f t="shared" si="22"/>
        <v>4.9803600000000001</v>
      </c>
      <c r="AA241" s="209"/>
      <c r="AB241" s="210"/>
      <c r="AC241" s="54"/>
      <c r="AD241" s="55"/>
      <c r="AE241" s="56"/>
      <c r="AF241" s="54"/>
      <c r="AG241" s="55"/>
      <c r="AH241" s="57"/>
    </row>
    <row r="242" spans="1:34" ht="15.75" x14ac:dyDescent="0.25">
      <c r="A242" s="185"/>
      <c r="B242" s="186"/>
      <c r="C242" s="184"/>
      <c r="D242" s="211" t="s">
        <v>696</v>
      </c>
      <c r="E242" s="212"/>
      <c r="F242" s="212"/>
      <c r="G242" s="212"/>
      <c r="H242" s="212"/>
      <c r="I242" s="213"/>
      <c r="J242" s="66"/>
      <c r="K242" s="214">
        <f t="shared" si="23"/>
        <v>32.340000000000003</v>
      </c>
      <c r="L242" s="215"/>
      <c r="M242" s="214"/>
      <c r="N242" s="215"/>
      <c r="O242" s="214">
        <v>1</v>
      </c>
      <c r="P242" s="215"/>
      <c r="Q242" s="214"/>
      <c r="R242" s="215"/>
      <c r="S242" s="214"/>
      <c r="T242" s="215"/>
      <c r="U242" s="214"/>
      <c r="V242" s="215"/>
      <c r="W242" s="208">
        <f t="shared" si="21"/>
        <v>32.340000000000003</v>
      </c>
      <c r="X242" s="209"/>
      <c r="Y242" s="210"/>
      <c r="Z242" s="208">
        <f t="shared" si="22"/>
        <v>4.9803600000000001</v>
      </c>
      <c r="AA242" s="209"/>
      <c r="AB242" s="210"/>
      <c r="AC242" s="54"/>
      <c r="AD242" s="55"/>
      <c r="AE242" s="56"/>
      <c r="AF242" s="54"/>
      <c r="AG242" s="55"/>
      <c r="AH242" s="57"/>
    </row>
    <row r="243" spans="1:34" ht="15.75" x14ac:dyDescent="0.25">
      <c r="A243" s="185"/>
      <c r="B243" s="186"/>
      <c r="C243" s="184"/>
      <c r="D243" s="211" t="s">
        <v>697</v>
      </c>
      <c r="E243" s="212"/>
      <c r="F243" s="212"/>
      <c r="G243" s="212"/>
      <c r="H243" s="212"/>
      <c r="I243" s="213"/>
      <c r="J243" s="66"/>
      <c r="K243" s="214">
        <f t="shared" si="23"/>
        <v>32.340000000000003</v>
      </c>
      <c r="L243" s="215"/>
      <c r="M243" s="214"/>
      <c r="N243" s="215"/>
      <c r="O243" s="214">
        <v>1</v>
      </c>
      <c r="P243" s="215"/>
      <c r="Q243" s="214"/>
      <c r="R243" s="215"/>
      <c r="S243" s="214"/>
      <c r="T243" s="215"/>
      <c r="U243" s="214"/>
      <c r="V243" s="215"/>
      <c r="W243" s="208">
        <f t="shared" si="21"/>
        <v>32.340000000000003</v>
      </c>
      <c r="X243" s="209"/>
      <c r="Y243" s="210"/>
      <c r="Z243" s="208">
        <f t="shared" si="22"/>
        <v>4.9803600000000001</v>
      </c>
      <c r="AA243" s="209"/>
      <c r="AB243" s="210"/>
      <c r="AC243" s="54"/>
      <c r="AD243" s="55"/>
      <c r="AE243" s="56"/>
      <c r="AF243" s="54"/>
      <c r="AG243" s="55"/>
      <c r="AH243" s="57"/>
    </row>
    <row r="244" spans="1:34" ht="15.75" x14ac:dyDescent="0.25">
      <c r="A244" s="185"/>
      <c r="B244" s="186"/>
      <c r="C244" s="184"/>
      <c r="D244" s="211" t="s">
        <v>698</v>
      </c>
      <c r="E244" s="212"/>
      <c r="F244" s="212"/>
      <c r="G244" s="212"/>
      <c r="H244" s="212"/>
      <c r="I244" s="213"/>
      <c r="J244" s="66"/>
      <c r="K244" s="214">
        <f t="shared" si="23"/>
        <v>32.340000000000003</v>
      </c>
      <c r="L244" s="215"/>
      <c r="M244" s="214"/>
      <c r="N244" s="215"/>
      <c r="O244" s="214">
        <v>1</v>
      </c>
      <c r="P244" s="215"/>
      <c r="Q244" s="214"/>
      <c r="R244" s="215"/>
      <c r="S244" s="214"/>
      <c r="T244" s="215"/>
      <c r="U244" s="214"/>
      <c r="V244" s="215"/>
      <c r="W244" s="208">
        <f t="shared" si="21"/>
        <v>32.340000000000003</v>
      </c>
      <c r="X244" s="209"/>
      <c r="Y244" s="210"/>
      <c r="Z244" s="208">
        <f t="shared" si="22"/>
        <v>4.9803600000000001</v>
      </c>
      <c r="AA244" s="209"/>
      <c r="AB244" s="210"/>
      <c r="AC244" s="54"/>
      <c r="AD244" s="55"/>
      <c r="AE244" s="56"/>
      <c r="AF244" s="54"/>
      <c r="AG244" s="55"/>
      <c r="AH244" s="57"/>
    </row>
    <row r="245" spans="1:34" ht="15.75" x14ac:dyDescent="0.25">
      <c r="A245" s="185"/>
      <c r="B245" s="186"/>
      <c r="C245" s="184"/>
      <c r="D245" s="211" t="s">
        <v>699</v>
      </c>
      <c r="E245" s="212"/>
      <c r="F245" s="212"/>
      <c r="G245" s="212"/>
      <c r="H245" s="212"/>
      <c r="I245" s="213"/>
      <c r="J245" s="66"/>
      <c r="K245" s="214">
        <f t="shared" si="23"/>
        <v>32.340000000000003</v>
      </c>
      <c r="L245" s="215"/>
      <c r="M245" s="214"/>
      <c r="N245" s="215"/>
      <c r="O245" s="214">
        <v>1</v>
      </c>
      <c r="P245" s="215"/>
      <c r="Q245" s="214"/>
      <c r="R245" s="215"/>
      <c r="S245" s="214"/>
      <c r="T245" s="215"/>
      <c r="U245" s="214"/>
      <c r="V245" s="215"/>
      <c r="W245" s="208">
        <f t="shared" si="21"/>
        <v>32.340000000000003</v>
      </c>
      <c r="X245" s="209"/>
      <c r="Y245" s="210"/>
      <c r="Z245" s="208">
        <f t="shared" si="22"/>
        <v>4.9803600000000001</v>
      </c>
      <c r="AA245" s="209"/>
      <c r="AB245" s="210"/>
      <c r="AC245" s="54"/>
      <c r="AD245" s="55"/>
      <c r="AE245" s="56"/>
      <c r="AF245" s="54"/>
      <c r="AG245" s="55"/>
      <c r="AH245" s="57"/>
    </row>
    <row r="246" spans="1:34" ht="15.75" x14ac:dyDescent="0.25">
      <c r="A246" s="185"/>
      <c r="B246" s="186"/>
      <c r="C246" s="184"/>
      <c r="D246" s="211" t="s">
        <v>700</v>
      </c>
      <c r="E246" s="212"/>
      <c r="F246" s="212"/>
      <c r="G246" s="212"/>
      <c r="H246" s="212"/>
      <c r="I246" s="213"/>
      <c r="J246" s="66"/>
      <c r="K246" s="214">
        <f t="shared" si="23"/>
        <v>32.340000000000003</v>
      </c>
      <c r="L246" s="215"/>
      <c r="M246" s="214"/>
      <c r="N246" s="215"/>
      <c r="O246" s="214">
        <v>1</v>
      </c>
      <c r="P246" s="215"/>
      <c r="Q246" s="214"/>
      <c r="R246" s="215"/>
      <c r="S246" s="214"/>
      <c r="T246" s="215"/>
      <c r="U246" s="214"/>
      <c r="V246" s="215"/>
      <c r="W246" s="208">
        <f t="shared" si="21"/>
        <v>32.340000000000003</v>
      </c>
      <c r="X246" s="209"/>
      <c r="Y246" s="210"/>
      <c r="Z246" s="208">
        <f t="shared" si="22"/>
        <v>4.9803600000000001</v>
      </c>
      <c r="AA246" s="209"/>
      <c r="AB246" s="210"/>
      <c r="AC246" s="54"/>
      <c r="AD246" s="55"/>
      <c r="AE246" s="56"/>
      <c r="AF246" s="54"/>
      <c r="AG246" s="55"/>
      <c r="AH246" s="57"/>
    </row>
    <row r="247" spans="1:34" ht="15.75" x14ac:dyDescent="0.25">
      <c r="A247" s="185"/>
      <c r="B247" s="186"/>
      <c r="C247" s="184"/>
      <c r="D247" s="211" t="s">
        <v>701</v>
      </c>
      <c r="E247" s="212"/>
      <c r="F247" s="212"/>
      <c r="G247" s="212"/>
      <c r="H247" s="212"/>
      <c r="I247" s="213"/>
      <c r="J247" s="66"/>
      <c r="K247" s="214">
        <f t="shared" si="23"/>
        <v>32.340000000000003</v>
      </c>
      <c r="L247" s="215"/>
      <c r="M247" s="214"/>
      <c r="N247" s="215"/>
      <c r="O247" s="214">
        <v>1</v>
      </c>
      <c r="P247" s="215"/>
      <c r="Q247" s="183"/>
      <c r="R247" s="184"/>
      <c r="S247" s="183"/>
      <c r="T247" s="184"/>
      <c r="U247" s="183"/>
      <c r="V247" s="184"/>
      <c r="W247" s="208">
        <f t="shared" si="21"/>
        <v>32.340000000000003</v>
      </c>
      <c r="X247" s="209"/>
      <c r="Y247" s="210"/>
      <c r="Z247" s="208">
        <f t="shared" si="22"/>
        <v>4.9803600000000001</v>
      </c>
      <c r="AA247" s="209"/>
      <c r="AB247" s="210"/>
      <c r="AC247" s="54"/>
      <c r="AD247" s="55"/>
      <c r="AE247" s="56"/>
      <c r="AF247" s="54"/>
      <c r="AG247" s="55"/>
      <c r="AH247" s="57"/>
    </row>
    <row r="248" spans="1:34" ht="15.75" x14ac:dyDescent="0.25">
      <c r="A248" s="185"/>
      <c r="B248" s="186"/>
      <c r="C248" s="184"/>
      <c r="D248" s="211" t="s">
        <v>702</v>
      </c>
      <c r="E248" s="212"/>
      <c r="F248" s="212"/>
      <c r="G248" s="212"/>
      <c r="H248" s="212"/>
      <c r="I248" s="213"/>
      <c r="J248" s="66"/>
      <c r="K248" s="214">
        <f t="shared" si="23"/>
        <v>32.340000000000003</v>
      </c>
      <c r="L248" s="215"/>
      <c r="M248" s="214"/>
      <c r="N248" s="215"/>
      <c r="O248" s="214">
        <v>1</v>
      </c>
      <c r="P248" s="215"/>
      <c r="Q248" s="214"/>
      <c r="R248" s="215"/>
      <c r="S248" s="214"/>
      <c r="T248" s="215"/>
      <c r="U248" s="214"/>
      <c r="V248" s="215"/>
      <c r="W248" s="208">
        <f t="shared" si="21"/>
        <v>32.340000000000003</v>
      </c>
      <c r="X248" s="209"/>
      <c r="Y248" s="210"/>
      <c r="Z248" s="208">
        <f t="shared" si="22"/>
        <v>4.9803600000000001</v>
      </c>
      <c r="AA248" s="209"/>
      <c r="AB248" s="210"/>
      <c r="AC248" s="54"/>
      <c r="AD248" s="55"/>
      <c r="AE248" s="56"/>
      <c r="AF248" s="54"/>
      <c r="AG248" s="55"/>
      <c r="AH248" s="57"/>
    </row>
    <row r="249" spans="1:34" ht="15.75" x14ac:dyDescent="0.25">
      <c r="A249" s="185"/>
      <c r="B249" s="186"/>
      <c r="C249" s="184"/>
      <c r="D249" s="211" t="s">
        <v>703</v>
      </c>
      <c r="E249" s="212"/>
      <c r="F249" s="212"/>
      <c r="G249" s="212"/>
      <c r="H249" s="212"/>
      <c r="I249" s="213"/>
      <c r="J249" s="66"/>
      <c r="K249" s="214">
        <f t="shared" si="23"/>
        <v>32.340000000000003</v>
      </c>
      <c r="L249" s="215"/>
      <c r="M249" s="214"/>
      <c r="N249" s="215"/>
      <c r="O249" s="214">
        <v>1</v>
      </c>
      <c r="P249" s="215"/>
      <c r="Q249" s="214"/>
      <c r="R249" s="215"/>
      <c r="S249" s="214"/>
      <c r="T249" s="215"/>
      <c r="U249" s="214"/>
      <c r="V249" s="215"/>
      <c r="W249" s="208">
        <f t="shared" si="21"/>
        <v>32.340000000000003</v>
      </c>
      <c r="X249" s="209"/>
      <c r="Y249" s="210"/>
      <c r="Z249" s="208">
        <f t="shared" si="22"/>
        <v>4.9803600000000001</v>
      </c>
      <c r="AA249" s="209"/>
      <c r="AB249" s="210"/>
      <c r="AC249" s="54"/>
      <c r="AD249" s="55"/>
      <c r="AE249" s="56"/>
      <c r="AF249" s="54"/>
      <c r="AG249" s="55"/>
      <c r="AH249" s="57"/>
    </row>
    <row r="250" spans="1:34" ht="15.75" x14ac:dyDescent="0.25">
      <c r="A250" s="185"/>
      <c r="B250" s="186"/>
      <c r="C250" s="184"/>
      <c r="D250" s="211" t="s">
        <v>704</v>
      </c>
      <c r="E250" s="212"/>
      <c r="F250" s="212"/>
      <c r="G250" s="212"/>
      <c r="H250" s="212"/>
      <c r="I250" s="213"/>
      <c r="J250" s="66"/>
      <c r="K250" s="214">
        <f t="shared" si="23"/>
        <v>32.340000000000003</v>
      </c>
      <c r="L250" s="215"/>
      <c r="M250" s="214"/>
      <c r="N250" s="215"/>
      <c r="O250" s="214">
        <v>1</v>
      </c>
      <c r="P250" s="215"/>
      <c r="Q250" s="214"/>
      <c r="R250" s="215"/>
      <c r="S250" s="214"/>
      <c r="T250" s="215"/>
      <c r="U250" s="214"/>
      <c r="V250" s="215"/>
      <c r="W250" s="208">
        <f t="shared" si="21"/>
        <v>32.340000000000003</v>
      </c>
      <c r="X250" s="209"/>
      <c r="Y250" s="210"/>
      <c r="Z250" s="208">
        <f t="shared" si="22"/>
        <v>4.9803600000000001</v>
      </c>
      <c r="AA250" s="209"/>
      <c r="AB250" s="210"/>
      <c r="AC250" s="54"/>
      <c r="AD250" s="55"/>
      <c r="AE250" s="56"/>
      <c r="AF250" s="54"/>
      <c r="AG250" s="55"/>
      <c r="AH250" s="57"/>
    </row>
    <row r="251" spans="1:34" ht="15.75" x14ac:dyDescent="0.25">
      <c r="A251" s="185"/>
      <c r="B251" s="186"/>
      <c r="C251" s="184"/>
      <c r="D251" s="211" t="s">
        <v>705</v>
      </c>
      <c r="E251" s="212"/>
      <c r="F251" s="212"/>
      <c r="G251" s="212"/>
      <c r="H251" s="212"/>
      <c r="I251" s="213"/>
      <c r="J251" s="66"/>
      <c r="K251" s="214">
        <f>29*0.77</f>
        <v>22.330000000000002</v>
      </c>
      <c r="L251" s="215"/>
      <c r="M251" s="214"/>
      <c r="N251" s="215"/>
      <c r="O251" s="214">
        <v>1</v>
      </c>
      <c r="P251" s="215"/>
      <c r="Q251" s="214"/>
      <c r="R251" s="215"/>
      <c r="S251" s="214"/>
      <c r="T251" s="215"/>
      <c r="U251" s="214"/>
      <c r="V251" s="215"/>
      <c r="W251" s="208">
        <f t="shared" si="21"/>
        <v>22.330000000000002</v>
      </c>
      <c r="X251" s="209"/>
      <c r="Y251" s="210"/>
      <c r="Z251" s="208">
        <f t="shared" si="22"/>
        <v>3.4388200000000002</v>
      </c>
      <c r="AA251" s="209"/>
      <c r="AB251" s="210"/>
      <c r="AC251" s="54"/>
      <c r="AD251" s="55"/>
      <c r="AE251" s="56"/>
      <c r="AF251" s="54"/>
      <c r="AG251" s="55"/>
      <c r="AH251" s="57"/>
    </row>
    <row r="252" spans="1:34" ht="15.75" x14ac:dyDescent="0.25">
      <c r="A252" s="185"/>
      <c r="B252" s="186"/>
      <c r="C252" s="184"/>
      <c r="D252" s="211" t="s">
        <v>706</v>
      </c>
      <c r="E252" s="212"/>
      <c r="F252" s="212"/>
      <c r="G252" s="212"/>
      <c r="H252" s="212"/>
      <c r="I252" s="213"/>
      <c r="J252" s="66"/>
      <c r="K252" s="214">
        <f>29*0.77</f>
        <v>22.330000000000002</v>
      </c>
      <c r="L252" s="215"/>
      <c r="M252" s="214"/>
      <c r="N252" s="215"/>
      <c r="O252" s="214">
        <v>1</v>
      </c>
      <c r="P252" s="215"/>
      <c r="Q252" s="214"/>
      <c r="R252" s="215"/>
      <c r="S252" s="214"/>
      <c r="T252" s="215"/>
      <c r="U252" s="214"/>
      <c r="V252" s="215"/>
      <c r="W252" s="208">
        <f t="shared" si="21"/>
        <v>22.330000000000002</v>
      </c>
      <c r="X252" s="209"/>
      <c r="Y252" s="210"/>
      <c r="Z252" s="208">
        <f t="shared" si="22"/>
        <v>3.4388200000000002</v>
      </c>
      <c r="AA252" s="209"/>
      <c r="AB252" s="210"/>
      <c r="AC252" s="54"/>
      <c r="AD252" s="55"/>
      <c r="AE252" s="56"/>
      <c r="AF252" s="54"/>
      <c r="AG252" s="55"/>
      <c r="AH252" s="57"/>
    </row>
    <row r="253" spans="1:34" ht="15.75" x14ac:dyDescent="0.25">
      <c r="A253" s="185"/>
      <c r="B253" s="186"/>
      <c r="C253" s="184"/>
      <c r="D253" s="211" t="s">
        <v>707</v>
      </c>
      <c r="E253" s="212"/>
      <c r="F253" s="212"/>
      <c r="G253" s="212"/>
      <c r="H253" s="212"/>
      <c r="I253" s="213"/>
      <c r="J253" s="66"/>
      <c r="K253" s="214">
        <f>29*0.77</f>
        <v>22.330000000000002</v>
      </c>
      <c r="L253" s="215"/>
      <c r="M253" s="214"/>
      <c r="N253" s="215"/>
      <c r="O253" s="214">
        <v>1</v>
      </c>
      <c r="P253" s="215"/>
      <c r="Q253" s="214"/>
      <c r="R253" s="215"/>
      <c r="S253" s="214"/>
      <c r="T253" s="215"/>
      <c r="U253" s="214"/>
      <c r="V253" s="215"/>
      <c r="W253" s="208">
        <f t="shared" si="21"/>
        <v>22.330000000000002</v>
      </c>
      <c r="X253" s="209"/>
      <c r="Y253" s="210"/>
      <c r="Z253" s="208">
        <f t="shared" si="22"/>
        <v>3.4388200000000002</v>
      </c>
      <c r="AA253" s="209"/>
      <c r="AB253" s="210"/>
      <c r="AC253" s="54"/>
      <c r="AD253" s="55"/>
      <c r="AE253" s="56"/>
      <c r="AF253" s="54"/>
      <c r="AG253" s="55"/>
      <c r="AH253" s="57"/>
    </row>
    <row r="254" spans="1:34" ht="15.75" x14ac:dyDescent="0.25">
      <c r="A254" s="185"/>
      <c r="B254" s="186"/>
      <c r="C254" s="184"/>
      <c r="D254" s="211" t="s">
        <v>708</v>
      </c>
      <c r="E254" s="212"/>
      <c r="F254" s="212"/>
      <c r="G254" s="212"/>
      <c r="H254" s="212"/>
      <c r="I254" s="213"/>
      <c r="J254" s="66"/>
      <c r="K254" s="214">
        <f>29*0.77</f>
        <v>22.330000000000002</v>
      </c>
      <c r="L254" s="215"/>
      <c r="M254" s="214"/>
      <c r="N254" s="215"/>
      <c r="O254" s="214">
        <v>1</v>
      </c>
      <c r="P254" s="215"/>
      <c r="Q254" s="214"/>
      <c r="R254" s="215"/>
      <c r="S254" s="214"/>
      <c r="T254" s="215"/>
      <c r="U254" s="214"/>
      <c r="V254" s="215"/>
      <c r="W254" s="208">
        <f t="shared" si="21"/>
        <v>22.330000000000002</v>
      </c>
      <c r="X254" s="209"/>
      <c r="Y254" s="210"/>
      <c r="Z254" s="208">
        <f t="shared" si="22"/>
        <v>3.4388200000000002</v>
      </c>
      <c r="AA254" s="209"/>
      <c r="AB254" s="210"/>
      <c r="AC254" s="54"/>
      <c r="AD254" s="55"/>
      <c r="AE254" s="56"/>
      <c r="AF254" s="54"/>
      <c r="AG254" s="55"/>
      <c r="AH254" s="57"/>
    </row>
    <row r="255" spans="1:34" ht="15.75" x14ac:dyDescent="0.25">
      <c r="A255" s="185"/>
      <c r="B255" s="186"/>
      <c r="C255" s="184"/>
      <c r="D255" s="211" t="s">
        <v>709</v>
      </c>
      <c r="E255" s="212"/>
      <c r="F255" s="212"/>
      <c r="G255" s="212"/>
      <c r="H255" s="212"/>
      <c r="I255" s="213"/>
      <c r="J255" s="66"/>
      <c r="K255" s="214">
        <f>((29*0.34)+(29*0.97))</f>
        <v>37.99</v>
      </c>
      <c r="L255" s="215"/>
      <c r="M255" s="214"/>
      <c r="N255" s="215"/>
      <c r="O255" s="214">
        <v>1</v>
      </c>
      <c r="P255" s="215"/>
      <c r="Q255" s="183"/>
      <c r="R255" s="184"/>
      <c r="S255" s="183"/>
      <c r="T255" s="184"/>
      <c r="U255" s="183"/>
      <c r="V255" s="184"/>
      <c r="W255" s="208">
        <f t="shared" si="21"/>
        <v>37.99</v>
      </c>
      <c r="X255" s="209"/>
      <c r="Y255" s="210"/>
      <c r="Z255" s="208">
        <f t="shared" si="22"/>
        <v>5.85046</v>
      </c>
      <c r="AA255" s="209"/>
      <c r="AB255" s="210"/>
      <c r="AC255" s="54"/>
      <c r="AD255" s="55"/>
      <c r="AE255" s="56"/>
      <c r="AF255" s="54"/>
      <c r="AG255" s="55"/>
      <c r="AH255" s="57"/>
    </row>
    <row r="256" spans="1:34" ht="15.75" x14ac:dyDescent="0.25">
      <c r="A256" s="185"/>
      <c r="B256" s="186"/>
      <c r="C256" s="184"/>
      <c r="D256" s="211" t="s">
        <v>710</v>
      </c>
      <c r="E256" s="212"/>
      <c r="F256" s="212"/>
      <c r="G256" s="212"/>
      <c r="H256" s="212"/>
      <c r="I256" s="213"/>
      <c r="J256" s="66"/>
      <c r="K256" s="214">
        <f>((29*0.34)+(29*0.97)+(13*0.34)+(13*0.97))</f>
        <v>55.02</v>
      </c>
      <c r="L256" s="215"/>
      <c r="M256" s="214"/>
      <c r="N256" s="215"/>
      <c r="O256" s="214">
        <v>1</v>
      </c>
      <c r="P256" s="215"/>
      <c r="Q256" s="214"/>
      <c r="R256" s="215"/>
      <c r="S256" s="214"/>
      <c r="T256" s="215"/>
      <c r="U256" s="214"/>
      <c r="V256" s="215"/>
      <c r="W256" s="208">
        <f t="shared" si="21"/>
        <v>55.02</v>
      </c>
      <c r="X256" s="209"/>
      <c r="Y256" s="210"/>
      <c r="Z256" s="208">
        <f t="shared" si="22"/>
        <v>8.4730799999999995</v>
      </c>
      <c r="AA256" s="209"/>
      <c r="AB256" s="210"/>
      <c r="AC256" s="54"/>
      <c r="AD256" s="55"/>
      <c r="AE256" s="56"/>
      <c r="AF256" s="54"/>
      <c r="AG256" s="55"/>
      <c r="AH256" s="57"/>
    </row>
    <row r="257" spans="1:34" ht="15.75" x14ac:dyDescent="0.25">
      <c r="A257" s="185"/>
      <c r="B257" s="186"/>
      <c r="C257" s="184"/>
      <c r="D257" s="211" t="s">
        <v>711</v>
      </c>
      <c r="E257" s="212"/>
      <c r="F257" s="212"/>
      <c r="G257" s="212"/>
      <c r="H257" s="212"/>
      <c r="I257" s="213"/>
      <c r="J257" s="66"/>
      <c r="K257" s="214">
        <f>((29*0.24)+(29*0.77)+(13*0.24)+(13*0.77))</f>
        <v>42.42</v>
      </c>
      <c r="L257" s="215"/>
      <c r="M257" s="214"/>
      <c r="N257" s="215"/>
      <c r="O257" s="214">
        <v>1</v>
      </c>
      <c r="P257" s="215"/>
      <c r="Q257" s="214"/>
      <c r="R257" s="215"/>
      <c r="S257" s="214"/>
      <c r="T257" s="215"/>
      <c r="U257" s="214"/>
      <c r="V257" s="215"/>
      <c r="W257" s="208">
        <f t="shared" si="21"/>
        <v>42.42</v>
      </c>
      <c r="X257" s="209"/>
      <c r="Y257" s="210"/>
      <c r="Z257" s="208">
        <f t="shared" si="22"/>
        <v>6.53268</v>
      </c>
      <c r="AA257" s="209"/>
      <c r="AB257" s="210"/>
      <c r="AC257" s="54"/>
      <c r="AD257" s="55"/>
      <c r="AE257" s="56"/>
      <c r="AF257" s="54"/>
      <c r="AG257" s="55"/>
      <c r="AH257" s="57"/>
    </row>
    <row r="258" spans="1:34" ht="15.75" x14ac:dyDescent="0.25">
      <c r="A258" s="185"/>
      <c r="B258" s="186"/>
      <c r="C258" s="184"/>
      <c r="D258" s="211" t="s">
        <v>712</v>
      </c>
      <c r="E258" s="212"/>
      <c r="F258" s="212"/>
      <c r="G258" s="212"/>
      <c r="H258" s="212"/>
      <c r="I258" s="213"/>
      <c r="J258" s="66"/>
      <c r="K258" s="214">
        <f>((23*0.24)+(23*0.77)+(10*0.24)+(10*0.77))</f>
        <v>33.33</v>
      </c>
      <c r="L258" s="215"/>
      <c r="M258" s="214"/>
      <c r="N258" s="215"/>
      <c r="O258" s="214">
        <v>1</v>
      </c>
      <c r="P258" s="215"/>
      <c r="Q258" s="214"/>
      <c r="R258" s="215"/>
      <c r="S258" s="214"/>
      <c r="T258" s="215"/>
      <c r="U258" s="214"/>
      <c r="V258" s="215"/>
      <c r="W258" s="208">
        <f t="shared" si="21"/>
        <v>33.33</v>
      </c>
      <c r="X258" s="209"/>
      <c r="Y258" s="210"/>
      <c r="Z258" s="208">
        <f t="shared" si="22"/>
        <v>5.1328199999999997</v>
      </c>
      <c r="AA258" s="209"/>
      <c r="AB258" s="210"/>
      <c r="AC258" s="54"/>
      <c r="AD258" s="55"/>
      <c r="AE258" s="56"/>
      <c r="AF258" s="54"/>
      <c r="AG258" s="55"/>
      <c r="AH258" s="57"/>
    </row>
    <row r="259" spans="1:34" ht="15.75" x14ac:dyDescent="0.25">
      <c r="A259" s="185"/>
      <c r="B259" s="186"/>
      <c r="C259" s="184"/>
      <c r="D259" s="211" t="s">
        <v>713</v>
      </c>
      <c r="E259" s="212"/>
      <c r="F259" s="212"/>
      <c r="G259" s="212"/>
      <c r="H259" s="212"/>
      <c r="I259" s="213"/>
      <c r="J259" s="66"/>
      <c r="K259" s="214">
        <f>((29*0.77)+(13*0.77))</f>
        <v>32.340000000000003</v>
      </c>
      <c r="L259" s="215"/>
      <c r="M259" s="214"/>
      <c r="N259" s="215"/>
      <c r="O259" s="214">
        <v>1</v>
      </c>
      <c r="P259" s="215"/>
      <c r="Q259" s="214"/>
      <c r="R259" s="215"/>
      <c r="S259" s="214"/>
      <c r="T259" s="215"/>
      <c r="U259" s="214"/>
      <c r="V259" s="215"/>
      <c r="W259" s="208">
        <f t="shared" si="21"/>
        <v>32.340000000000003</v>
      </c>
      <c r="X259" s="209"/>
      <c r="Y259" s="210"/>
      <c r="Z259" s="208">
        <f t="shared" si="22"/>
        <v>4.9803600000000001</v>
      </c>
      <c r="AA259" s="209"/>
      <c r="AB259" s="210"/>
      <c r="AC259" s="54"/>
      <c r="AD259" s="55"/>
      <c r="AE259" s="56"/>
      <c r="AF259" s="54"/>
      <c r="AG259" s="55"/>
      <c r="AH259" s="57"/>
    </row>
    <row r="260" spans="1:34" ht="15.75" x14ac:dyDescent="0.25">
      <c r="A260" s="185"/>
      <c r="B260" s="186"/>
      <c r="C260" s="184"/>
      <c r="D260" s="211" t="s">
        <v>714</v>
      </c>
      <c r="E260" s="212"/>
      <c r="F260" s="212"/>
      <c r="G260" s="212"/>
      <c r="H260" s="212"/>
      <c r="I260" s="213"/>
      <c r="J260" s="66"/>
      <c r="K260" s="214">
        <f>29*0.77</f>
        <v>22.330000000000002</v>
      </c>
      <c r="L260" s="215"/>
      <c r="M260" s="214"/>
      <c r="N260" s="215"/>
      <c r="O260" s="214">
        <v>1</v>
      </c>
      <c r="P260" s="215"/>
      <c r="Q260" s="214"/>
      <c r="R260" s="215"/>
      <c r="S260" s="214"/>
      <c r="T260" s="215"/>
      <c r="U260" s="214"/>
      <c r="V260" s="215"/>
      <c r="W260" s="208">
        <f t="shared" si="21"/>
        <v>22.330000000000002</v>
      </c>
      <c r="X260" s="209"/>
      <c r="Y260" s="210"/>
      <c r="Z260" s="208">
        <f t="shared" si="22"/>
        <v>3.4388200000000002</v>
      </c>
      <c r="AA260" s="209"/>
      <c r="AB260" s="210"/>
      <c r="AC260" s="54"/>
      <c r="AD260" s="55"/>
      <c r="AE260" s="56"/>
      <c r="AF260" s="54"/>
      <c r="AG260" s="55"/>
      <c r="AH260" s="57"/>
    </row>
    <row r="261" spans="1:34" ht="15.75" x14ac:dyDescent="0.25">
      <c r="A261" s="185"/>
      <c r="B261" s="186"/>
      <c r="C261" s="184"/>
      <c r="D261" s="211" t="s">
        <v>715</v>
      </c>
      <c r="E261" s="212"/>
      <c r="F261" s="212"/>
      <c r="G261" s="212"/>
      <c r="H261" s="212"/>
      <c r="I261" s="213"/>
      <c r="J261" s="66"/>
      <c r="K261" s="214">
        <f>29*0.77</f>
        <v>22.330000000000002</v>
      </c>
      <c r="L261" s="215"/>
      <c r="M261" s="214"/>
      <c r="N261" s="215"/>
      <c r="O261" s="214">
        <v>1</v>
      </c>
      <c r="P261" s="215"/>
      <c r="Q261" s="214"/>
      <c r="R261" s="215"/>
      <c r="S261" s="214"/>
      <c r="T261" s="215"/>
      <c r="U261" s="214"/>
      <c r="V261" s="215"/>
      <c r="W261" s="208">
        <f t="shared" si="21"/>
        <v>22.330000000000002</v>
      </c>
      <c r="X261" s="209"/>
      <c r="Y261" s="210"/>
      <c r="Z261" s="208">
        <f t="shared" si="22"/>
        <v>3.4388200000000002</v>
      </c>
      <c r="AA261" s="209"/>
      <c r="AB261" s="210"/>
      <c r="AC261" s="54"/>
      <c r="AD261" s="55"/>
      <c r="AE261" s="56"/>
      <c r="AF261" s="54"/>
      <c r="AG261" s="55"/>
      <c r="AH261" s="57"/>
    </row>
    <row r="262" spans="1:34" ht="15.75" x14ac:dyDescent="0.25">
      <c r="A262" s="185"/>
      <c r="B262" s="186"/>
      <c r="C262" s="184"/>
      <c r="D262" s="211" t="s">
        <v>716</v>
      </c>
      <c r="E262" s="212"/>
      <c r="F262" s="212"/>
      <c r="G262" s="212"/>
      <c r="H262" s="212"/>
      <c r="I262" s="213"/>
      <c r="J262" s="66"/>
      <c r="K262" s="214">
        <f>29*0.77</f>
        <v>22.330000000000002</v>
      </c>
      <c r="L262" s="215"/>
      <c r="M262" s="214"/>
      <c r="N262" s="215"/>
      <c r="O262" s="214">
        <v>1</v>
      </c>
      <c r="P262" s="215"/>
      <c r="Q262" s="214"/>
      <c r="R262" s="215"/>
      <c r="S262" s="214"/>
      <c r="T262" s="215"/>
      <c r="U262" s="214"/>
      <c r="V262" s="215"/>
      <c r="W262" s="208">
        <f t="shared" si="21"/>
        <v>22.330000000000002</v>
      </c>
      <c r="X262" s="209"/>
      <c r="Y262" s="210"/>
      <c r="Z262" s="208">
        <f t="shared" si="22"/>
        <v>3.4388200000000002</v>
      </c>
      <c r="AA262" s="209"/>
      <c r="AB262" s="210"/>
      <c r="AC262" s="54"/>
      <c r="AD262" s="55"/>
      <c r="AE262" s="56"/>
      <c r="AF262" s="54"/>
      <c r="AG262" s="55"/>
      <c r="AH262" s="57"/>
    </row>
    <row r="263" spans="1:34" ht="15.75" x14ac:dyDescent="0.25">
      <c r="A263" s="185"/>
      <c r="B263" s="186"/>
      <c r="C263" s="184"/>
      <c r="D263" s="211" t="s">
        <v>717</v>
      </c>
      <c r="E263" s="212"/>
      <c r="F263" s="212"/>
      <c r="G263" s="212"/>
      <c r="H263" s="212"/>
      <c r="I263" s="213"/>
      <c r="J263" s="66"/>
      <c r="K263" s="214">
        <f>29*0.77</f>
        <v>22.330000000000002</v>
      </c>
      <c r="L263" s="215"/>
      <c r="M263" s="214"/>
      <c r="N263" s="215"/>
      <c r="O263" s="214">
        <v>1</v>
      </c>
      <c r="P263" s="215"/>
      <c r="Q263" s="183"/>
      <c r="R263" s="184"/>
      <c r="S263" s="183"/>
      <c r="T263" s="184"/>
      <c r="U263" s="183"/>
      <c r="V263" s="184"/>
      <c r="W263" s="208">
        <f t="shared" si="21"/>
        <v>22.330000000000002</v>
      </c>
      <c r="X263" s="209"/>
      <c r="Y263" s="210"/>
      <c r="Z263" s="208">
        <f t="shared" si="22"/>
        <v>3.4388200000000002</v>
      </c>
      <c r="AA263" s="209"/>
      <c r="AB263" s="210"/>
      <c r="AC263" s="54"/>
      <c r="AD263" s="55"/>
      <c r="AE263" s="56"/>
      <c r="AF263" s="54"/>
      <c r="AG263" s="55"/>
      <c r="AH263" s="57"/>
    </row>
    <row r="264" spans="1:34" ht="15.75" x14ac:dyDescent="0.25">
      <c r="A264" s="185"/>
      <c r="B264" s="186"/>
      <c r="C264" s="184"/>
      <c r="D264" s="211" t="s">
        <v>718</v>
      </c>
      <c r="E264" s="212"/>
      <c r="F264" s="212"/>
      <c r="G264" s="212"/>
      <c r="H264" s="212"/>
      <c r="I264" s="213"/>
      <c r="J264" s="66"/>
      <c r="K264" s="214">
        <f>29*0.77</f>
        <v>22.330000000000002</v>
      </c>
      <c r="L264" s="215"/>
      <c r="M264" s="214"/>
      <c r="N264" s="215"/>
      <c r="O264" s="214">
        <v>1</v>
      </c>
      <c r="P264" s="215"/>
      <c r="Q264" s="214"/>
      <c r="R264" s="215"/>
      <c r="S264" s="214"/>
      <c r="T264" s="215"/>
      <c r="U264" s="214"/>
      <c r="V264" s="215"/>
      <c r="W264" s="208">
        <f t="shared" si="21"/>
        <v>22.330000000000002</v>
      </c>
      <c r="X264" s="209"/>
      <c r="Y264" s="210"/>
      <c r="Z264" s="208">
        <f t="shared" si="22"/>
        <v>3.4388200000000002</v>
      </c>
      <c r="AA264" s="209"/>
      <c r="AB264" s="210"/>
      <c r="AC264" s="54"/>
      <c r="AD264" s="55"/>
      <c r="AE264" s="56"/>
      <c r="AF264" s="54"/>
      <c r="AG264" s="55"/>
      <c r="AH264" s="57"/>
    </row>
    <row r="265" spans="1:34" ht="15.75" x14ac:dyDescent="0.25">
      <c r="A265" s="185"/>
      <c r="B265" s="186"/>
      <c r="C265" s="184"/>
      <c r="D265" s="211" t="s">
        <v>719</v>
      </c>
      <c r="E265" s="212"/>
      <c r="F265" s="212"/>
      <c r="G265" s="212"/>
      <c r="H265" s="212"/>
      <c r="I265" s="213"/>
      <c r="J265" s="66"/>
      <c r="K265" s="214">
        <f>23*0.77</f>
        <v>17.71</v>
      </c>
      <c r="L265" s="215"/>
      <c r="M265" s="214"/>
      <c r="N265" s="215"/>
      <c r="O265" s="214">
        <v>1</v>
      </c>
      <c r="P265" s="215"/>
      <c r="Q265" s="214"/>
      <c r="R265" s="215"/>
      <c r="S265" s="214"/>
      <c r="T265" s="215"/>
      <c r="U265" s="214"/>
      <c r="V265" s="215"/>
      <c r="W265" s="208">
        <f t="shared" si="21"/>
        <v>17.71</v>
      </c>
      <c r="X265" s="209"/>
      <c r="Y265" s="210"/>
      <c r="Z265" s="208">
        <f t="shared" si="22"/>
        <v>2.7273399999999999</v>
      </c>
      <c r="AA265" s="209"/>
      <c r="AB265" s="210"/>
      <c r="AC265" s="54"/>
      <c r="AD265" s="55"/>
      <c r="AE265" s="56"/>
      <c r="AF265" s="54"/>
      <c r="AG265" s="55"/>
      <c r="AH265" s="57"/>
    </row>
    <row r="266" spans="1:34" ht="15.75" x14ac:dyDescent="0.25">
      <c r="A266" s="185"/>
      <c r="B266" s="186"/>
      <c r="C266" s="184"/>
      <c r="D266" s="211" t="s">
        <v>720</v>
      </c>
      <c r="E266" s="212"/>
      <c r="F266" s="212"/>
      <c r="G266" s="212"/>
      <c r="H266" s="212"/>
      <c r="I266" s="213"/>
      <c r="J266" s="66"/>
      <c r="K266" s="214">
        <f>((29*0.77)+(13*0.77))</f>
        <v>32.340000000000003</v>
      </c>
      <c r="L266" s="215"/>
      <c r="M266" s="214"/>
      <c r="N266" s="215"/>
      <c r="O266" s="214">
        <v>1</v>
      </c>
      <c r="P266" s="215"/>
      <c r="Q266" s="214"/>
      <c r="R266" s="215"/>
      <c r="S266" s="214"/>
      <c r="T266" s="215"/>
      <c r="U266" s="214"/>
      <c r="V266" s="215"/>
      <c r="W266" s="208">
        <f t="shared" si="21"/>
        <v>32.340000000000003</v>
      </c>
      <c r="X266" s="209"/>
      <c r="Y266" s="210"/>
      <c r="Z266" s="208">
        <f t="shared" si="22"/>
        <v>4.9803600000000001</v>
      </c>
      <c r="AA266" s="209"/>
      <c r="AB266" s="210"/>
      <c r="AC266" s="54"/>
      <c r="AD266" s="55"/>
      <c r="AE266" s="56"/>
      <c r="AF266" s="54"/>
      <c r="AG266" s="55"/>
      <c r="AH266" s="57"/>
    </row>
    <row r="267" spans="1:34" ht="15.75" x14ac:dyDescent="0.25">
      <c r="A267" s="185"/>
      <c r="B267" s="186"/>
      <c r="C267" s="184"/>
      <c r="D267" s="211" t="s">
        <v>721</v>
      </c>
      <c r="E267" s="212"/>
      <c r="F267" s="212"/>
      <c r="G267" s="212"/>
      <c r="H267" s="212"/>
      <c r="I267" s="213"/>
      <c r="J267" s="66"/>
      <c r="K267" s="214">
        <f>((29*0.24)+(29*0.77))</f>
        <v>29.290000000000003</v>
      </c>
      <c r="L267" s="215"/>
      <c r="M267" s="214"/>
      <c r="N267" s="215"/>
      <c r="O267" s="214">
        <v>1</v>
      </c>
      <c r="P267" s="215"/>
      <c r="Q267" s="214"/>
      <c r="R267" s="215"/>
      <c r="S267" s="214"/>
      <c r="T267" s="215"/>
      <c r="U267" s="214"/>
      <c r="V267" s="215"/>
      <c r="W267" s="208">
        <f t="shared" si="21"/>
        <v>29.290000000000003</v>
      </c>
      <c r="X267" s="209"/>
      <c r="Y267" s="210"/>
      <c r="Z267" s="208">
        <f t="shared" si="22"/>
        <v>4.5106600000000006</v>
      </c>
      <c r="AA267" s="209"/>
      <c r="AB267" s="210"/>
      <c r="AC267" s="54"/>
      <c r="AD267" s="55"/>
      <c r="AE267" s="56"/>
      <c r="AF267" s="54"/>
      <c r="AG267" s="55"/>
      <c r="AH267" s="57"/>
    </row>
    <row r="268" spans="1:34" ht="15.75" x14ac:dyDescent="0.25">
      <c r="A268" s="185"/>
      <c r="B268" s="186"/>
      <c r="C268" s="184"/>
      <c r="D268" s="211" t="s">
        <v>722</v>
      </c>
      <c r="E268" s="212"/>
      <c r="F268" s="212"/>
      <c r="G268" s="212"/>
      <c r="H268" s="212"/>
      <c r="I268" s="213"/>
      <c r="J268" s="66"/>
      <c r="K268" s="214">
        <f>((29*0.24)+(29*0.77)+(13*0.24)+(13*0.77))</f>
        <v>42.42</v>
      </c>
      <c r="L268" s="215"/>
      <c r="M268" s="214"/>
      <c r="N268" s="215"/>
      <c r="O268" s="214">
        <v>1</v>
      </c>
      <c r="P268" s="215"/>
      <c r="Q268" s="214"/>
      <c r="R268" s="215"/>
      <c r="S268" s="214"/>
      <c r="T268" s="215"/>
      <c r="U268" s="214"/>
      <c r="V268" s="215"/>
      <c r="W268" s="208">
        <f t="shared" si="21"/>
        <v>42.42</v>
      </c>
      <c r="X268" s="209"/>
      <c r="Y268" s="210"/>
      <c r="Z268" s="208">
        <f t="shared" si="22"/>
        <v>6.53268</v>
      </c>
      <c r="AA268" s="209"/>
      <c r="AB268" s="210"/>
      <c r="AC268" s="54"/>
      <c r="AD268" s="55"/>
      <c r="AE268" s="56"/>
      <c r="AF268" s="54"/>
      <c r="AG268" s="55"/>
      <c r="AH268" s="57"/>
    </row>
    <row r="269" spans="1:34" ht="15.75" x14ac:dyDescent="0.25">
      <c r="A269" s="185"/>
      <c r="B269" s="186"/>
      <c r="C269" s="184"/>
      <c r="D269" s="211" t="s">
        <v>723</v>
      </c>
      <c r="E269" s="212"/>
      <c r="F269" s="212"/>
      <c r="G269" s="212"/>
      <c r="H269" s="212"/>
      <c r="I269" s="213"/>
      <c r="J269" s="66"/>
      <c r="K269" s="214">
        <f>((29*0.77)+(13*0.77))</f>
        <v>32.340000000000003</v>
      </c>
      <c r="L269" s="215"/>
      <c r="M269" s="214"/>
      <c r="N269" s="215"/>
      <c r="O269" s="214">
        <v>1</v>
      </c>
      <c r="P269" s="215"/>
      <c r="Q269" s="214"/>
      <c r="R269" s="215"/>
      <c r="S269" s="214"/>
      <c r="T269" s="215"/>
      <c r="U269" s="214"/>
      <c r="V269" s="215"/>
      <c r="W269" s="208">
        <f t="shared" si="21"/>
        <v>32.340000000000003</v>
      </c>
      <c r="X269" s="209"/>
      <c r="Y269" s="210"/>
      <c r="Z269" s="208">
        <f t="shared" si="22"/>
        <v>4.9803600000000001</v>
      </c>
      <c r="AA269" s="209"/>
      <c r="AB269" s="210"/>
      <c r="AC269" s="54"/>
      <c r="AD269" s="55"/>
      <c r="AE269" s="56"/>
      <c r="AF269" s="54"/>
      <c r="AG269" s="55"/>
      <c r="AH269" s="57"/>
    </row>
    <row r="270" spans="1:34" ht="15.75" x14ac:dyDescent="0.25">
      <c r="A270" s="185"/>
      <c r="B270" s="186"/>
      <c r="C270" s="184"/>
      <c r="D270" s="211" t="s">
        <v>724</v>
      </c>
      <c r="E270" s="212"/>
      <c r="F270" s="212"/>
      <c r="G270" s="212"/>
      <c r="H270" s="212"/>
      <c r="I270" s="213"/>
      <c r="J270" s="66"/>
      <c r="K270" s="214">
        <f>29*0.77</f>
        <v>22.330000000000002</v>
      </c>
      <c r="L270" s="215"/>
      <c r="M270" s="214"/>
      <c r="N270" s="215"/>
      <c r="O270" s="214">
        <v>1</v>
      </c>
      <c r="P270" s="215"/>
      <c r="Q270" s="214"/>
      <c r="R270" s="215"/>
      <c r="S270" s="214"/>
      <c r="T270" s="215"/>
      <c r="U270" s="214"/>
      <c r="V270" s="215"/>
      <c r="W270" s="208">
        <f t="shared" si="21"/>
        <v>22.330000000000002</v>
      </c>
      <c r="X270" s="209"/>
      <c r="Y270" s="210"/>
      <c r="Z270" s="208">
        <f t="shared" si="22"/>
        <v>3.4388200000000002</v>
      </c>
      <c r="AA270" s="209"/>
      <c r="AB270" s="210"/>
      <c r="AC270" s="54"/>
      <c r="AD270" s="55"/>
      <c r="AE270" s="56"/>
      <c r="AF270" s="54"/>
      <c r="AG270" s="55"/>
      <c r="AH270" s="57"/>
    </row>
    <row r="271" spans="1:34" ht="15.75" x14ac:dyDescent="0.25">
      <c r="A271" s="185"/>
      <c r="B271" s="186"/>
      <c r="C271" s="184"/>
      <c r="D271" s="211" t="s">
        <v>725</v>
      </c>
      <c r="E271" s="212"/>
      <c r="F271" s="212"/>
      <c r="G271" s="212"/>
      <c r="H271" s="212"/>
      <c r="I271" s="213"/>
      <c r="J271" s="66"/>
      <c r="K271" s="214">
        <f>29*0.77</f>
        <v>22.330000000000002</v>
      </c>
      <c r="L271" s="215"/>
      <c r="M271" s="214"/>
      <c r="N271" s="215"/>
      <c r="O271" s="214">
        <v>1</v>
      </c>
      <c r="P271" s="215"/>
      <c r="Q271" s="183"/>
      <c r="R271" s="184"/>
      <c r="S271" s="183"/>
      <c r="T271" s="184"/>
      <c r="U271" s="183"/>
      <c r="V271" s="184"/>
      <c r="W271" s="208">
        <f t="shared" si="21"/>
        <v>22.330000000000002</v>
      </c>
      <c r="X271" s="209"/>
      <c r="Y271" s="210"/>
      <c r="Z271" s="208">
        <f t="shared" si="22"/>
        <v>3.4388200000000002</v>
      </c>
      <c r="AA271" s="209"/>
      <c r="AB271" s="210"/>
      <c r="AC271" s="54"/>
      <c r="AD271" s="55"/>
      <c r="AE271" s="56"/>
      <c r="AF271" s="54"/>
      <c r="AG271" s="55"/>
      <c r="AH271" s="57"/>
    </row>
    <row r="272" spans="1:34" ht="15.75" x14ac:dyDescent="0.25">
      <c r="A272" s="185"/>
      <c r="B272" s="186"/>
      <c r="C272" s="184"/>
      <c r="D272" s="211" t="s">
        <v>726</v>
      </c>
      <c r="E272" s="212"/>
      <c r="F272" s="212"/>
      <c r="G272" s="212"/>
      <c r="H272" s="212"/>
      <c r="I272" s="213"/>
      <c r="J272" s="66"/>
      <c r="K272" s="214">
        <f>29*0.77</f>
        <v>22.330000000000002</v>
      </c>
      <c r="L272" s="215"/>
      <c r="M272" s="214"/>
      <c r="N272" s="215"/>
      <c r="O272" s="214">
        <v>1</v>
      </c>
      <c r="P272" s="215"/>
      <c r="Q272" s="214"/>
      <c r="R272" s="215"/>
      <c r="S272" s="214"/>
      <c r="T272" s="215"/>
      <c r="U272" s="214"/>
      <c r="V272" s="215"/>
      <c r="W272" s="208">
        <f t="shared" si="21"/>
        <v>22.330000000000002</v>
      </c>
      <c r="X272" s="209"/>
      <c r="Y272" s="210"/>
      <c r="Z272" s="208">
        <f t="shared" si="22"/>
        <v>3.4388200000000002</v>
      </c>
      <c r="AA272" s="209"/>
      <c r="AB272" s="210"/>
      <c r="AC272" s="54"/>
      <c r="AD272" s="55"/>
      <c r="AE272" s="56"/>
      <c r="AF272" s="54"/>
      <c r="AG272" s="55"/>
      <c r="AH272" s="57"/>
    </row>
    <row r="273" spans="1:34" ht="15.75" x14ac:dyDescent="0.25">
      <c r="A273" s="185"/>
      <c r="B273" s="186"/>
      <c r="C273" s="184"/>
      <c r="D273" s="211" t="s">
        <v>727</v>
      </c>
      <c r="E273" s="212"/>
      <c r="F273" s="212"/>
      <c r="G273" s="212"/>
      <c r="H273" s="212"/>
      <c r="I273" s="213"/>
      <c r="J273" s="66"/>
      <c r="K273" s="214">
        <f>29*0.77</f>
        <v>22.330000000000002</v>
      </c>
      <c r="L273" s="215"/>
      <c r="M273" s="214"/>
      <c r="N273" s="215"/>
      <c r="O273" s="214">
        <v>1</v>
      </c>
      <c r="P273" s="215"/>
      <c r="Q273" s="214"/>
      <c r="R273" s="215"/>
      <c r="S273" s="214"/>
      <c r="T273" s="215"/>
      <c r="U273" s="214"/>
      <c r="V273" s="215"/>
      <c r="W273" s="208">
        <f t="shared" si="21"/>
        <v>22.330000000000002</v>
      </c>
      <c r="X273" s="209"/>
      <c r="Y273" s="210"/>
      <c r="Z273" s="208">
        <f t="shared" si="22"/>
        <v>3.4388200000000002</v>
      </c>
      <c r="AA273" s="209"/>
      <c r="AB273" s="210"/>
      <c r="AC273" s="54"/>
      <c r="AD273" s="55"/>
      <c r="AE273" s="56"/>
      <c r="AF273" s="54"/>
      <c r="AG273" s="55"/>
      <c r="AH273" s="57"/>
    </row>
    <row r="274" spans="1:34" ht="15.75" x14ac:dyDescent="0.25">
      <c r="A274" s="185"/>
      <c r="B274" s="186"/>
      <c r="C274" s="184"/>
      <c r="D274" s="211" t="s">
        <v>728</v>
      </c>
      <c r="E274" s="212"/>
      <c r="F274" s="212"/>
      <c r="G274" s="212"/>
      <c r="H274" s="212"/>
      <c r="I274" s="213"/>
      <c r="J274" s="66"/>
      <c r="K274" s="214">
        <f>29*0.77</f>
        <v>22.330000000000002</v>
      </c>
      <c r="L274" s="215"/>
      <c r="M274" s="214"/>
      <c r="N274" s="215"/>
      <c r="O274" s="214">
        <v>1</v>
      </c>
      <c r="P274" s="215"/>
      <c r="Q274" s="214"/>
      <c r="R274" s="215"/>
      <c r="S274" s="214"/>
      <c r="T274" s="215"/>
      <c r="U274" s="214"/>
      <c r="V274" s="215"/>
      <c r="W274" s="208">
        <f t="shared" si="21"/>
        <v>22.330000000000002</v>
      </c>
      <c r="X274" s="209"/>
      <c r="Y274" s="210"/>
      <c r="Z274" s="208">
        <f t="shared" si="22"/>
        <v>3.4388200000000002</v>
      </c>
      <c r="AA274" s="209"/>
      <c r="AB274" s="210"/>
      <c r="AC274" s="54"/>
      <c r="AD274" s="55"/>
      <c r="AE274" s="56"/>
      <c r="AF274" s="54"/>
      <c r="AG274" s="55"/>
      <c r="AH274" s="57"/>
    </row>
    <row r="275" spans="1:34" ht="15.75" x14ac:dyDescent="0.25">
      <c r="A275" s="185"/>
      <c r="B275" s="186"/>
      <c r="C275" s="184"/>
      <c r="D275" s="211" t="s">
        <v>729</v>
      </c>
      <c r="E275" s="212"/>
      <c r="F275" s="212"/>
      <c r="G275" s="212"/>
      <c r="H275" s="212"/>
      <c r="I275" s="213"/>
      <c r="J275" s="66"/>
      <c r="K275" s="214">
        <f>23*0.87</f>
        <v>20.010000000000002</v>
      </c>
      <c r="L275" s="215"/>
      <c r="M275" s="214"/>
      <c r="N275" s="215"/>
      <c r="O275" s="214">
        <v>1</v>
      </c>
      <c r="P275" s="215"/>
      <c r="Q275" s="214"/>
      <c r="R275" s="215"/>
      <c r="S275" s="214"/>
      <c r="T275" s="215"/>
      <c r="U275" s="214"/>
      <c r="V275" s="215"/>
      <c r="W275" s="208">
        <f t="shared" ref="W275:W303" si="24">K275*O275</f>
        <v>20.010000000000002</v>
      </c>
      <c r="X275" s="209"/>
      <c r="Y275" s="210"/>
      <c r="Z275" s="208">
        <f t="shared" si="22"/>
        <v>3.0815400000000004</v>
      </c>
      <c r="AA275" s="209"/>
      <c r="AB275" s="210"/>
      <c r="AC275" s="54"/>
      <c r="AD275" s="55"/>
      <c r="AE275" s="56"/>
      <c r="AF275" s="54"/>
      <c r="AG275" s="55"/>
      <c r="AH275" s="57"/>
    </row>
    <row r="276" spans="1:34" ht="15.75" x14ac:dyDescent="0.25">
      <c r="A276" s="185"/>
      <c r="B276" s="186"/>
      <c r="C276" s="184"/>
      <c r="D276" s="211" t="s">
        <v>730</v>
      </c>
      <c r="E276" s="212"/>
      <c r="F276" s="212"/>
      <c r="G276" s="212"/>
      <c r="H276" s="212"/>
      <c r="I276" s="213"/>
      <c r="J276" s="66"/>
      <c r="K276" s="214">
        <f>((23*0.87)+(10*0.87))</f>
        <v>28.71</v>
      </c>
      <c r="L276" s="215"/>
      <c r="M276" s="214"/>
      <c r="N276" s="215"/>
      <c r="O276" s="214">
        <v>1</v>
      </c>
      <c r="P276" s="215"/>
      <c r="Q276" s="214"/>
      <c r="R276" s="215"/>
      <c r="S276" s="214"/>
      <c r="T276" s="215"/>
      <c r="U276" s="214"/>
      <c r="V276" s="215"/>
      <c r="W276" s="208">
        <f t="shared" si="24"/>
        <v>28.71</v>
      </c>
      <c r="X276" s="209"/>
      <c r="Y276" s="210"/>
      <c r="Z276" s="208">
        <f t="shared" ref="Z276:Z303" si="25">W276*0.154</f>
        <v>4.4213399999999998</v>
      </c>
      <c r="AA276" s="209"/>
      <c r="AB276" s="210"/>
      <c r="AC276" s="54"/>
      <c r="AD276" s="55"/>
      <c r="AE276" s="56"/>
      <c r="AF276" s="54"/>
      <c r="AG276" s="55"/>
      <c r="AH276" s="57"/>
    </row>
    <row r="277" spans="1:34" ht="15.75" x14ac:dyDescent="0.25">
      <c r="A277" s="185"/>
      <c r="B277" s="186"/>
      <c r="C277" s="184"/>
      <c r="D277" s="211" t="s">
        <v>731</v>
      </c>
      <c r="E277" s="212"/>
      <c r="F277" s="212"/>
      <c r="G277" s="212"/>
      <c r="H277" s="212"/>
      <c r="I277" s="213"/>
      <c r="J277" s="66"/>
      <c r="K277" s="214">
        <f>((23*0.77)+(10*0.77))</f>
        <v>25.41</v>
      </c>
      <c r="L277" s="215"/>
      <c r="M277" s="214"/>
      <c r="N277" s="215"/>
      <c r="O277" s="214">
        <v>1</v>
      </c>
      <c r="P277" s="215"/>
      <c r="Q277" s="214"/>
      <c r="R277" s="215"/>
      <c r="S277" s="214"/>
      <c r="T277" s="215"/>
      <c r="U277" s="214"/>
      <c r="V277" s="215"/>
      <c r="W277" s="208">
        <f t="shared" si="24"/>
        <v>25.41</v>
      </c>
      <c r="X277" s="209"/>
      <c r="Y277" s="210"/>
      <c r="Z277" s="208">
        <f t="shared" si="25"/>
        <v>3.9131399999999998</v>
      </c>
      <c r="AA277" s="209"/>
      <c r="AB277" s="210"/>
      <c r="AC277" s="54"/>
      <c r="AD277" s="55"/>
      <c r="AE277" s="56"/>
      <c r="AF277" s="54"/>
      <c r="AG277" s="55"/>
      <c r="AH277" s="57"/>
    </row>
    <row r="278" spans="1:34" ht="15.75" x14ac:dyDescent="0.25">
      <c r="A278" s="185"/>
      <c r="B278" s="186"/>
      <c r="C278" s="184"/>
      <c r="D278" s="211" t="s">
        <v>732</v>
      </c>
      <c r="E278" s="212"/>
      <c r="F278" s="212"/>
      <c r="G278" s="212"/>
      <c r="H278" s="212"/>
      <c r="I278" s="213"/>
      <c r="J278" s="66"/>
      <c r="K278" s="214">
        <f>((29*0.77)+(13*0.77))</f>
        <v>32.340000000000003</v>
      </c>
      <c r="L278" s="215"/>
      <c r="M278" s="214"/>
      <c r="N278" s="215"/>
      <c r="O278" s="214">
        <v>1</v>
      </c>
      <c r="P278" s="215"/>
      <c r="Q278" s="214"/>
      <c r="R278" s="215"/>
      <c r="S278" s="214"/>
      <c r="T278" s="215"/>
      <c r="U278" s="214"/>
      <c r="V278" s="215"/>
      <c r="W278" s="208">
        <f t="shared" si="24"/>
        <v>32.340000000000003</v>
      </c>
      <c r="X278" s="209"/>
      <c r="Y278" s="210"/>
      <c r="Z278" s="208">
        <f t="shared" si="25"/>
        <v>4.9803600000000001</v>
      </c>
      <c r="AA278" s="209"/>
      <c r="AB278" s="210"/>
      <c r="AC278" s="54"/>
      <c r="AD278" s="55"/>
      <c r="AE278" s="56"/>
      <c r="AF278" s="54"/>
      <c r="AG278" s="55"/>
      <c r="AH278" s="57"/>
    </row>
    <row r="279" spans="1:34" ht="15.75" x14ac:dyDescent="0.25">
      <c r="A279" s="185"/>
      <c r="B279" s="186"/>
      <c r="C279" s="184"/>
      <c r="D279" s="211" t="s">
        <v>733</v>
      </c>
      <c r="E279" s="212"/>
      <c r="F279" s="212"/>
      <c r="G279" s="212"/>
      <c r="H279" s="212"/>
      <c r="I279" s="213"/>
      <c r="J279" s="66"/>
      <c r="K279" s="214">
        <f>29*0.77</f>
        <v>22.330000000000002</v>
      </c>
      <c r="L279" s="215"/>
      <c r="M279" s="214"/>
      <c r="N279" s="215"/>
      <c r="O279" s="214">
        <v>1</v>
      </c>
      <c r="P279" s="215"/>
      <c r="Q279" s="183"/>
      <c r="R279" s="184"/>
      <c r="S279" s="183"/>
      <c r="T279" s="184"/>
      <c r="U279" s="183"/>
      <c r="V279" s="184"/>
      <c r="W279" s="208">
        <f t="shared" si="24"/>
        <v>22.330000000000002</v>
      </c>
      <c r="X279" s="209"/>
      <c r="Y279" s="210"/>
      <c r="Z279" s="208">
        <f t="shared" si="25"/>
        <v>3.4388200000000002</v>
      </c>
      <c r="AA279" s="209"/>
      <c r="AB279" s="210"/>
      <c r="AC279" s="54"/>
      <c r="AD279" s="55"/>
      <c r="AE279" s="56"/>
      <c r="AF279" s="54"/>
      <c r="AG279" s="55"/>
      <c r="AH279" s="57"/>
    </row>
    <row r="280" spans="1:34" ht="15.75" x14ac:dyDescent="0.25">
      <c r="A280" s="185"/>
      <c r="B280" s="186"/>
      <c r="C280" s="184"/>
      <c r="D280" s="211" t="s">
        <v>734</v>
      </c>
      <c r="E280" s="212"/>
      <c r="F280" s="212"/>
      <c r="G280" s="212"/>
      <c r="H280" s="212"/>
      <c r="I280" s="213"/>
      <c r="J280" s="66"/>
      <c r="K280" s="214">
        <f>29*0.77</f>
        <v>22.330000000000002</v>
      </c>
      <c r="L280" s="215"/>
      <c r="M280" s="214"/>
      <c r="N280" s="215"/>
      <c r="O280" s="214">
        <v>1</v>
      </c>
      <c r="P280" s="215"/>
      <c r="Q280" s="214"/>
      <c r="R280" s="215"/>
      <c r="S280" s="214"/>
      <c r="T280" s="215"/>
      <c r="U280" s="214"/>
      <c r="V280" s="215"/>
      <c r="W280" s="208">
        <f t="shared" si="24"/>
        <v>22.330000000000002</v>
      </c>
      <c r="X280" s="209"/>
      <c r="Y280" s="210"/>
      <c r="Z280" s="208">
        <f t="shared" si="25"/>
        <v>3.4388200000000002</v>
      </c>
      <c r="AA280" s="209"/>
      <c r="AB280" s="210"/>
      <c r="AC280" s="54"/>
      <c r="AD280" s="55"/>
      <c r="AE280" s="56"/>
      <c r="AF280" s="54"/>
      <c r="AG280" s="55"/>
      <c r="AH280" s="57"/>
    </row>
    <row r="281" spans="1:34" ht="15.75" x14ac:dyDescent="0.25">
      <c r="A281" s="185"/>
      <c r="B281" s="186"/>
      <c r="C281" s="184"/>
      <c r="D281" s="211" t="s">
        <v>735</v>
      </c>
      <c r="E281" s="212"/>
      <c r="F281" s="212"/>
      <c r="G281" s="212"/>
      <c r="H281" s="212"/>
      <c r="I281" s="213"/>
      <c r="J281" s="66"/>
      <c r="K281" s="214">
        <f>((29*0.77)+(13*0.77))</f>
        <v>32.340000000000003</v>
      </c>
      <c r="L281" s="215"/>
      <c r="M281" s="214"/>
      <c r="N281" s="215"/>
      <c r="O281" s="214">
        <v>1</v>
      </c>
      <c r="P281" s="215"/>
      <c r="Q281" s="214"/>
      <c r="R281" s="215"/>
      <c r="S281" s="214"/>
      <c r="T281" s="215"/>
      <c r="U281" s="214"/>
      <c r="V281" s="215"/>
      <c r="W281" s="208">
        <f t="shared" si="24"/>
        <v>32.340000000000003</v>
      </c>
      <c r="X281" s="209"/>
      <c r="Y281" s="210"/>
      <c r="Z281" s="208">
        <f t="shared" si="25"/>
        <v>4.9803600000000001</v>
      </c>
      <c r="AA281" s="209"/>
      <c r="AB281" s="210"/>
      <c r="AC281" s="54"/>
      <c r="AD281" s="55"/>
      <c r="AE281" s="56"/>
      <c r="AF281" s="54"/>
      <c r="AG281" s="55"/>
      <c r="AH281" s="57"/>
    </row>
    <row r="282" spans="1:34" ht="15.75" x14ac:dyDescent="0.25">
      <c r="A282" s="185"/>
      <c r="B282" s="186"/>
      <c r="C282" s="184"/>
      <c r="D282" s="211" t="s">
        <v>736</v>
      </c>
      <c r="E282" s="212"/>
      <c r="F282" s="212"/>
      <c r="G282" s="212"/>
      <c r="H282" s="212"/>
      <c r="I282" s="213"/>
      <c r="J282" s="66"/>
      <c r="K282" s="214">
        <f>((29*0.77)+(13*0.77))</f>
        <v>32.340000000000003</v>
      </c>
      <c r="L282" s="215"/>
      <c r="M282" s="214"/>
      <c r="N282" s="215"/>
      <c r="O282" s="214">
        <v>1</v>
      </c>
      <c r="P282" s="215"/>
      <c r="Q282" s="214"/>
      <c r="R282" s="215"/>
      <c r="S282" s="214"/>
      <c r="T282" s="215"/>
      <c r="U282" s="214"/>
      <c r="V282" s="215"/>
      <c r="W282" s="208">
        <f t="shared" si="24"/>
        <v>32.340000000000003</v>
      </c>
      <c r="X282" s="209"/>
      <c r="Y282" s="210"/>
      <c r="Z282" s="208">
        <f t="shared" si="25"/>
        <v>4.9803600000000001</v>
      </c>
      <c r="AA282" s="209"/>
      <c r="AB282" s="210"/>
      <c r="AC282" s="54"/>
      <c r="AD282" s="55"/>
      <c r="AE282" s="56"/>
      <c r="AF282" s="54"/>
      <c r="AG282" s="55"/>
      <c r="AH282" s="57"/>
    </row>
    <row r="283" spans="1:34" ht="15.75" x14ac:dyDescent="0.25">
      <c r="A283" s="185"/>
      <c r="B283" s="186"/>
      <c r="C283" s="184"/>
      <c r="D283" s="211" t="s">
        <v>737</v>
      </c>
      <c r="E283" s="212"/>
      <c r="F283" s="212"/>
      <c r="G283" s="212"/>
      <c r="H283" s="212"/>
      <c r="I283" s="213"/>
      <c r="J283" s="66"/>
      <c r="K283" s="214">
        <f>29*0.77</f>
        <v>22.330000000000002</v>
      </c>
      <c r="L283" s="215"/>
      <c r="M283" s="214"/>
      <c r="N283" s="215"/>
      <c r="O283" s="214">
        <v>1</v>
      </c>
      <c r="P283" s="215"/>
      <c r="Q283" s="214"/>
      <c r="R283" s="215"/>
      <c r="S283" s="214"/>
      <c r="T283" s="215"/>
      <c r="U283" s="214"/>
      <c r="V283" s="215"/>
      <c r="W283" s="208">
        <f t="shared" si="24"/>
        <v>22.330000000000002</v>
      </c>
      <c r="X283" s="209"/>
      <c r="Y283" s="210"/>
      <c r="Z283" s="208">
        <f t="shared" si="25"/>
        <v>3.4388200000000002</v>
      </c>
      <c r="AA283" s="209"/>
      <c r="AB283" s="210"/>
      <c r="AC283" s="54"/>
      <c r="AD283" s="55"/>
      <c r="AE283" s="56"/>
      <c r="AF283" s="54"/>
      <c r="AG283" s="55"/>
      <c r="AH283" s="57"/>
    </row>
    <row r="284" spans="1:34" ht="15.75" x14ac:dyDescent="0.25">
      <c r="A284" s="185"/>
      <c r="B284" s="186"/>
      <c r="C284" s="184"/>
      <c r="D284" s="211" t="s">
        <v>738</v>
      </c>
      <c r="E284" s="212"/>
      <c r="F284" s="212"/>
      <c r="G284" s="212"/>
      <c r="H284" s="212"/>
      <c r="I284" s="213"/>
      <c r="J284" s="66"/>
      <c r="K284" s="214">
        <f>29*0.77</f>
        <v>22.330000000000002</v>
      </c>
      <c r="L284" s="215"/>
      <c r="M284" s="214"/>
      <c r="N284" s="215"/>
      <c r="O284" s="214">
        <v>1</v>
      </c>
      <c r="P284" s="215"/>
      <c r="Q284" s="214"/>
      <c r="R284" s="215"/>
      <c r="S284" s="214"/>
      <c r="T284" s="215"/>
      <c r="U284" s="214"/>
      <c r="V284" s="215"/>
      <c r="W284" s="208">
        <f t="shared" si="24"/>
        <v>22.330000000000002</v>
      </c>
      <c r="X284" s="209"/>
      <c r="Y284" s="210"/>
      <c r="Z284" s="208">
        <f t="shared" si="25"/>
        <v>3.4388200000000002</v>
      </c>
      <c r="AA284" s="209"/>
      <c r="AB284" s="210"/>
      <c r="AC284" s="54"/>
      <c r="AD284" s="55"/>
      <c r="AE284" s="56"/>
      <c r="AF284" s="54"/>
      <c r="AG284" s="55"/>
      <c r="AH284" s="57"/>
    </row>
    <row r="285" spans="1:34" ht="15.75" x14ac:dyDescent="0.25">
      <c r="A285" s="185"/>
      <c r="B285" s="186"/>
      <c r="C285" s="184"/>
      <c r="D285" s="211" t="s">
        <v>739</v>
      </c>
      <c r="E285" s="212"/>
      <c r="F285" s="212"/>
      <c r="G285" s="212"/>
      <c r="H285" s="212"/>
      <c r="I285" s="213"/>
      <c r="J285" s="66"/>
      <c r="K285" s="214">
        <f>29*0.77</f>
        <v>22.330000000000002</v>
      </c>
      <c r="L285" s="215"/>
      <c r="M285" s="214"/>
      <c r="N285" s="215"/>
      <c r="O285" s="214">
        <v>1</v>
      </c>
      <c r="P285" s="215"/>
      <c r="Q285" s="214"/>
      <c r="R285" s="215"/>
      <c r="S285" s="214"/>
      <c r="T285" s="215"/>
      <c r="U285" s="214"/>
      <c r="V285" s="215"/>
      <c r="W285" s="208">
        <f t="shared" si="24"/>
        <v>22.330000000000002</v>
      </c>
      <c r="X285" s="209"/>
      <c r="Y285" s="210"/>
      <c r="Z285" s="208">
        <f t="shared" si="25"/>
        <v>3.4388200000000002</v>
      </c>
      <c r="AA285" s="209"/>
      <c r="AB285" s="210"/>
      <c r="AC285" s="54"/>
      <c r="AD285" s="55"/>
      <c r="AE285" s="56"/>
      <c r="AF285" s="54"/>
      <c r="AG285" s="55"/>
      <c r="AH285" s="57"/>
    </row>
    <row r="286" spans="1:34" ht="15.75" x14ac:dyDescent="0.25">
      <c r="A286" s="185"/>
      <c r="B286" s="186"/>
      <c r="C286" s="184"/>
      <c r="D286" s="211" t="s">
        <v>740</v>
      </c>
      <c r="E286" s="212"/>
      <c r="F286" s="212"/>
      <c r="G286" s="212"/>
      <c r="H286" s="212"/>
      <c r="I286" s="213"/>
      <c r="J286" s="66"/>
      <c r="K286" s="214">
        <f>29*0.77</f>
        <v>22.330000000000002</v>
      </c>
      <c r="L286" s="215"/>
      <c r="M286" s="214"/>
      <c r="N286" s="215"/>
      <c r="O286" s="214">
        <v>1</v>
      </c>
      <c r="P286" s="215"/>
      <c r="Q286" s="214"/>
      <c r="R286" s="215"/>
      <c r="S286" s="214"/>
      <c r="T286" s="215"/>
      <c r="U286" s="214"/>
      <c r="V286" s="215"/>
      <c r="W286" s="208">
        <f t="shared" si="24"/>
        <v>22.330000000000002</v>
      </c>
      <c r="X286" s="209"/>
      <c r="Y286" s="210"/>
      <c r="Z286" s="208">
        <f t="shared" si="25"/>
        <v>3.4388200000000002</v>
      </c>
      <c r="AA286" s="209"/>
      <c r="AB286" s="210"/>
      <c r="AC286" s="54"/>
      <c r="AD286" s="55"/>
      <c r="AE286" s="56"/>
      <c r="AF286" s="54"/>
      <c r="AG286" s="55"/>
      <c r="AH286" s="57"/>
    </row>
    <row r="287" spans="1:34" ht="15.75" x14ac:dyDescent="0.25">
      <c r="A287" s="185"/>
      <c r="B287" s="186"/>
      <c r="C287" s="184"/>
      <c r="D287" s="211" t="s">
        <v>741</v>
      </c>
      <c r="E287" s="212"/>
      <c r="F287" s="212"/>
      <c r="G287" s="212"/>
      <c r="H287" s="212"/>
      <c r="I287" s="213"/>
      <c r="J287" s="66"/>
      <c r="K287" s="214">
        <f>29*0.77</f>
        <v>22.330000000000002</v>
      </c>
      <c r="L287" s="215"/>
      <c r="M287" s="214"/>
      <c r="N287" s="215"/>
      <c r="O287" s="214">
        <v>1</v>
      </c>
      <c r="P287" s="215"/>
      <c r="Q287" s="183"/>
      <c r="R287" s="184"/>
      <c r="S287" s="183"/>
      <c r="T287" s="184"/>
      <c r="U287" s="183"/>
      <c r="V287" s="184"/>
      <c r="W287" s="208">
        <f t="shared" si="24"/>
        <v>22.330000000000002</v>
      </c>
      <c r="X287" s="209"/>
      <c r="Y287" s="210"/>
      <c r="Z287" s="208">
        <f t="shared" si="25"/>
        <v>3.4388200000000002</v>
      </c>
      <c r="AA287" s="209"/>
      <c r="AB287" s="210"/>
      <c r="AC287" s="54"/>
      <c r="AD287" s="55"/>
      <c r="AE287" s="56"/>
      <c r="AF287" s="54"/>
      <c r="AG287" s="55"/>
      <c r="AH287" s="57"/>
    </row>
    <row r="288" spans="1:34" ht="15.75" x14ac:dyDescent="0.25">
      <c r="A288" s="185"/>
      <c r="B288" s="186"/>
      <c r="C288" s="184"/>
      <c r="D288" s="211" t="s">
        <v>742</v>
      </c>
      <c r="E288" s="212"/>
      <c r="F288" s="212"/>
      <c r="G288" s="212"/>
      <c r="H288" s="212"/>
      <c r="I288" s="213"/>
      <c r="J288" s="66"/>
      <c r="K288" s="214">
        <f>((29*0.77)+(13*0.77))</f>
        <v>32.340000000000003</v>
      </c>
      <c r="L288" s="215"/>
      <c r="M288" s="214"/>
      <c r="N288" s="215"/>
      <c r="O288" s="214">
        <v>1</v>
      </c>
      <c r="P288" s="215"/>
      <c r="Q288" s="214"/>
      <c r="R288" s="215"/>
      <c r="S288" s="214"/>
      <c r="T288" s="215"/>
      <c r="U288" s="214"/>
      <c r="V288" s="215"/>
      <c r="W288" s="208">
        <f t="shared" si="24"/>
        <v>32.340000000000003</v>
      </c>
      <c r="X288" s="209"/>
      <c r="Y288" s="210"/>
      <c r="Z288" s="208">
        <f t="shared" si="25"/>
        <v>4.9803600000000001</v>
      </c>
      <c r="AA288" s="209"/>
      <c r="AB288" s="210"/>
      <c r="AC288" s="54"/>
      <c r="AD288" s="55"/>
      <c r="AE288" s="56"/>
      <c r="AF288" s="54"/>
      <c r="AG288" s="55"/>
      <c r="AH288" s="57"/>
    </row>
    <row r="289" spans="1:35" ht="15.75" x14ac:dyDescent="0.25">
      <c r="A289" s="185"/>
      <c r="B289" s="186"/>
      <c r="C289" s="184"/>
      <c r="D289" s="211" t="s">
        <v>743</v>
      </c>
      <c r="E289" s="212"/>
      <c r="F289" s="212"/>
      <c r="G289" s="212"/>
      <c r="H289" s="212"/>
      <c r="I289" s="213"/>
      <c r="J289" s="66"/>
      <c r="K289" s="214">
        <f>29*0.77</f>
        <v>22.330000000000002</v>
      </c>
      <c r="L289" s="215"/>
      <c r="M289" s="214"/>
      <c r="N289" s="215"/>
      <c r="O289" s="214">
        <v>1</v>
      </c>
      <c r="P289" s="215"/>
      <c r="Q289" s="214"/>
      <c r="R289" s="215"/>
      <c r="S289" s="214"/>
      <c r="T289" s="215"/>
      <c r="U289" s="214"/>
      <c r="V289" s="215"/>
      <c r="W289" s="208">
        <f t="shared" si="24"/>
        <v>22.330000000000002</v>
      </c>
      <c r="X289" s="209"/>
      <c r="Y289" s="210"/>
      <c r="Z289" s="208">
        <f t="shared" si="25"/>
        <v>3.4388200000000002</v>
      </c>
      <c r="AA289" s="209"/>
      <c r="AB289" s="210"/>
      <c r="AC289" s="54"/>
      <c r="AD289" s="55"/>
      <c r="AE289" s="56"/>
      <c r="AF289" s="54"/>
      <c r="AG289" s="55"/>
      <c r="AH289" s="57"/>
    </row>
    <row r="290" spans="1:35" ht="15.75" x14ac:dyDescent="0.25">
      <c r="A290" s="185"/>
      <c r="B290" s="186"/>
      <c r="C290" s="184"/>
      <c r="D290" s="211" t="s">
        <v>744</v>
      </c>
      <c r="E290" s="212"/>
      <c r="F290" s="212"/>
      <c r="G290" s="212"/>
      <c r="H290" s="212"/>
      <c r="I290" s="213"/>
      <c r="J290" s="66"/>
      <c r="K290" s="214">
        <f>29*0.77</f>
        <v>22.330000000000002</v>
      </c>
      <c r="L290" s="215"/>
      <c r="M290" s="214"/>
      <c r="N290" s="215"/>
      <c r="O290" s="214">
        <v>1</v>
      </c>
      <c r="P290" s="215"/>
      <c r="Q290" s="214"/>
      <c r="R290" s="215"/>
      <c r="S290" s="214"/>
      <c r="T290" s="215"/>
      <c r="U290" s="214"/>
      <c r="V290" s="215"/>
      <c r="W290" s="208">
        <f t="shared" si="24"/>
        <v>22.330000000000002</v>
      </c>
      <c r="X290" s="209"/>
      <c r="Y290" s="210"/>
      <c r="Z290" s="208">
        <f t="shared" si="25"/>
        <v>3.4388200000000002</v>
      </c>
      <c r="AA290" s="209"/>
      <c r="AB290" s="210"/>
      <c r="AC290" s="54"/>
      <c r="AD290" s="55"/>
      <c r="AE290" s="56"/>
      <c r="AF290" s="54"/>
      <c r="AG290" s="55"/>
      <c r="AH290" s="57"/>
    </row>
    <row r="291" spans="1:35" ht="15.75" x14ac:dyDescent="0.25">
      <c r="A291" s="185"/>
      <c r="B291" s="186"/>
      <c r="C291" s="184"/>
      <c r="D291" s="211" t="s">
        <v>745</v>
      </c>
      <c r="E291" s="212"/>
      <c r="F291" s="212"/>
      <c r="G291" s="212"/>
      <c r="H291" s="212"/>
      <c r="I291" s="213"/>
      <c r="J291" s="66"/>
      <c r="K291" s="214">
        <f>29*0.77</f>
        <v>22.330000000000002</v>
      </c>
      <c r="L291" s="215"/>
      <c r="M291" s="214"/>
      <c r="N291" s="215"/>
      <c r="O291" s="214">
        <v>1</v>
      </c>
      <c r="P291" s="215"/>
      <c r="Q291" s="214"/>
      <c r="R291" s="215"/>
      <c r="S291" s="214"/>
      <c r="T291" s="215"/>
      <c r="U291" s="214"/>
      <c r="V291" s="215"/>
      <c r="W291" s="208">
        <f t="shared" si="24"/>
        <v>22.330000000000002</v>
      </c>
      <c r="X291" s="209"/>
      <c r="Y291" s="210"/>
      <c r="Z291" s="208">
        <f t="shared" si="25"/>
        <v>3.4388200000000002</v>
      </c>
      <c r="AA291" s="209"/>
      <c r="AB291" s="210"/>
      <c r="AC291" s="54"/>
      <c r="AD291" s="55"/>
      <c r="AE291" s="56"/>
      <c r="AF291" s="54"/>
      <c r="AG291" s="55"/>
      <c r="AH291" s="57"/>
    </row>
    <row r="292" spans="1:35" ht="15.75" x14ac:dyDescent="0.25">
      <c r="A292" s="185"/>
      <c r="B292" s="186"/>
      <c r="C292" s="184"/>
      <c r="D292" s="211" t="s">
        <v>746</v>
      </c>
      <c r="E292" s="212"/>
      <c r="F292" s="212"/>
      <c r="G292" s="212"/>
      <c r="H292" s="212"/>
      <c r="I292" s="213"/>
      <c r="J292" s="66"/>
      <c r="K292" s="214">
        <f t="shared" ref="K292:K297" si="26">((29*0.77)+(13*0.77))</f>
        <v>32.340000000000003</v>
      </c>
      <c r="L292" s="215"/>
      <c r="M292" s="214"/>
      <c r="N292" s="215"/>
      <c r="O292" s="214">
        <v>1</v>
      </c>
      <c r="P292" s="215"/>
      <c r="Q292" s="214"/>
      <c r="R292" s="215"/>
      <c r="S292" s="214"/>
      <c r="T292" s="215"/>
      <c r="U292" s="214"/>
      <c r="V292" s="215"/>
      <c r="W292" s="208">
        <f t="shared" si="24"/>
        <v>32.340000000000003</v>
      </c>
      <c r="X292" s="209"/>
      <c r="Y292" s="210"/>
      <c r="Z292" s="208">
        <f t="shared" si="25"/>
        <v>4.9803600000000001</v>
      </c>
      <c r="AA292" s="209"/>
      <c r="AB292" s="210"/>
      <c r="AC292" s="54"/>
      <c r="AD292" s="55"/>
      <c r="AE292" s="56"/>
      <c r="AF292" s="54"/>
      <c r="AG292" s="55"/>
      <c r="AH292" s="57"/>
    </row>
    <row r="293" spans="1:35" ht="15.75" x14ac:dyDescent="0.25">
      <c r="A293" s="185"/>
      <c r="B293" s="186"/>
      <c r="C293" s="184"/>
      <c r="D293" s="211" t="s">
        <v>747</v>
      </c>
      <c r="E293" s="212"/>
      <c r="F293" s="212"/>
      <c r="G293" s="212"/>
      <c r="H293" s="212"/>
      <c r="I293" s="213"/>
      <c r="J293" s="66"/>
      <c r="K293" s="214">
        <f t="shared" si="26"/>
        <v>32.340000000000003</v>
      </c>
      <c r="L293" s="215"/>
      <c r="M293" s="214"/>
      <c r="N293" s="215"/>
      <c r="O293" s="214">
        <v>1</v>
      </c>
      <c r="P293" s="215"/>
      <c r="Q293" s="214"/>
      <c r="R293" s="215"/>
      <c r="S293" s="214"/>
      <c r="T293" s="215"/>
      <c r="U293" s="214"/>
      <c r="V293" s="215"/>
      <c r="W293" s="208">
        <f t="shared" si="24"/>
        <v>32.340000000000003</v>
      </c>
      <c r="X293" s="209"/>
      <c r="Y293" s="210"/>
      <c r="Z293" s="208">
        <f t="shared" si="25"/>
        <v>4.9803600000000001</v>
      </c>
      <c r="AA293" s="209"/>
      <c r="AB293" s="210"/>
      <c r="AC293" s="54"/>
      <c r="AD293" s="55"/>
      <c r="AE293" s="56"/>
      <c r="AF293" s="54"/>
      <c r="AG293" s="55"/>
      <c r="AH293" s="57"/>
    </row>
    <row r="294" spans="1:35" ht="15.75" x14ac:dyDescent="0.25">
      <c r="A294" s="185"/>
      <c r="B294" s="186"/>
      <c r="C294" s="184"/>
      <c r="D294" s="211" t="s">
        <v>748</v>
      </c>
      <c r="E294" s="212"/>
      <c r="F294" s="212"/>
      <c r="G294" s="212"/>
      <c r="H294" s="212"/>
      <c r="I294" s="213"/>
      <c r="J294" s="66"/>
      <c r="K294" s="214">
        <f t="shared" si="26"/>
        <v>32.340000000000003</v>
      </c>
      <c r="L294" s="215"/>
      <c r="M294" s="214"/>
      <c r="N294" s="215"/>
      <c r="O294" s="214">
        <v>1</v>
      </c>
      <c r="P294" s="215"/>
      <c r="Q294" s="214"/>
      <c r="R294" s="215"/>
      <c r="S294" s="214"/>
      <c r="T294" s="215"/>
      <c r="U294" s="214"/>
      <c r="V294" s="215"/>
      <c r="W294" s="208">
        <f t="shared" si="24"/>
        <v>32.340000000000003</v>
      </c>
      <c r="X294" s="209"/>
      <c r="Y294" s="210"/>
      <c r="Z294" s="208">
        <f t="shared" si="25"/>
        <v>4.9803600000000001</v>
      </c>
      <c r="AA294" s="209"/>
      <c r="AB294" s="210"/>
      <c r="AC294" s="54"/>
      <c r="AD294" s="55"/>
      <c r="AE294" s="56"/>
      <c r="AF294" s="54"/>
      <c r="AG294" s="55"/>
      <c r="AH294" s="57"/>
    </row>
    <row r="295" spans="1:35" ht="15.75" x14ac:dyDescent="0.25">
      <c r="A295" s="185"/>
      <c r="B295" s="186"/>
      <c r="C295" s="184"/>
      <c r="D295" s="211" t="s">
        <v>749</v>
      </c>
      <c r="E295" s="212"/>
      <c r="F295" s="212"/>
      <c r="G295" s="212"/>
      <c r="H295" s="212"/>
      <c r="I295" s="213"/>
      <c r="J295" s="66"/>
      <c r="K295" s="214">
        <f t="shared" si="26"/>
        <v>32.340000000000003</v>
      </c>
      <c r="L295" s="215"/>
      <c r="M295" s="214"/>
      <c r="N295" s="215"/>
      <c r="O295" s="214">
        <v>1</v>
      </c>
      <c r="P295" s="215"/>
      <c r="Q295" s="183"/>
      <c r="R295" s="184"/>
      <c r="S295" s="183"/>
      <c r="T295" s="184"/>
      <c r="U295" s="183"/>
      <c r="V295" s="184"/>
      <c r="W295" s="208">
        <f t="shared" si="24"/>
        <v>32.340000000000003</v>
      </c>
      <c r="X295" s="209"/>
      <c r="Y295" s="210"/>
      <c r="Z295" s="208">
        <f t="shared" si="25"/>
        <v>4.9803600000000001</v>
      </c>
      <c r="AA295" s="209"/>
      <c r="AB295" s="210"/>
      <c r="AC295" s="54"/>
      <c r="AD295" s="55"/>
      <c r="AE295" s="56"/>
      <c r="AF295" s="54"/>
      <c r="AG295" s="55"/>
      <c r="AH295" s="57"/>
    </row>
    <row r="296" spans="1:35" ht="15.75" x14ac:dyDescent="0.25">
      <c r="A296" s="185"/>
      <c r="B296" s="186"/>
      <c r="C296" s="184"/>
      <c r="D296" s="211" t="s">
        <v>750</v>
      </c>
      <c r="E296" s="212"/>
      <c r="F296" s="212"/>
      <c r="G296" s="212"/>
      <c r="H296" s="212"/>
      <c r="I296" s="213"/>
      <c r="J296" s="66"/>
      <c r="K296" s="214">
        <f t="shared" si="26"/>
        <v>32.340000000000003</v>
      </c>
      <c r="L296" s="215"/>
      <c r="M296" s="214"/>
      <c r="N296" s="215"/>
      <c r="O296" s="214">
        <v>1</v>
      </c>
      <c r="P296" s="215"/>
      <c r="Q296" s="214"/>
      <c r="R296" s="215"/>
      <c r="S296" s="214"/>
      <c r="T296" s="215"/>
      <c r="U296" s="214"/>
      <c r="V296" s="215"/>
      <c r="W296" s="208">
        <f t="shared" si="24"/>
        <v>32.340000000000003</v>
      </c>
      <c r="X296" s="209"/>
      <c r="Y296" s="210"/>
      <c r="Z296" s="208">
        <f t="shared" si="25"/>
        <v>4.9803600000000001</v>
      </c>
      <c r="AA296" s="209"/>
      <c r="AB296" s="210"/>
      <c r="AC296" s="54"/>
      <c r="AD296" s="55"/>
      <c r="AE296" s="56"/>
      <c r="AF296" s="54"/>
      <c r="AG296" s="55"/>
      <c r="AH296" s="57"/>
    </row>
    <row r="297" spans="1:35" ht="15.75" x14ac:dyDescent="0.25">
      <c r="A297" s="185"/>
      <c r="B297" s="186"/>
      <c r="C297" s="184"/>
      <c r="D297" s="211" t="s">
        <v>751</v>
      </c>
      <c r="E297" s="212"/>
      <c r="F297" s="212"/>
      <c r="G297" s="212"/>
      <c r="H297" s="212"/>
      <c r="I297" s="213"/>
      <c r="J297" s="66"/>
      <c r="K297" s="214">
        <f t="shared" si="26"/>
        <v>32.340000000000003</v>
      </c>
      <c r="L297" s="215"/>
      <c r="M297" s="214"/>
      <c r="N297" s="215"/>
      <c r="O297" s="214">
        <v>1</v>
      </c>
      <c r="P297" s="215"/>
      <c r="Q297" s="214"/>
      <c r="R297" s="215"/>
      <c r="S297" s="214"/>
      <c r="T297" s="215"/>
      <c r="U297" s="214"/>
      <c r="V297" s="215"/>
      <c r="W297" s="208">
        <f t="shared" si="24"/>
        <v>32.340000000000003</v>
      </c>
      <c r="X297" s="209"/>
      <c r="Y297" s="210"/>
      <c r="Z297" s="208">
        <f t="shared" si="25"/>
        <v>4.9803600000000001</v>
      </c>
      <c r="AA297" s="209"/>
      <c r="AB297" s="210"/>
      <c r="AC297" s="54"/>
      <c r="AD297" s="55"/>
      <c r="AE297" s="56"/>
      <c r="AF297" s="54"/>
      <c r="AG297" s="55"/>
      <c r="AH297" s="57"/>
    </row>
    <row r="298" spans="1:35" ht="15.75" x14ac:dyDescent="0.25">
      <c r="A298" s="185"/>
      <c r="B298" s="186"/>
      <c r="C298" s="184"/>
      <c r="D298" s="211" t="s">
        <v>752</v>
      </c>
      <c r="E298" s="212"/>
      <c r="F298" s="212"/>
      <c r="G298" s="212"/>
      <c r="H298" s="212"/>
      <c r="I298" s="213"/>
      <c r="J298" s="66"/>
      <c r="K298" s="214">
        <f>((29*0.29)+(29*0.87)+(13*0.29)+(13*0.87))</f>
        <v>48.72</v>
      </c>
      <c r="L298" s="215"/>
      <c r="M298" s="214"/>
      <c r="N298" s="215"/>
      <c r="O298" s="214">
        <v>1</v>
      </c>
      <c r="P298" s="215"/>
      <c r="Q298" s="214"/>
      <c r="R298" s="215"/>
      <c r="S298" s="214"/>
      <c r="T298" s="215"/>
      <c r="U298" s="214"/>
      <c r="V298" s="215"/>
      <c r="W298" s="208">
        <f t="shared" si="24"/>
        <v>48.72</v>
      </c>
      <c r="X298" s="209"/>
      <c r="Y298" s="210"/>
      <c r="Z298" s="208">
        <f t="shared" si="25"/>
        <v>7.5028799999999993</v>
      </c>
      <c r="AA298" s="209"/>
      <c r="AB298" s="210"/>
      <c r="AC298" s="54"/>
      <c r="AD298" s="55"/>
      <c r="AE298" s="56"/>
      <c r="AF298" s="54"/>
      <c r="AG298" s="55"/>
      <c r="AH298" s="57"/>
    </row>
    <row r="299" spans="1:35" ht="15.75" x14ac:dyDescent="0.25">
      <c r="A299" s="185"/>
      <c r="B299" s="186"/>
      <c r="C299" s="184"/>
      <c r="D299" s="211" t="s">
        <v>753</v>
      </c>
      <c r="E299" s="212"/>
      <c r="F299" s="212"/>
      <c r="G299" s="212"/>
      <c r="H299" s="212"/>
      <c r="I299" s="213"/>
      <c r="J299" s="66"/>
      <c r="K299" s="214">
        <f>((29*0.29)+(29*0.87)+(13*0.29)+(13*0.87))</f>
        <v>48.72</v>
      </c>
      <c r="L299" s="215"/>
      <c r="M299" s="214"/>
      <c r="N299" s="215"/>
      <c r="O299" s="214">
        <v>1</v>
      </c>
      <c r="P299" s="215"/>
      <c r="Q299" s="214"/>
      <c r="R299" s="215"/>
      <c r="S299" s="214"/>
      <c r="T299" s="215"/>
      <c r="U299" s="214"/>
      <c r="V299" s="215"/>
      <c r="W299" s="208">
        <f t="shared" si="24"/>
        <v>48.72</v>
      </c>
      <c r="X299" s="209"/>
      <c r="Y299" s="210"/>
      <c r="Z299" s="208">
        <f t="shared" si="25"/>
        <v>7.5028799999999993</v>
      </c>
      <c r="AA299" s="209"/>
      <c r="AB299" s="210"/>
      <c r="AC299" s="54"/>
      <c r="AD299" s="55"/>
      <c r="AE299" s="56"/>
      <c r="AF299" s="54"/>
      <c r="AG299" s="55"/>
      <c r="AH299" s="57"/>
    </row>
    <row r="300" spans="1:35" ht="15.75" x14ac:dyDescent="0.25">
      <c r="A300" s="185"/>
      <c r="B300" s="186"/>
      <c r="C300" s="184"/>
      <c r="D300" s="211" t="s">
        <v>754</v>
      </c>
      <c r="E300" s="212"/>
      <c r="F300" s="212"/>
      <c r="G300" s="212"/>
      <c r="H300" s="212"/>
      <c r="I300" s="213"/>
      <c r="J300" s="66"/>
      <c r="K300" s="214">
        <f>((29*0.77)+(13*0.77))</f>
        <v>32.340000000000003</v>
      </c>
      <c r="L300" s="215"/>
      <c r="M300" s="214"/>
      <c r="N300" s="215"/>
      <c r="O300" s="214">
        <v>1</v>
      </c>
      <c r="P300" s="215"/>
      <c r="Q300" s="214"/>
      <c r="R300" s="215"/>
      <c r="S300" s="214"/>
      <c r="T300" s="215"/>
      <c r="U300" s="214"/>
      <c r="V300" s="215"/>
      <c r="W300" s="208">
        <f t="shared" si="24"/>
        <v>32.340000000000003</v>
      </c>
      <c r="X300" s="209"/>
      <c r="Y300" s="210"/>
      <c r="Z300" s="208">
        <f t="shared" si="25"/>
        <v>4.9803600000000001</v>
      </c>
      <c r="AA300" s="209"/>
      <c r="AB300" s="210"/>
      <c r="AC300" s="54"/>
      <c r="AD300" s="55"/>
      <c r="AE300" s="56"/>
      <c r="AF300" s="54"/>
      <c r="AG300" s="55"/>
      <c r="AH300" s="57"/>
    </row>
    <row r="301" spans="1:35" ht="15.75" x14ac:dyDescent="0.25">
      <c r="A301" s="185"/>
      <c r="B301" s="186"/>
      <c r="C301" s="184"/>
      <c r="D301" s="211" t="s">
        <v>755</v>
      </c>
      <c r="E301" s="212"/>
      <c r="F301" s="212"/>
      <c r="G301" s="212"/>
      <c r="H301" s="212"/>
      <c r="I301" s="213"/>
      <c r="J301" s="66"/>
      <c r="K301" s="214">
        <f>((29*0.77)+(13*0.77))</f>
        <v>32.340000000000003</v>
      </c>
      <c r="L301" s="215"/>
      <c r="M301" s="214"/>
      <c r="N301" s="215"/>
      <c r="O301" s="214">
        <v>1</v>
      </c>
      <c r="P301" s="215"/>
      <c r="Q301" s="214"/>
      <c r="R301" s="215"/>
      <c r="S301" s="214"/>
      <c r="T301" s="215"/>
      <c r="U301" s="214"/>
      <c r="V301" s="215"/>
      <c r="W301" s="208">
        <f t="shared" si="24"/>
        <v>32.340000000000003</v>
      </c>
      <c r="X301" s="209"/>
      <c r="Y301" s="210"/>
      <c r="Z301" s="208">
        <f t="shared" si="25"/>
        <v>4.9803600000000001</v>
      </c>
      <c r="AA301" s="209"/>
      <c r="AB301" s="210"/>
      <c r="AC301" s="54"/>
      <c r="AD301" s="55"/>
      <c r="AE301" s="56"/>
      <c r="AF301" s="54"/>
      <c r="AG301" s="55"/>
      <c r="AH301" s="57"/>
    </row>
    <row r="302" spans="1:35" ht="15.75" x14ac:dyDescent="0.25">
      <c r="A302" s="185"/>
      <c r="B302" s="186"/>
      <c r="C302" s="184"/>
      <c r="D302" s="211" t="s">
        <v>756</v>
      </c>
      <c r="E302" s="212"/>
      <c r="F302" s="212"/>
      <c r="G302" s="212"/>
      <c r="H302" s="212"/>
      <c r="I302" s="213"/>
      <c r="J302" s="66"/>
      <c r="K302" s="214">
        <f>((29*0.77)+(13*0.77))</f>
        <v>32.340000000000003</v>
      </c>
      <c r="L302" s="215"/>
      <c r="M302" s="214"/>
      <c r="N302" s="215"/>
      <c r="O302" s="214">
        <v>1</v>
      </c>
      <c r="P302" s="215"/>
      <c r="Q302" s="214"/>
      <c r="R302" s="215"/>
      <c r="S302" s="214"/>
      <c r="T302" s="215"/>
      <c r="U302" s="214"/>
      <c r="V302" s="215"/>
      <c r="W302" s="208">
        <f t="shared" si="24"/>
        <v>32.340000000000003</v>
      </c>
      <c r="X302" s="209"/>
      <c r="Y302" s="210"/>
      <c r="Z302" s="208">
        <f t="shared" si="25"/>
        <v>4.9803600000000001</v>
      </c>
      <c r="AA302" s="209"/>
      <c r="AB302" s="210"/>
      <c r="AC302" s="54"/>
      <c r="AD302" s="55"/>
      <c r="AE302" s="56"/>
      <c r="AF302" s="54"/>
      <c r="AG302" s="55"/>
      <c r="AH302" s="57"/>
    </row>
    <row r="303" spans="1:35" ht="15.75" x14ac:dyDescent="0.25">
      <c r="A303" s="185"/>
      <c r="B303" s="186"/>
      <c r="C303" s="184"/>
      <c r="D303" s="211" t="s">
        <v>757</v>
      </c>
      <c r="E303" s="212"/>
      <c r="F303" s="212"/>
      <c r="G303" s="212"/>
      <c r="H303" s="212"/>
      <c r="I303" s="213"/>
      <c r="J303" s="66"/>
      <c r="K303" s="214">
        <f>((29*0.77)+(13*0.77))</f>
        <v>32.340000000000003</v>
      </c>
      <c r="L303" s="215"/>
      <c r="M303" s="214"/>
      <c r="N303" s="215"/>
      <c r="O303" s="214">
        <v>1</v>
      </c>
      <c r="P303" s="215"/>
      <c r="Q303" s="183"/>
      <c r="R303" s="184"/>
      <c r="S303" s="183"/>
      <c r="T303" s="184"/>
      <c r="U303" s="183"/>
      <c r="V303" s="184"/>
      <c r="W303" s="208">
        <f t="shared" si="24"/>
        <v>32.340000000000003</v>
      </c>
      <c r="X303" s="209"/>
      <c r="Y303" s="210"/>
      <c r="Z303" s="208">
        <f t="shared" si="25"/>
        <v>4.9803600000000001</v>
      </c>
      <c r="AA303" s="209"/>
      <c r="AB303" s="210"/>
      <c r="AC303" s="54"/>
      <c r="AD303" s="55"/>
      <c r="AE303" s="56"/>
      <c r="AF303" s="54"/>
      <c r="AG303" s="55"/>
      <c r="AH303" s="57"/>
    </row>
    <row r="304" spans="1:35" ht="15.75" x14ac:dyDescent="0.25">
      <c r="A304" s="189" t="str">
        <f>'MEMORIA BM 08'!A43</f>
        <v>5.6</v>
      </c>
      <c r="B304" s="190"/>
      <c r="C304" s="191"/>
      <c r="D304" s="218" t="str">
        <f>'MEMORIA BM 08'!B43</f>
        <v>CONCRETO FCK = 25MPA, TRAÇO 1:2,3:2,7 (EM MASSA SECA DE CIMENTO/ AREIA MÉDIA/ BRITA 1) - PREPARO MECÂNICO COM BETONEIRA 600 L. AF_05/2021</v>
      </c>
      <c r="E304" s="219"/>
      <c r="F304" s="219"/>
      <c r="G304" s="219"/>
      <c r="H304" s="219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20"/>
      <c r="AC304" s="195">
        <f>SUM(Z305:AB397)</f>
        <v>18.993500000000022</v>
      </c>
      <c r="AD304" s="190"/>
      <c r="AE304" s="191"/>
      <c r="AF304" s="195" t="str">
        <f>'MEMORIA BM 08'!C43</f>
        <v>M3</v>
      </c>
      <c r="AG304" s="190"/>
      <c r="AH304" s="196"/>
      <c r="AI304">
        <v>18.989999999999998</v>
      </c>
    </row>
    <row r="305" spans="1:34" ht="15.75" x14ac:dyDescent="0.25">
      <c r="A305" s="185"/>
      <c r="B305" s="186"/>
      <c r="C305" s="184"/>
      <c r="D305" s="216" t="s">
        <v>665</v>
      </c>
      <c r="E305" s="217"/>
      <c r="F305" s="217"/>
      <c r="G305" s="217"/>
      <c r="H305" s="217"/>
      <c r="I305" s="217"/>
      <c r="J305" s="66"/>
      <c r="K305" s="214">
        <v>0.15</v>
      </c>
      <c r="L305" s="215"/>
      <c r="M305" s="214"/>
      <c r="N305" s="215"/>
      <c r="O305" s="214">
        <v>0.3</v>
      </c>
      <c r="P305" s="215"/>
      <c r="Q305" s="214"/>
      <c r="R305" s="215"/>
      <c r="S305" s="214">
        <f t="shared" ref="S305:S312" si="27">3.4+1.5</f>
        <v>4.9000000000000004</v>
      </c>
      <c r="T305" s="215"/>
      <c r="U305" s="214"/>
      <c r="V305" s="215"/>
      <c r="W305" s="180">
        <f>K305*O305</f>
        <v>4.4999999999999998E-2</v>
      </c>
      <c r="X305" s="181"/>
      <c r="Y305" s="182"/>
      <c r="Z305" s="180">
        <f>W305*S305</f>
        <v>0.2205</v>
      </c>
      <c r="AA305" s="181"/>
      <c r="AB305" s="182"/>
      <c r="AC305" s="54"/>
      <c r="AD305" s="55"/>
      <c r="AE305" s="56"/>
      <c r="AF305" s="54"/>
      <c r="AG305" s="55"/>
      <c r="AH305" s="57"/>
    </row>
    <row r="306" spans="1:34" ht="15.75" x14ac:dyDescent="0.25">
      <c r="A306" s="185"/>
      <c r="B306" s="186"/>
      <c r="C306" s="184"/>
      <c r="D306" s="216" t="s">
        <v>666</v>
      </c>
      <c r="E306" s="217"/>
      <c r="F306" s="217"/>
      <c r="G306" s="217"/>
      <c r="H306" s="217"/>
      <c r="I306" s="217"/>
      <c r="J306" s="66"/>
      <c r="K306" s="214">
        <v>0.2</v>
      </c>
      <c r="L306" s="215"/>
      <c r="M306" s="214"/>
      <c r="N306" s="215"/>
      <c r="O306" s="214">
        <v>0.3</v>
      </c>
      <c r="P306" s="215"/>
      <c r="Q306" s="214"/>
      <c r="R306" s="215"/>
      <c r="S306" s="214">
        <f t="shared" si="27"/>
        <v>4.9000000000000004</v>
      </c>
      <c r="T306" s="215"/>
      <c r="U306" s="214"/>
      <c r="V306" s="215"/>
      <c r="W306" s="208">
        <f t="shared" ref="W306:W368" si="28">K306*O306</f>
        <v>0.06</v>
      </c>
      <c r="X306" s="209"/>
      <c r="Y306" s="210"/>
      <c r="Z306" s="180">
        <f t="shared" ref="Z306:Z369" si="29">W306*S306</f>
        <v>0.29399999999999998</v>
      </c>
      <c r="AA306" s="181"/>
      <c r="AB306" s="182"/>
      <c r="AC306" s="54"/>
      <c r="AD306" s="55"/>
      <c r="AE306" s="56"/>
      <c r="AF306" s="54"/>
      <c r="AG306" s="55"/>
      <c r="AH306" s="57"/>
    </row>
    <row r="307" spans="1:34" ht="15.75" x14ac:dyDescent="0.25">
      <c r="A307" s="185"/>
      <c r="B307" s="186"/>
      <c r="C307" s="184"/>
      <c r="D307" s="216" t="s">
        <v>667</v>
      </c>
      <c r="E307" s="217"/>
      <c r="F307" s="217"/>
      <c r="G307" s="217"/>
      <c r="H307" s="217"/>
      <c r="I307" s="217"/>
      <c r="J307" s="66"/>
      <c r="K307" s="214">
        <v>0.2</v>
      </c>
      <c r="L307" s="215"/>
      <c r="M307" s="214"/>
      <c r="N307" s="215"/>
      <c r="O307" s="214">
        <v>0.3</v>
      </c>
      <c r="P307" s="215"/>
      <c r="Q307" s="214"/>
      <c r="R307" s="215"/>
      <c r="S307" s="214">
        <f t="shared" si="27"/>
        <v>4.9000000000000004</v>
      </c>
      <c r="T307" s="215"/>
      <c r="U307" s="214"/>
      <c r="V307" s="215"/>
      <c r="W307" s="208">
        <f t="shared" si="28"/>
        <v>0.06</v>
      </c>
      <c r="X307" s="209"/>
      <c r="Y307" s="210"/>
      <c r="Z307" s="180">
        <f t="shared" si="29"/>
        <v>0.29399999999999998</v>
      </c>
      <c r="AA307" s="181"/>
      <c r="AB307" s="182"/>
      <c r="AC307" s="54"/>
      <c r="AD307" s="55"/>
      <c r="AE307" s="56"/>
      <c r="AF307" s="54"/>
      <c r="AG307" s="55"/>
      <c r="AH307" s="57"/>
    </row>
    <row r="308" spans="1:34" ht="15.75" x14ac:dyDescent="0.25">
      <c r="A308" s="185"/>
      <c r="B308" s="186"/>
      <c r="C308" s="184"/>
      <c r="D308" s="216" t="s">
        <v>668</v>
      </c>
      <c r="E308" s="217"/>
      <c r="F308" s="217"/>
      <c r="G308" s="217"/>
      <c r="H308" s="217"/>
      <c r="I308" s="217"/>
      <c r="J308" s="66"/>
      <c r="K308" s="214">
        <v>0.2</v>
      </c>
      <c r="L308" s="215"/>
      <c r="M308" s="214"/>
      <c r="N308" s="215"/>
      <c r="O308" s="214">
        <v>0.3</v>
      </c>
      <c r="P308" s="215"/>
      <c r="Q308" s="214"/>
      <c r="R308" s="215"/>
      <c r="S308" s="214">
        <f t="shared" si="27"/>
        <v>4.9000000000000004</v>
      </c>
      <c r="T308" s="215"/>
      <c r="U308" s="214"/>
      <c r="V308" s="215"/>
      <c r="W308" s="208">
        <f t="shared" si="28"/>
        <v>0.06</v>
      </c>
      <c r="X308" s="209"/>
      <c r="Y308" s="210"/>
      <c r="Z308" s="180">
        <f t="shared" si="29"/>
        <v>0.29399999999999998</v>
      </c>
      <c r="AA308" s="181"/>
      <c r="AB308" s="182"/>
      <c r="AC308" s="54"/>
      <c r="AD308" s="55"/>
      <c r="AE308" s="56"/>
      <c r="AF308" s="54"/>
      <c r="AG308" s="55"/>
      <c r="AH308" s="57"/>
    </row>
    <row r="309" spans="1:34" ht="15.75" x14ac:dyDescent="0.25">
      <c r="A309" s="185"/>
      <c r="B309" s="186"/>
      <c r="C309" s="184"/>
      <c r="D309" s="216" t="s">
        <v>669</v>
      </c>
      <c r="E309" s="217"/>
      <c r="F309" s="217"/>
      <c r="G309" s="217"/>
      <c r="H309" s="217"/>
      <c r="I309" s="217"/>
      <c r="J309" s="66"/>
      <c r="K309" s="214">
        <v>0.15</v>
      </c>
      <c r="L309" s="215"/>
      <c r="M309" s="214"/>
      <c r="N309" s="215"/>
      <c r="O309" s="214">
        <v>0.3</v>
      </c>
      <c r="P309" s="215"/>
      <c r="Q309" s="214"/>
      <c r="R309" s="215"/>
      <c r="S309" s="214">
        <f t="shared" si="27"/>
        <v>4.9000000000000004</v>
      </c>
      <c r="T309" s="215"/>
      <c r="U309" s="183"/>
      <c r="V309" s="184"/>
      <c r="W309" s="208">
        <f t="shared" si="28"/>
        <v>4.4999999999999998E-2</v>
      </c>
      <c r="X309" s="209"/>
      <c r="Y309" s="210"/>
      <c r="Z309" s="180">
        <f t="shared" si="29"/>
        <v>0.2205</v>
      </c>
      <c r="AA309" s="181"/>
      <c r="AB309" s="182"/>
      <c r="AC309" s="54"/>
      <c r="AD309" s="55"/>
      <c r="AE309" s="56"/>
      <c r="AF309" s="54"/>
      <c r="AG309" s="55"/>
      <c r="AH309" s="57"/>
    </row>
    <row r="310" spans="1:34" ht="15.75" x14ac:dyDescent="0.25">
      <c r="A310" s="185"/>
      <c r="B310" s="186"/>
      <c r="C310" s="184"/>
      <c r="D310" s="216" t="s">
        <v>670</v>
      </c>
      <c r="E310" s="217"/>
      <c r="F310" s="217"/>
      <c r="G310" s="217"/>
      <c r="H310" s="217"/>
      <c r="I310" s="217"/>
      <c r="J310" s="66"/>
      <c r="K310" s="214">
        <v>0.15</v>
      </c>
      <c r="L310" s="215"/>
      <c r="M310" s="214"/>
      <c r="N310" s="215"/>
      <c r="O310" s="214">
        <v>0.3</v>
      </c>
      <c r="P310" s="215"/>
      <c r="Q310" s="214"/>
      <c r="R310" s="215"/>
      <c r="S310" s="214">
        <f t="shared" si="27"/>
        <v>4.9000000000000004</v>
      </c>
      <c r="T310" s="215"/>
      <c r="U310" s="214"/>
      <c r="V310" s="215"/>
      <c r="W310" s="208">
        <f t="shared" si="28"/>
        <v>4.4999999999999998E-2</v>
      </c>
      <c r="X310" s="209"/>
      <c r="Y310" s="210"/>
      <c r="Z310" s="180">
        <f t="shared" si="29"/>
        <v>0.2205</v>
      </c>
      <c r="AA310" s="181"/>
      <c r="AB310" s="182"/>
      <c r="AC310" s="54"/>
      <c r="AD310" s="55"/>
      <c r="AE310" s="56"/>
      <c r="AF310" s="54"/>
      <c r="AG310" s="55"/>
      <c r="AH310" s="57"/>
    </row>
    <row r="311" spans="1:34" ht="15.75" x14ac:dyDescent="0.25">
      <c r="A311" s="185"/>
      <c r="B311" s="186"/>
      <c r="C311" s="184"/>
      <c r="D311" s="216" t="s">
        <v>671</v>
      </c>
      <c r="E311" s="217"/>
      <c r="F311" s="217"/>
      <c r="G311" s="217"/>
      <c r="H311" s="217"/>
      <c r="I311" s="217"/>
      <c r="J311" s="66"/>
      <c r="K311" s="214">
        <v>0.15</v>
      </c>
      <c r="L311" s="215"/>
      <c r="M311" s="214"/>
      <c r="N311" s="215"/>
      <c r="O311" s="214">
        <v>0.3</v>
      </c>
      <c r="P311" s="215"/>
      <c r="Q311" s="214"/>
      <c r="R311" s="215"/>
      <c r="S311" s="214">
        <f t="shared" si="27"/>
        <v>4.9000000000000004</v>
      </c>
      <c r="T311" s="215"/>
      <c r="U311" s="214"/>
      <c r="V311" s="215"/>
      <c r="W311" s="208">
        <f t="shared" si="28"/>
        <v>4.4999999999999998E-2</v>
      </c>
      <c r="X311" s="209"/>
      <c r="Y311" s="210"/>
      <c r="Z311" s="180">
        <f t="shared" si="29"/>
        <v>0.2205</v>
      </c>
      <c r="AA311" s="181"/>
      <c r="AB311" s="182"/>
      <c r="AC311" s="54"/>
      <c r="AD311" s="55"/>
      <c r="AE311" s="56"/>
      <c r="AF311" s="54"/>
      <c r="AG311" s="55"/>
      <c r="AH311" s="57"/>
    </row>
    <row r="312" spans="1:34" ht="15.75" x14ac:dyDescent="0.25">
      <c r="A312" s="185"/>
      <c r="B312" s="186"/>
      <c r="C312" s="184"/>
      <c r="D312" s="216" t="s">
        <v>672</v>
      </c>
      <c r="E312" s="217"/>
      <c r="F312" s="217"/>
      <c r="G312" s="217"/>
      <c r="H312" s="217"/>
      <c r="I312" s="217"/>
      <c r="J312" s="66"/>
      <c r="K312" s="214">
        <v>0.15</v>
      </c>
      <c r="L312" s="215"/>
      <c r="M312" s="214"/>
      <c r="N312" s="215"/>
      <c r="O312" s="214">
        <v>0.3</v>
      </c>
      <c r="P312" s="215"/>
      <c r="Q312" s="214"/>
      <c r="R312" s="215"/>
      <c r="S312" s="214">
        <f t="shared" si="27"/>
        <v>4.9000000000000004</v>
      </c>
      <c r="T312" s="215"/>
      <c r="U312" s="214"/>
      <c r="V312" s="215"/>
      <c r="W312" s="208">
        <f t="shared" si="28"/>
        <v>4.4999999999999998E-2</v>
      </c>
      <c r="X312" s="209"/>
      <c r="Y312" s="210"/>
      <c r="Z312" s="180">
        <f t="shared" si="29"/>
        <v>0.2205</v>
      </c>
      <c r="AA312" s="181"/>
      <c r="AB312" s="182"/>
      <c r="AC312" s="54"/>
      <c r="AD312" s="55"/>
      <c r="AE312" s="56"/>
      <c r="AF312" s="54"/>
      <c r="AG312" s="55"/>
      <c r="AH312" s="57"/>
    </row>
    <row r="313" spans="1:34" ht="15.75" x14ac:dyDescent="0.25">
      <c r="A313" s="185"/>
      <c r="B313" s="186"/>
      <c r="C313" s="184"/>
      <c r="D313" s="216" t="s">
        <v>673</v>
      </c>
      <c r="E313" s="217"/>
      <c r="F313" s="217"/>
      <c r="G313" s="217"/>
      <c r="H313" s="217"/>
      <c r="I313" s="217"/>
      <c r="J313" s="66"/>
      <c r="K313" s="214">
        <v>0.15</v>
      </c>
      <c r="L313" s="215"/>
      <c r="M313" s="214"/>
      <c r="N313" s="215"/>
      <c r="O313" s="214">
        <v>0.3</v>
      </c>
      <c r="P313" s="215"/>
      <c r="Q313" s="214"/>
      <c r="R313" s="215"/>
      <c r="S313" s="214">
        <v>3.4</v>
      </c>
      <c r="T313" s="215"/>
      <c r="U313" s="214"/>
      <c r="V313" s="215"/>
      <c r="W313" s="208">
        <f t="shared" si="28"/>
        <v>4.4999999999999998E-2</v>
      </c>
      <c r="X313" s="209"/>
      <c r="Y313" s="210"/>
      <c r="Z313" s="180">
        <f t="shared" si="29"/>
        <v>0.153</v>
      </c>
      <c r="AA313" s="181"/>
      <c r="AB313" s="182"/>
      <c r="AC313" s="54"/>
      <c r="AD313" s="55"/>
      <c r="AE313" s="56"/>
      <c r="AF313" s="54"/>
      <c r="AG313" s="55"/>
      <c r="AH313" s="57"/>
    </row>
    <row r="314" spans="1:34" ht="15.75" x14ac:dyDescent="0.25">
      <c r="A314" s="185"/>
      <c r="B314" s="186"/>
      <c r="C314" s="184"/>
      <c r="D314" s="216" t="s">
        <v>674</v>
      </c>
      <c r="E314" s="217"/>
      <c r="F314" s="217"/>
      <c r="G314" s="217"/>
      <c r="H314" s="217"/>
      <c r="I314" s="217"/>
      <c r="J314" s="66"/>
      <c r="K314" s="214">
        <v>0.15</v>
      </c>
      <c r="L314" s="215"/>
      <c r="M314" s="214"/>
      <c r="N314" s="215"/>
      <c r="O314" s="214">
        <v>0.3</v>
      </c>
      <c r="P314" s="215"/>
      <c r="Q314" s="214"/>
      <c r="R314" s="215"/>
      <c r="S314" s="214">
        <v>4.9000000000000004</v>
      </c>
      <c r="T314" s="215"/>
      <c r="U314" s="214"/>
      <c r="V314" s="215"/>
      <c r="W314" s="208">
        <f t="shared" si="28"/>
        <v>4.4999999999999998E-2</v>
      </c>
      <c r="X314" s="209"/>
      <c r="Y314" s="210"/>
      <c r="Z314" s="180">
        <f t="shared" si="29"/>
        <v>0.2205</v>
      </c>
      <c r="AA314" s="181"/>
      <c r="AB314" s="182"/>
      <c r="AC314" s="54"/>
      <c r="AD314" s="55"/>
      <c r="AE314" s="56"/>
      <c r="AF314" s="54"/>
      <c r="AG314" s="55"/>
      <c r="AH314" s="57"/>
    </row>
    <row r="315" spans="1:34" ht="15.75" x14ac:dyDescent="0.25">
      <c r="A315" s="185"/>
      <c r="B315" s="186"/>
      <c r="C315" s="184"/>
      <c r="D315" s="216" t="s">
        <v>675</v>
      </c>
      <c r="E315" s="217"/>
      <c r="F315" s="217"/>
      <c r="G315" s="217"/>
      <c r="H315" s="217"/>
      <c r="I315" s="217"/>
      <c r="J315" s="66"/>
      <c r="K315" s="214">
        <v>0.15</v>
      </c>
      <c r="L315" s="215"/>
      <c r="M315" s="214"/>
      <c r="N315" s="215"/>
      <c r="O315" s="214">
        <v>0.3</v>
      </c>
      <c r="P315" s="215"/>
      <c r="Q315" s="214"/>
      <c r="R315" s="215"/>
      <c r="S315" s="214">
        <v>4.9000000000000004</v>
      </c>
      <c r="T315" s="215"/>
      <c r="U315" s="214"/>
      <c r="V315" s="215"/>
      <c r="W315" s="208">
        <f t="shared" si="28"/>
        <v>4.4999999999999998E-2</v>
      </c>
      <c r="X315" s="209"/>
      <c r="Y315" s="210"/>
      <c r="Z315" s="180">
        <f t="shared" si="29"/>
        <v>0.2205</v>
      </c>
      <c r="AA315" s="181"/>
      <c r="AB315" s="182"/>
      <c r="AC315" s="54"/>
      <c r="AD315" s="55"/>
      <c r="AE315" s="56"/>
      <c r="AF315" s="54"/>
      <c r="AG315" s="55"/>
      <c r="AH315" s="57"/>
    </row>
    <row r="316" spans="1:34" ht="15.75" x14ac:dyDescent="0.25">
      <c r="A316" s="185"/>
      <c r="B316" s="186"/>
      <c r="C316" s="184"/>
      <c r="D316" s="216" t="s">
        <v>676</v>
      </c>
      <c r="E316" s="217"/>
      <c r="F316" s="217"/>
      <c r="G316" s="217"/>
      <c r="H316" s="217"/>
      <c r="I316" s="217"/>
      <c r="J316" s="66"/>
      <c r="K316" s="214">
        <v>0.15</v>
      </c>
      <c r="L316" s="215"/>
      <c r="M316" s="214"/>
      <c r="N316" s="215"/>
      <c r="O316" s="214">
        <v>0.3</v>
      </c>
      <c r="P316" s="215"/>
      <c r="Q316" s="214"/>
      <c r="R316" s="215"/>
      <c r="S316" s="214">
        <v>3.4</v>
      </c>
      <c r="T316" s="215"/>
      <c r="U316" s="214"/>
      <c r="V316" s="215"/>
      <c r="W316" s="208">
        <f t="shared" si="28"/>
        <v>4.4999999999999998E-2</v>
      </c>
      <c r="X316" s="209"/>
      <c r="Y316" s="210"/>
      <c r="Z316" s="180">
        <f t="shared" si="29"/>
        <v>0.153</v>
      </c>
      <c r="AA316" s="181"/>
      <c r="AB316" s="182"/>
      <c r="AC316" s="54"/>
      <c r="AD316" s="55"/>
      <c r="AE316" s="56"/>
      <c r="AF316" s="54"/>
      <c r="AG316" s="55"/>
      <c r="AH316" s="57"/>
    </row>
    <row r="317" spans="1:34" ht="15.75" x14ac:dyDescent="0.25">
      <c r="A317" s="185"/>
      <c r="B317" s="186"/>
      <c r="C317" s="184"/>
      <c r="D317" s="216" t="s">
        <v>677</v>
      </c>
      <c r="E317" s="217"/>
      <c r="F317" s="217"/>
      <c r="G317" s="217"/>
      <c r="H317" s="217"/>
      <c r="I317" s="217"/>
      <c r="J317" s="66"/>
      <c r="K317" s="183">
        <v>0.2</v>
      </c>
      <c r="L317" s="184"/>
      <c r="M317" s="183"/>
      <c r="N317" s="184"/>
      <c r="O317" s="214">
        <v>0.3</v>
      </c>
      <c r="P317" s="215"/>
      <c r="Q317" s="183"/>
      <c r="R317" s="184"/>
      <c r="S317" s="183">
        <v>3.4</v>
      </c>
      <c r="T317" s="184"/>
      <c r="U317" s="183"/>
      <c r="V317" s="184"/>
      <c r="W317" s="208">
        <f t="shared" si="28"/>
        <v>0.06</v>
      </c>
      <c r="X317" s="209"/>
      <c r="Y317" s="210"/>
      <c r="Z317" s="180">
        <f t="shared" si="29"/>
        <v>0.20399999999999999</v>
      </c>
      <c r="AA317" s="181"/>
      <c r="AB317" s="182"/>
      <c r="AC317" s="54"/>
      <c r="AD317" s="55"/>
      <c r="AE317" s="56"/>
      <c r="AF317" s="54"/>
      <c r="AG317" s="55"/>
      <c r="AH317" s="57"/>
    </row>
    <row r="318" spans="1:34" ht="15.75" x14ac:dyDescent="0.25">
      <c r="A318" s="185"/>
      <c r="B318" s="186"/>
      <c r="C318" s="184"/>
      <c r="D318" s="211" t="s">
        <v>678</v>
      </c>
      <c r="E318" s="212"/>
      <c r="F318" s="212"/>
      <c r="G318" s="212"/>
      <c r="H318" s="212"/>
      <c r="I318" s="213"/>
      <c r="J318" s="66"/>
      <c r="K318" s="214">
        <v>0.15</v>
      </c>
      <c r="L318" s="215"/>
      <c r="M318" s="214"/>
      <c r="N318" s="215"/>
      <c r="O318" s="214">
        <v>0.3</v>
      </c>
      <c r="P318" s="215"/>
      <c r="Q318" s="214"/>
      <c r="R318" s="215"/>
      <c r="S318" s="214">
        <v>3.4</v>
      </c>
      <c r="T318" s="215"/>
      <c r="U318" s="214"/>
      <c r="V318" s="215"/>
      <c r="W318" s="208">
        <f t="shared" si="28"/>
        <v>4.4999999999999998E-2</v>
      </c>
      <c r="X318" s="209"/>
      <c r="Y318" s="210"/>
      <c r="Z318" s="180">
        <f t="shared" si="29"/>
        <v>0.153</v>
      </c>
      <c r="AA318" s="181"/>
      <c r="AB318" s="182"/>
      <c r="AC318" s="54"/>
      <c r="AD318" s="55"/>
      <c r="AE318" s="56"/>
      <c r="AF318" s="54"/>
      <c r="AG318" s="55"/>
      <c r="AH318" s="57"/>
    </row>
    <row r="319" spans="1:34" ht="15.75" x14ac:dyDescent="0.25">
      <c r="A319" s="185"/>
      <c r="B319" s="186"/>
      <c r="C319" s="184"/>
      <c r="D319" s="211" t="s">
        <v>680</v>
      </c>
      <c r="E319" s="212"/>
      <c r="F319" s="212"/>
      <c r="G319" s="212"/>
      <c r="H319" s="212"/>
      <c r="I319" s="213"/>
      <c r="J319" s="66"/>
      <c r="K319" s="214">
        <v>0.15</v>
      </c>
      <c r="L319" s="215"/>
      <c r="M319" s="214"/>
      <c r="N319" s="215"/>
      <c r="O319" s="214">
        <v>0.3</v>
      </c>
      <c r="P319" s="215"/>
      <c r="Q319" s="214"/>
      <c r="R319" s="215"/>
      <c r="S319" s="214">
        <v>3.4</v>
      </c>
      <c r="T319" s="215"/>
      <c r="U319" s="214"/>
      <c r="V319" s="215"/>
      <c r="W319" s="208">
        <f t="shared" si="28"/>
        <v>4.4999999999999998E-2</v>
      </c>
      <c r="X319" s="209"/>
      <c r="Y319" s="210"/>
      <c r="Z319" s="180">
        <f t="shared" si="29"/>
        <v>0.153</v>
      </c>
      <c r="AA319" s="181"/>
      <c r="AB319" s="182"/>
      <c r="AC319" s="54"/>
      <c r="AD319" s="55"/>
      <c r="AE319" s="56"/>
      <c r="AF319" s="54"/>
      <c r="AG319" s="55"/>
      <c r="AH319" s="57"/>
    </row>
    <row r="320" spans="1:34" ht="15.75" x14ac:dyDescent="0.25">
      <c r="A320" s="185"/>
      <c r="B320" s="186"/>
      <c r="C320" s="184"/>
      <c r="D320" s="211" t="s">
        <v>681</v>
      </c>
      <c r="E320" s="212"/>
      <c r="F320" s="212"/>
      <c r="G320" s="212"/>
      <c r="H320" s="212"/>
      <c r="I320" s="213"/>
      <c r="J320" s="66"/>
      <c r="K320" s="214">
        <v>0.15</v>
      </c>
      <c r="L320" s="215"/>
      <c r="M320" s="214"/>
      <c r="N320" s="215"/>
      <c r="O320" s="214">
        <v>0.3</v>
      </c>
      <c r="P320" s="215"/>
      <c r="Q320" s="214"/>
      <c r="R320" s="215"/>
      <c r="S320" s="214">
        <v>4.9000000000000004</v>
      </c>
      <c r="T320" s="215"/>
      <c r="U320" s="214"/>
      <c r="V320" s="215"/>
      <c r="W320" s="208">
        <f t="shared" si="28"/>
        <v>4.4999999999999998E-2</v>
      </c>
      <c r="X320" s="209"/>
      <c r="Y320" s="210"/>
      <c r="Z320" s="180">
        <f t="shared" si="29"/>
        <v>0.2205</v>
      </c>
      <c r="AA320" s="181"/>
      <c r="AB320" s="182"/>
      <c r="AC320" s="54"/>
      <c r="AD320" s="55"/>
      <c r="AE320" s="56"/>
      <c r="AF320" s="54"/>
      <c r="AG320" s="55"/>
      <c r="AH320" s="57"/>
    </row>
    <row r="321" spans="1:34" ht="15.75" x14ac:dyDescent="0.25">
      <c r="A321" s="185"/>
      <c r="B321" s="186"/>
      <c r="C321" s="184"/>
      <c r="D321" s="211" t="s">
        <v>682</v>
      </c>
      <c r="E321" s="212"/>
      <c r="F321" s="212"/>
      <c r="G321" s="212"/>
      <c r="H321" s="212"/>
      <c r="I321" s="213"/>
      <c r="J321" s="66"/>
      <c r="K321" s="214">
        <v>0.15</v>
      </c>
      <c r="L321" s="215"/>
      <c r="M321" s="214"/>
      <c r="N321" s="215"/>
      <c r="O321" s="214">
        <v>0.3</v>
      </c>
      <c r="P321" s="215"/>
      <c r="Q321" s="214"/>
      <c r="R321" s="215"/>
      <c r="S321" s="214">
        <v>3.4</v>
      </c>
      <c r="T321" s="215"/>
      <c r="U321" s="214"/>
      <c r="V321" s="215"/>
      <c r="W321" s="208">
        <f t="shared" si="28"/>
        <v>4.4999999999999998E-2</v>
      </c>
      <c r="X321" s="209"/>
      <c r="Y321" s="210"/>
      <c r="Z321" s="180">
        <f t="shared" si="29"/>
        <v>0.153</v>
      </c>
      <c r="AA321" s="181"/>
      <c r="AB321" s="182"/>
      <c r="AC321" s="54"/>
      <c r="AD321" s="55"/>
      <c r="AE321" s="56"/>
      <c r="AF321" s="54"/>
      <c r="AG321" s="55"/>
      <c r="AH321" s="57"/>
    </row>
    <row r="322" spans="1:34" ht="15.75" x14ac:dyDescent="0.25">
      <c r="A322" s="185"/>
      <c r="B322" s="186"/>
      <c r="C322" s="184"/>
      <c r="D322" s="211" t="s">
        <v>683</v>
      </c>
      <c r="E322" s="212"/>
      <c r="F322" s="212"/>
      <c r="G322" s="212"/>
      <c r="H322" s="212"/>
      <c r="I322" s="213"/>
      <c r="J322" s="66"/>
      <c r="K322" s="214">
        <v>0.15</v>
      </c>
      <c r="L322" s="215"/>
      <c r="M322" s="214"/>
      <c r="N322" s="215"/>
      <c r="O322" s="214">
        <v>0.3</v>
      </c>
      <c r="P322" s="215"/>
      <c r="Q322" s="214"/>
      <c r="R322" s="215"/>
      <c r="S322" s="214">
        <v>4.9000000000000004</v>
      </c>
      <c r="T322" s="215"/>
      <c r="U322" s="214"/>
      <c r="V322" s="215"/>
      <c r="W322" s="208">
        <f t="shared" si="28"/>
        <v>4.4999999999999998E-2</v>
      </c>
      <c r="X322" s="209"/>
      <c r="Y322" s="210"/>
      <c r="Z322" s="180">
        <f t="shared" si="29"/>
        <v>0.2205</v>
      </c>
      <c r="AA322" s="181"/>
      <c r="AB322" s="182"/>
      <c r="AC322" s="54"/>
      <c r="AD322" s="55"/>
      <c r="AE322" s="56"/>
      <c r="AF322" s="54"/>
      <c r="AG322" s="55"/>
      <c r="AH322" s="57"/>
    </row>
    <row r="323" spans="1:34" ht="15.75" x14ac:dyDescent="0.25">
      <c r="A323" s="185"/>
      <c r="B323" s="186"/>
      <c r="C323" s="184"/>
      <c r="D323" s="211" t="s">
        <v>679</v>
      </c>
      <c r="E323" s="212"/>
      <c r="F323" s="212"/>
      <c r="G323" s="212"/>
      <c r="H323" s="212"/>
      <c r="I323" s="213"/>
      <c r="J323" s="66"/>
      <c r="K323" s="214">
        <v>0.15</v>
      </c>
      <c r="L323" s="215"/>
      <c r="M323" s="214"/>
      <c r="N323" s="215"/>
      <c r="O323" s="214">
        <v>0.3</v>
      </c>
      <c r="P323" s="215"/>
      <c r="Q323" s="214"/>
      <c r="R323" s="215"/>
      <c r="S323" s="214">
        <v>3.4</v>
      </c>
      <c r="T323" s="215"/>
      <c r="U323" s="214"/>
      <c r="V323" s="215"/>
      <c r="W323" s="208">
        <f t="shared" si="28"/>
        <v>4.4999999999999998E-2</v>
      </c>
      <c r="X323" s="209"/>
      <c r="Y323" s="210"/>
      <c r="Z323" s="180">
        <f t="shared" si="29"/>
        <v>0.153</v>
      </c>
      <c r="AA323" s="181"/>
      <c r="AB323" s="182"/>
      <c r="AC323" s="54"/>
      <c r="AD323" s="55"/>
      <c r="AE323" s="56"/>
      <c r="AF323" s="54"/>
      <c r="AG323" s="55"/>
      <c r="AH323" s="57"/>
    </row>
    <row r="324" spans="1:34" ht="15.75" x14ac:dyDescent="0.25">
      <c r="A324" s="185"/>
      <c r="B324" s="186"/>
      <c r="C324" s="184"/>
      <c r="D324" s="211" t="s">
        <v>684</v>
      </c>
      <c r="E324" s="212"/>
      <c r="F324" s="212"/>
      <c r="G324" s="212"/>
      <c r="H324" s="212"/>
      <c r="I324" s="213"/>
      <c r="J324" s="66"/>
      <c r="K324" s="214">
        <v>0.15</v>
      </c>
      <c r="L324" s="215"/>
      <c r="M324" s="214"/>
      <c r="N324" s="215"/>
      <c r="O324" s="214">
        <v>0.3</v>
      </c>
      <c r="P324" s="215"/>
      <c r="Q324" s="214"/>
      <c r="R324" s="215"/>
      <c r="S324" s="214">
        <v>4.9000000000000004</v>
      </c>
      <c r="T324" s="215"/>
      <c r="U324" s="214"/>
      <c r="V324" s="215"/>
      <c r="W324" s="208">
        <f t="shared" si="28"/>
        <v>4.4999999999999998E-2</v>
      </c>
      <c r="X324" s="209"/>
      <c r="Y324" s="210"/>
      <c r="Z324" s="180">
        <f t="shared" si="29"/>
        <v>0.2205</v>
      </c>
      <c r="AA324" s="181"/>
      <c r="AB324" s="182"/>
      <c r="AC324" s="54"/>
      <c r="AD324" s="55"/>
      <c r="AE324" s="56"/>
      <c r="AF324" s="54"/>
      <c r="AG324" s="55"/>
      <c r="AH324" s="57"/>
    </row>
    <row r="325" spans="1:34" ht="15.75" x14ac:dyDescent="0.25">
      <c r="A325" s="185"/>
      <c r="B325" s="186"/>
      <c r="C325" s="184"/>
      <c r="D325" s="211" t="s">
        <v>685</v>
      </c>
      <c r="E325" s="212"/>
      <c r="F325" s="212"/>
      <c r="G325" s="212"/>
      <c r="H325" s="212"/>
      <c r="I325" s="213"/>
      <c r="J325" s="66"/>
      <c r="K325" s="183">
        <v>0.15</v>
      </c>
      <c r="L325" s="184"/>
      <c r="M325" s="183"/>
      <c r="N325" s="184"/>
      <c r="O325" s="214">
        <v>0.4</v>
      </c>
      <c r="P325" s="215"/>
      <c r="Q325" s="183"/>
      <c r="R325" s="184"/>
      <c r="S325" s="183">
        <v>4.9000000000000004</v>
      </c>
      <c r="T325" s="184"/>
      <c r="U325" s="183"/>
      <c r="V325" s="184"/>
      <c r="W325" s="208">
        <f t="shared" si="28"/>
        <v>0.06</v>
      </c>
      <c r="X325" s="209"/>
      <c r="Y325" s="210"/>
      <c r="Z325" s="180">
        <f t="shared" si="29"/>
        <v>0.29399999999999998</v>
      </c>
      <c r="AA325" s="181"/>
      <c r="AB325" s="182"/>
      <c r="AC325" s="54"/>
      <c r="AD325" s="55"/>
      <c r="AE325" s="56"/>
      <c r="AF325" s="54"/>
      <c r="AG325" s="55"/>
      <c r="AH325" s="57"/>
    </row>
    <row r="326" spans="1:34" ht="15.75" x14ac:dyDescent="0.25">
      <c r="A326" s="185"/>
      <c r="B326" s="186"/>
      <c r="C326" s="184"/>
      <c r="D326" s="211" t="s">
        <v>686</v>
      </c>
      <c r="E326" s="212"/>
      <c r="F326" s="212"/>
      <c r="G326" s="212"/>
      <c r="H326" s="212"/>
      <c r="I326" s="213"/>
      <c r="J326" s="66"/>
      <c r="K326" s="214">
        <v>0.2</v>
      </c>
      <c r="L326" s="215"/>
      <c r="M326" s="214"/>
      <c r="N326" s="215"/>
      <c r="O326" s="214">
        <v>0.4</v>
      </c>
      <c r="P326" s="215"/>
      <c r="Q326" s="214"/>
      <c r="R326" s="215"/>
      <c r="S326" s="214">
        <v>3.4</v>
      </c>
      <c r="T326" s="215"/>
      <c r="U326" s="214"/>
      <c r="V326" s="215"/>
      <c r="W326" s="208">
        <f t="shared" si="28"/>
        <v>8.0000000000000016E-2</v>
      </c>
      <c r="X326" s="209"/>
      <c r="Y326" s="210"/>
      <c r="Z326" s="180">
        <f t="shared" si="29"/>
        <v>0.27200000000000002</v>
      </c>
      <c r="AA326" s="181"/>
      <c r="AB326" s="182"/>
      <c r="AC326" s="54"/>
      <c r="AD326" s="55"/>
      <c r="AE326" s="56"/>
      <c r="AF326" s="54"/>
      <c r="AG326" s="55"/>
      <c r="AH326" s="57"/>
    </row>
    <row r="327" spans="1:34" ht="15.75" x14ac:dyDescent="0.25">
      <c r="A327" s="185"/>
      <c r="B327" s="186"/>
      <c r="C327" s="184"/>
      <c r="D327" s="211" t="s">
        <v>687</v>
      </c>
      <c r="E327" s="212"/>
      <c r="F327" s="212"/>
      <c r="G327" s="212"/>
      <c r="H327" s="212"/>
      <c r="I327" s="213"/>
      <c r="J327" s="66"/>
      <c r="K327" s="214">
        <v>0.15</v>
      </c>
      <c r="L327" s="215"/>
      <c r="M327" s="214"/>
      <c r="N327" s="215"/>
      <c r="O327" s="214">
        <v>0.3</v>
      </c>
      <c r="P327" s="215"/>
      <c r="Q327" s="214"/>
      <c r="R327" s="215"/>
      <c r="S327" s="214">
        <v>4.9000000000000004</v>
      </c>
      <c r="T327" s="215"/>
      <c r="U327" s="214"/>
      <c r="V327" s="215"/>
      <c r="W327" s="208">
        <f t="shared" si="28"/>
        <v>4.4999999999999998E-2</v>
      </c>
      <c r="X327" s="209"/>
      <c r="Y327" s="210"/>
      <c r="Z327" s="180">
        <f t="shared" si="29"/>
        <v>0.2205</v>
      </c>
      <c r="AA327" s="181"/>
      <c r="AB327" s="182"/>
      <c r="AC327" s="54"/>
      <c r="AD327" s="55"/>
      <c r="AE327" s="56"/>
      <c r="AF327" s="54"/>
      <c r="AG327" s="55"/>
      <c r="AH327" s="57"/>
    </row>
    <row r="328" spans="1:34" ht="15.75" x14ac:dyDescent="0.25">
      <c r="A328" s="185"/>
      <c r="B328" s="186"/>
      <c r="C328" s="184"/>
      <c r="D328" s="211" t="s">
        <v>688</v>
      </c>
      <c r="E328" s="212"/>
      <c r="F328" s="212"/>
      <c r="G328" s="212"/>
      <c r="H328" s="212"/>
      <c r="I328" s="213"/>
      <c r="J328" s="66"/>
      <c r="K328" s="214">
        <v>0.15</v>
      </c>
      <c r="L328" s="215"/>
      <c r="M328" s="214"/>
      <c r="N328" s="215"/>
      <c r="O328" s="214">
        <v>0.3</v>
      </c>
      <c r="P328" s="215"/>
      <c r="Q328" s="214"/>
      <c r="R328" s="215"/>
      <c r="S328" s="214">
        <v>4.9000000000000004</v>
      </c>
      <c r="T328" s="215"/>
      <c r="U328" s="214"/>
      <c r="V328" s="215"/>
      <c r="W328" s="208">
        <f t="shared" si="28"/>
        <v>4.4999999999999998E-2</v>
      </c>
      <c r="X328" s="209"/>
      <c r="Y328" s="210"/>
      <c r="Z328" s="180">
        <f t="shared" si="29"/>
        <v>0.2205</v>
      </c>
      <c r="AA328" s="181"/>
      <c r="AB328" s="182"/>
      <c r="AC328" s="54"/>
      <c r="AD328" s="55"/>
      <c r="AE328" s="56"/>
      <c r="AF328" s="54"/>
      <c r="AG328" s="55"/>
      <c r="AH328" s="57"/>
    </row>
    <row r="329" spans="1:34" ht="15.75" x14ac:dyDescent="0.25">
      <c r="A329" s="185"/>
      <c r="B329" s="186"/>
      <c r="C329" s="184"/>
      <c r="D329" s="211" t="s">
        <v>689</v>
      </c>
      <c r="E329" s="212"/>
      <c r="F329" s="212"/>
      <c r="G329" s="212"/>
      <c r="H329" s="212"/>
      <c r="I329" s="213"/>
      <c r="J329" s="66"/>
      <c r="K329" s="214">
        <v>0.15</v>
      </c>
      <c r="L329" s="215"/>
      <c r="M329" s="214"/>
      <c r="N329" s="215"/>
      <c r="O329" s="214">
        <v>0.3</v>
      </c>
      <c r="P329" s="215"/>
      <c r="Q329" s="214"/>
      <c r="R329" s="215"/>
      <c r="S329" s="214">
        <v>4.9000000000000004</v>
      </c>
      <c r="T329" s="215"/>
      <c r="U329" s="214"/>
      <c r="V329" s="215"/>
      <c r="W329" s="208">
        <f t="shared" si="28"/>
        <v>4.4999999999999998E-2</v>
      </c>
      <c r="X329" s="209"/>
      <c r="Y329" s="210"/>
      <c r="Z329" s="180">
        <f t="shared" si="29"/>
        <v>0.2205</v>
      </c>
      <c r="AA329" s="181"/>
      <c r="AB329" s="182"/>
      <c r="AC329" s="54"/>
      <c r="AD329" s="55"/>
      <c r="AE329" s="56"/>
      <c r="AF329" s="54"/>
      <c r="AG329" s="55"/>
      <c r="AH329" s="57"/>
    </row>
    <row r="330" spans="1:34" ht="15.75" x14ac:dyDescent="0.25">
      <c r="A330" s="185"/>
      <c r="B330" s="186"/>
      <c r="C330" s="184"/>
      <c r="D330" s="211" t="s">
        <v>690</v>
      </c>
      <c r="E330" s="212"/>
      <c r="F330" s="212"/>
      <c r="G330" s="212"/>
      <c r="H330" s="212"/>
      <c r="I330" s="213"/>
      <c r="J330" s="66"/>
      <c r="K330" s="214">
        <v>0.15</v>
      </c>
      <c r="L330" s="215"/>
      <c r="M330" s="214"/>
      <c r="N330" s="215"/>
      <c r="O330" s="214">
        <v>0.3</v>
      </c>
      <c r="P330" s="215"/>
      <c r="Q330" s="214"/>
      <c r="R330" s="215"/>
      <c r="S330" s="214">
        <v>4.9000000000000004</v>
      </c>
      <c r="T330" s="215"/>
      <c r="U330" s="214"/>
      <c r="V330" s="215"/>
      <c r="W330" s="208">
        <f t="shared" si="28"/>
        <v>4.4999999999999998E-2</v>
      </c>
      <c r="X330" s="209"/>
      <c r="Y330" s="210"/>
      <c r="Z330" s="180">
        <f t="shared" si="29"/>
        <v>0.2205</v>
      </c>
      <c r="AA330" s="181"/>
      <c r="AB330" s="182"/>
      <c r="AC330" s="54"/>
      <c r="AD330" s="55"/>
      <c r="AE330" s="56"/>
      <c r="AF330" s="54"/>
      <c r="AG330" s="55"/>
      <c r="AH330" s="57"/>
    </row>
    <row r="331" spans="1:34" ht="15.75" x14ac:dyDescent="0.25">
      <c r="A331" s="185"/>
      <c r="B331" s="186"/>
      <c r="C331" s="184"/>
      <c r="D331" s="211" t="s">
        <v>691</v>
      </c>
      <c r="E331" s="212"/>
      <c r="F331" s="212"/>
      <c r="G331" s="212"/>
      <c r="H331" s="212"/>
      <c r="I331" s="213"/>
      <c r="J331" s="66"/>
      <c r="K331" s="214">
        <v>0.15</v>
      </c>
      <c r="L331" s="215"/>
      <c r="M331" s="214"/>
      <c r="N331" s="215"/>
      <c r="O331" s="214">
        <v>0.3</v>
      </c>
      <c r="P331" s="215"/>
      <c r="Q331" s="214"/>
      <c r="R331" s="215"/>
      <c r="S331" s="214">
        <v>4.9000000000000004</v>
      </c>
      <c r="T331" s="215"/>
      <c r="U331" s="214"/>
      <c r="V331" s="215"/>
      <c r="W331" s="208">
        <f t="shared" si="28"/>
        <v>4.4999999999999998E-2</v>
      </c>
      <c r="X331" s="209"/>
      <c r="Y331" s="210"/>
      <c r="Z331" s="180">
        <f t="shared" si="29"/>
        <v>0.2205</v>
      </c>
      <c r="AA331" s="181"/>
      <c r="AB331" s="182"/>
      <c r="AC331" s="54"/>
      <c r="AD331" s="55"/>
      <c r="AE331" s="56"/>
      <c r="AF331" s="54"/>
      <c r="AG331" s="55"/>
      <c r="AH331" s="57"/>
    </row>
    <row r="332" spans="1:34" ht="15.75" x14ac:dyDescent="0.25">
      <c r="A332" s="185"/>
      <c r="B332" s="186"/>
      <c r="C332" s="184"/>
      <c r="D332" s="211" t="s">
        <v>692</v>
      </c>
      <c r="E332" s="212"/>
      <c r="F332" s="212"/>
      <c r="G332" s="212"/>
      <c r="H332" s="212"/>
      <c r="I332" s="213"/>
      <c r="J332" s="66"/>
      <c r="K332" s="214">
        <v>0.15</v>
      </c>
      <c r="L332" s="215"/>
      <c r="M332" s="214"/>
      <c r="N332" s="215"/>
      <c r="O332" s="214">
        <v>0.3</v>
      </c>
      <c r="P332" s="215"/>
      <c r="Q332" s="214"/>
      <c r="R332" s="215"/>
      <c r="S332" s="214">
        <v>4.9000000000000004</v>
      </c>
      <c r="T332" s="215"/>
      <c r="U332" s="214"/>
      <c r="V332" s="215"/>
      <c r="W332" s="208">
        <f t="shared" si="28"/>
        <v>4.4999999999999998E-2</v>
      </c>
      <c r="X332" s="209"/>
      <c r="Y332" s="210"/>
      <c r="Z332" s="180">
        <f t="shared" si="29"/>
        <v>0.2205</v>
      </c>
      <c r="AA332" s="181"/>
      <c r="AB332" s="182"/>
      <c r="AC332" s="54"/>
      <c r="AD332" s="55"/>
      <c r="AE332" s="56"/>
      <c r="AF332" s="54"/>
      <c r="AG332" s="55"/>
      <c r="AH332" s="57"/>
    </row>
    <row r="333" spans="1:34" ht="15.75" x14ac:dyDescent="0.25">
      <c r="A333" s="185"/>
      <c r="B333" s="186"/>
      <c r="C333" s="184"/>
      <c r="D333" s="211" t="s">
        <v>693</v>
      </c>
      <c r="E333" s="212"/>
      <c r="F333" s="212"/>
      <c r="G333" s="212"/>
      <c r="H333" s="212"/>
      <c r="I333" s="213"/>
      <c r="J333" s="66"/>
      <c r="K333" s="214">
        <v>0.15</v>
      </c>
      <c r="L333" s="215"/>
      <c r="M333" s="214"/>
      <c r="N333" s="215"/>
      <c r="O333" s="214">
        <v>0.3</v>
      </c>
      <c r="P333" s="215"/>
      <c r="Q333" s="214"/>
      <c r="R333" s="215"/>
      <c r="S333" s="214">
        <v>4.9000000000000004</v>
      </c>
      <c r="T333" s="215"/>
      <c r="U333" s="183"/>
      <c r="V333" s="184"/>
      <c r="W333" s="208">
        <f t="shared" si="28"/>
        <v>4.4999999999999998E-2</v>
      </c>
      <c r="X333" s="209"/>
      <c r="Y333" s="210"/>
      <c r="Z333" s="180">
        <f t="shared" si="29"/>
        <v>0.2205</v>
      </c>
      <c r="AA333" s="181"/>
      <c r="AB333" s="182"/>
      <c r="AC333" s="54"/>
      <c r="AD333" s="55"/>
      <c r="AE333" s="56"/>
      <c r="AF333" s="54"/>
      <c r="AG333" s="55"/>
      <c r="AH333" s="57"/>
    </row>
    <row r="334" spans="1:34" ht="15.75" x14ac:dyDescent="0.25">
      <c r="A334" s="185"/>
      <c r="B334" s="186"/>
      <c r="C334" s="184"/>
      <c r="D334" s="211" t="s">
        <v>694</v>
      </c>
      <c r="E334" s="212"/>
      <c r="F334" s="212"/>
      <c r="G334" s="212"/>
      <c r="H334" s="212"/>
      <c r="I334" s="213"/>
      <c r="J334" s="66"/>
      <c r="K334" s="214">
        <v>0.15</v>
      </c>
      <c r="L334" s="215"/>
      <c r="M334" s="214"/>
      <c r="N334" s="215"/>
      <c r="O334" s="214">
        <v>0.3</v>
      </c>
      <c r="P334" s="215"/>
      <c r="Q334" s="214"/>
      <c r="R334" s="215"/>
      <c r="S334" s="214">
        <v>4.9000000000000004</v>
      </c>
      <c r="T334" s="215"/>
      <c r="U334" s="214"/>
      <c r="V334" s="215"/>
      <c r="W334" s="208">
        <f t="shared" si="28"/>
        <v>4.4999999999999998E-2</v>
      </c>
      <c r="X334" s="209"/>
      <c r="Y334" s="210"/>
      <c r="Z334" s="180">
        <f t="shared" si="29"/>
        <v>0.2205</v>
      </c>
      <c r="AA334" s="181"/>
      <c r="AB334" s="182"/>
      <c r="AC334" s="54"/>
      <c r="AD334" s="55"/>
      <c r="AE334" s="56"/>
      <c r="AF334" s="54"/>
      <c r="AG334" s="55"/>
      <c r="AH334" s="57"/>
    </row>
    <row r="335" spans="1:34" ht="15.75" x14ac:dyDescent="0.25">
      <c r="A335" s="185"/>
      <c r="B335" s="186"/>
      <c r="C335" s="184"/>
      <c r="D335" s="211" t="s">
        <v>695</v>
      </c>
      <c r="E335" s="212"/>
      <c r="F335" s="212"/>
      <c r="G335" s="212"/>
      <c r="H335" s="212"/>
      <c r="I335" s="213"/>
      <c r="J335" s="66"/>
      <c r="K335" s="214">
        <v>0.15</v>
      </c>
      <c r="L335" s="215"/>
      <c r="M335" s="214"/>
      <c r="N335" s="215"/>
      <c r="O335" s="214">
        <v>0.3</v>
      </c>
      <c r="P335" s="215"/>
      <c r="Q335" s="214"/>
      <c r="R335" s="215"/>
      <c r="S335" s="214">
        <v>4.9000000000000004</v>
      </c>
      <c r="T335" s="215"/>
      <c r="U335" s="214"/>
      <c r="V335" s="215"/>
      <c r="W335" s="208">
        <f t="shared" si="28"/>
        <v>4.4999999999999998E-2</v>
      </c>
      <c r="X335" s="209"/>
      <c r="Y335" s="210"/>
      <c r="Z335" s="180">
        <f t="shared" si="29"/>
        <v>0.2205</v>
      </c>
      <c r="AA335" s="181"/>
      <c r="AB335" s="182"/>
      <c r="AC335" s="54"/>
      <c r="AD335" s="55"/>
      <c r="AE335" s="56"/>
      <c r="AF335" s="54"/>
      <c r="AG335" s="55"/>
      <c r="AH335" s="57"/>
    </row>
    <row r="336" spans="1:34" ht="15.75" x14ac:dyDescent="0.25">
      <c r="A336" s="185"/>
      <c r="B336" s="186"/>
      <c r="C336" s="184"/>
      <c r="D336" s="211" t="s">
        <v>696</v>
      </c>
      <c r="E336" s="212"/>
      <c r="F336" s="212"/>
      <c r="G336" s="212"/>
      <c r="H336" s="212"/>
      <c r="I336" s="213"/>
      <c r="J336" s="66"/>
      <c r="K336" s="214">
        <v>0.15</v>
      </c>
      <c r="L336" s="215"/>
      <c r="M336" s="214"/>
      <c r="N336" s="215"/>
      <c r="O336" s="214">
        <v>0.3</v>
      </c>
      <c r="P336" s="215"/>
      <c r="Q336" s="214"/>
      <c r="R336" s="215"/>
      <c r="S336" s="214">
        <v>4.9000000000000004</v>
      </c>
      <c r="T336" s="215"/>
      <c r="U336" s="214"/>
      <c r="V336" s="215"/>
      <c r="W336" s="208">
        <f t="shared" si="28"/>
        <v>4.4999999999999998E-2</v>
      </c>
      <c r="X336" s="209"/>
      <c r="Y336" s="210"/>
      <c r="Z336" s="180">
        <f t="shared" si="29"/>
        <v>0.2205</v>
      </c>
      <c r="AA336" s="181"/>
      <c r="AB336" s="182"/>
      <c r="AC336" s="54"/>
      <c r="AD336" s="55"/>
      <c r="AE336" s="56"/>
      <c r="AF336" s="54"/>
      <c r="AG336" s="55"/>
      <c r="AH336" s="57"/>
    </row>
    <row r="337" spans="1:34" ht="15.75" x14ac:dyDescent="0.25">
      <c r="A337" s="185"/>
      <c r="B337" s="186"/>
      <c r="C337" s="184"/>
      <c r="D337" s="211" t="s">
        <v>697</v>
      </c>
      <c r="E337" s="212"/>
      <c r="F337" s="212"/>
      <c r="G337" s="212"/>
      <c r="H337" s="212"/>
      <c r="I337" s="213"/>
      <c r="J337" s="66"/>
      <c r="K337" s="214">
        <v>0.15</v>
      </c>
      <c r="L337" s="215"/>
      <c r="M337" s="214"/>
      <c r="N337" s="215"/>
      <c r="O337" s="214">
        <v>0.3</v>
      </c>
      <c r="P337" s="215"/>
      <c r="Q337" s="214"/>
      <c r="R337" s="215"/>
      <c r="S337" s="214">
        <v>4.9000000000000004</v>
      </c>
      <c r="T337" s="215"/>
      <c r="U337" s="214"/>
      <c r="V337" s="215"/>
      <c r="W337" s="208">
        <f t="shared" si="28"/>
        <v>4.4999999999999998E-2</v>
      </c>
      <c r="X337" s="209"/>
      <c r="Y337" s="210"/>
      <c r="Z337" s="180">
        <f t="shared" si="29"/>
        <v>0.2205</v>
      </c>
      <c r="AA337" s="181"/>
      <c r="AB337" s="182"/>
      <c r="AC337" s="54"/>
      <c r="AD337" s="55"/>
      <c r="AE337" s="56"/>
      <c r="AF337" s="54"/>
      <c r="AG337" s="55"/>
      <c r="AH337" s="57"/>
    </row>
    <row r="338" spans="1:34" ht="15.75" x14ac:dyDescent="0.25">
      <c r="A338" s="185"/>
      <c r="B338" s="186"/>
      <c r="C338" s="184"/>
      <c r="D338" s="211" t="s">
        <v>698</v>
      </c>
      <c r="E338" s="212"/>
      <c r="F338" s="212"/>
      <c r="G338" s="212"/>
      <c r="H338" s="212"/>
      <c r="I338" s="213"/>
      <c r="J338" s="66"/>
      <c r="K338" s="214">
        <v>0.15</v>
      </c>
      <c r="L338" s="215"/>
      <c r="M338" s="214"/>
      <c r="N338" s="215"/>
      <c r="O338" s="214">
        <v>0.3</v>
      </c>
      <c r="P338" s="215"/>
      <c r="Q338" s="214"/>
      <c r="R338" s="215"/>
      <c r="S338" s="214">
        <v>4.9000000000000004</v>
      </c>
      <c r="T338" s="215"/>
      <c r="U338" s="214"/>
      <c r="V338" s="215"/>
      <c r="W338" s="208">
        <f t="shared" si="28"/>
        <v>4.4999999999999998E-2</v>
      </c>
      <c r="X338" s="209"/>
      <c r="Y338" s="210"/>
      <c r="Z338" s="180">
        <f t="shared" si="29"/>
        <v>0.2205</v>
      </c>
      <c r="AA338" s="181"/>
      <c r="AB338" s="182"/>
      <c r="AC338" s="54"/>
      <c r="AD338" s="55"/>
      <c r="AE338" s="56"/>
      <c r="AF338" s="54"/>
      <c r="AG338" s="55"/>
      <c r="AH338" s="57"/>
    </row>
    <row r="339" spans="1:34" ht="15.75" x14ac:dyDescent="0.25">
      <c r="A339" s="185"/>
      <c r="B339" s="186"/>
      <c r="C339" s="184"/>
      <c r="D339" s="211" t="s">
        <v>699</v>
      </c>
      <c r="E339" s="212"/>
      <c r="F339" s="212"/>
      <c r="G339" s="212"/>
      <c r="H339" s="212"/>
      <c r="I339" s="213"/>
      <c r="J339" s="66"/>
      <c r="K339" s="214">
        <v>0.15</v>
      </c>
      <c r="L339" s="215"/>
      <c r="M339" s="214"/>
      <c r="N339" s="215"/>
      <c r="O339" s="214">
        <v>0.3</v>
      </c>
      <c r="P339" s="215"/>
      <c r="Q339" s="214"/>
      <c r="R339" s="215"/>
      <c r="S339" s="214">
        <v>4.9000000000000004</v>
      </c>
      <c r="T339" s="215"/>
      <c r="U339" s="214"/>
      <c r="V339" s="215"/>
      <c r="W339" s="208">
        <f t="shared" si="28"/>
        <v>4.4999999999999998E-2</v>
      </c>
      <c r="X339" s="209"/>
      <c r="Y339" s="210"/>
      <c r="Z339" s="180">
        <f t="shared" si="29"/>
        <v>0.2205</v>
      </c>
      <c r="AA339" s="181"/>
      <c r="AB339" s="182"/>
      <c r="AC339" s="54"/>
      <c r="AD339" s="55"/>
      <c r="AE339" s="56"/>
      <c r="AF339" s="54"/>
      <c r="AG339" s="55"/>
      <c r="AH339" s="57"/>
    </row>
    <row r="340" spans="1:34" ht="15.75" x14ac:dyDescent="0.25">
      <c r="A340" s="185"/>
      <c r="B340" s="186"/>
      <c r="C340" s="184"/>
      <c r="D340" s="211" t="s">
        <v>700</v>
      </c>
      <c r="E340" s="212"/>
      <c r="F340" s="212"/>
      <c r="G340" s="212"/>
      <c r="H340" s="212"/>
      <c r="I340" s="213"/>
      <c r="J340" s="66"/>
      <c r="K340" s="214">
        <v>0.15</v>
      </c>
      <c r="L340" s="215"/>
      <c r="M340" s="214"/>
      <c r="N340" s="215"/>
      <c r="O340" s="214">
        <v>0.3</v>
      </c>
      <c r="P340" s="215"/>
      <c r="Q340" s="214"/>
      <c r="R340" s="215"/>
      <c r="S340" s="214">
        <v>4.9000000000000004</v>
      </c>
      <c r="T340" s="215"/>
      <c r="U340" s="214"/>
      <c r="V340" s="215"/>
      <c r="W340" s="208">
        <f t="shared" si="28"/>
        <v>4.4999999999999998E-2</v>
      </c>
      <c r="X340" s="209"/>
      <c r="Y340" s="210"/>
      <c r="Z340" s="180">
        <f t="shared" si="29"/>
        <v>0.2205</v>
      </c>
      <c r="AA340" s="181"/>
      <c r="AB340" s="182"/>
      <c r="AC340" s="54"/>
      <c r="AD340" s="55"/>
      <c r="AE340" s="56"/>
      <c r="AF340" s="54"/>
      <c r="AG340" s="55"/>
      <c r="AH340" s="57"/>
    </row>
    <row r="341" spans="1:34" ht="15.75" x14ac:dyDescent="0.25">
      <c r="A341" s="185"/>
      <c r="B341" s="186"/>
      <c r="C341" s="184"/>
      <c r="D341" s="211" t="s">
        <v>701</v>
      </c>
      <c r="E341" s="212"/>
      <c r="F341" s="212"/>
      <c r="G341" s="212"/>
      <c r="H341" s="212"/>
      <c r="I341" s="213"/>
      <c r="J341" s="66"/>
      <c r="K341" s="214">
        <v>0.15</v>
      </c>
      <c r="L341" s="215"/>
      <c r="M341" s="214"/>
      <c r="N341" s="215"/>
      <c r="O341" s="214">
        <v>0.3</v>
      </c>
      <c r="P341" s="215"/>
      <c r="Q341" s="214"/>
      <c r="R341" s="215"/>
      <c r="S341" s="214">
        <v>4.9000000000000004</v>
      </c>
      <c r="T341" s="215"/>
      <c r="U341" s="183"/>
      <c r="V341" s="184"/>
      <c r="W341" s="208">
        <f t="shared" si="28"/>
        <v>4.4999999999999998E-2</v>
      </c>
      <c r="X341" s="209"/>
      <c r="Y341" s="210"/>
      <c r="Z341" s="180">
        <f t="shared" si="29"/>
        <v>0.2205</v>
      </c>
      <c r="AA341" s="181"/>
      <c r="AB341" s="182"/>
      <c r="AC341" s="54"/>
      <c r="AD341" s="55"/>
      <c r="AE341" s="56"/>
      <c r="AF341" s="54"/>
      <c r="AG341" s="55"/>
      <c r="AH341" s="57"/>
    </row>
    <row r="342" spans="1:34" ht="15.75" x14ac:dyDescent="0.25">
      <c r="A342" s="185"/>
      <c r="B342" s="186"/>
      <c r="C342" s="184"/>
      <c r="D342" s="211" t="s">
        <v>702</v>
      </c>
      <c r="E342" s="212"/>
      <c r="F342" s="212"/>
      <c r="G342" s="212"/>
      <c r="H342" s="212"/>
      <c r="I342" s="213"/>
      <c r="J342" s="66"/>
      <c r="K342" s="214">
        <v>0.15</v>
      </c>
      <c r="L342" s="215"/>
      <c r="M342" s="214"/>
      <c r="N342" s="215"/>
      <c r="O342" s="214">
        <v>0.3</v>
      </c>
      <c r="P342" s="215"/>
      <c r="Q342" s="214"/>
      <c r="R342" s="215"/>
      <c r="S342" s="214">
        <v>4.9000000000000004</v>
      </c>
      <c r="T342" s="215"/>
      <c r="U342" s="214"/>
      <c r="V342" s="215"/>
      <c r="W342" s="208">
        <f t="shared" si="28"/>
        <v>4.4999999999999998E-2</v>
      </c>
      <c r="X342" s="209"/>
      <c r="Y342" s="210"/>
      <c r="Z342" s="180">
        <f t="shared" si="29"/>
        <v>0.2205</v>
      </c>
      <c r="AA342" s="181"/>
      <c r="AB342" s="182"/>
      <c r="AC342" s="54"/>
      <c r="AD342" s="55"/>
      <c r="AE342" s="56"/>
      <c r="AF342" s="54"/>
      <c r="AG342" s="55"/>
      <c r="AH342" s="57"/>
    </row>
    <row r="343" spans="1:34" ht="15.75" x14ac:dyDescent="0.25">
      <c r="A343" s="185"/>
      <c r="B343" s="186"/>
      <c r="C343" s="184"/>
      <c r="D343" s="211" t="s">
        <v>703</v>
      </c>
      <c r="E343" s="212"/>
      <c r="F343" s="212"/>
      <c r="G343" s="212"/>
      <c r="H343" s="212"/>
      <c r="I343" s="213"/>
      <c r="J343" s="66"/>
      <c r="K343" s="214">
        <v>0.15</v>
      </c>
      <c r="L343" s="215"/>
      <c r="M343" s="214"/>
      <c r="N343" s="215"/>
      <c r="O343" s="214">
        <v>0.3</v>
      </c>
      <c r="P343" s="215"/>
      <c r="Q343" s="214"/>
      <c r="R343" s="215"/>
      <c r="S343" s="214">
        <v>4.9000000000000004</v>
      </c>
      <c r="T343" s="215"/>
      <c r="U343" s="214"/>
      <c r="V343" s="215"/>
      <c r="W343" s="208">
        <f t="shared" si="28"/>
        <v>4.4999999999999998E-2</v>
      </c>
      <c r="X343" s="209"/>
      <c r="Y343" s="210"/>
      <c r="Z343" s="180">
        <f t="shared" si="29"/>
        <v>0.2205</v>
      </c>
      <c r="AA343" s="181"/>
      <c r="AB343" s="182"/>
      <c r="AC343" s="54"/>
      <c r="AD343" s="55"/>
      <c r="AE343" s="56"/>
      <c r="AF343" s="54"/>
      <c r="AG343" s="55"/>
      <c r="AH343" s="57"/>
    </row>
    <row r="344" spans="1:34" ht="15.75" x14ac:dyDescent="0.25">
      <c r="A344" s="185"/>
      <c r="B344" s="186"/>
      <c r="C344" s="184"/>
      <c r="D344" s="211" t="s">
        <v>704</v>
      </c>
      <c r="E344" s="212"/>
      <c r="F344" s="212"/>
      <c r="G344" s="212"/>
      <c r="H344" s="212"/>
      <c r="I344" s="213"/>
      <c r="J344" s="66"/>
      <c r="K344" s="214">
        <v>0.15</v>
      </c>
      <c r="L344" s="215"/>
      <c r="M344" s="214"/>
      <c r="N344" s="215"/>
      <c r="O344" s="214">
        <v>0.3</v>
      </c>
      <c r="P344" s="215"/>
      <c r="Q344" s="214"/>
      <c r="R344" s="215"/>
      <c r="S344" s="214">
        <v>3.4</v>
      </c>
      <c r="T344" s="215"/>
      <c r="U344" s="214"/>
      <c r="V344" s="215"/>
      <c r="W344" s="208">
        <f t="shared" si="28"/>
        <v>4.4999999999999998E-2</v>
      </c>
      <c r="X344" s="209"/>
      <c r="Y344" s="210"/>
      <c r="Z344" s="180">
        <f t="shared" si="29"/>
        <v>0.153</v>
      </c>
      <c r="AA344" s="181"/>
      <c r="AB344" s="182"/>
      <c r="AC344" s="54"/>
      <c r="AD344" s="55"/>
      <c r="AE344" s="56"/>
      <c r="AF344" s="54"/>
      <c r="AG344" s="55"/>
      <c r="AH344" s="57"/>
    </row>
    <row r="345" spans="1:34" ht="15.75" x14ac:dyDescent="0.25">
      <c r="A345" s="185"/>
      <c r="B345" s="186"/>
      <c r="C345" s="184"/>
      <c r="D345" s="211" t="s">
        <v>705</v>
      </c>
      <c r="E345" s="212"/>
      <c r="F345" s="212"/>
      <c r="G345" s="212"/>
      <c r="H345" s="212"/>
      <c r="I345" s="213"/>
      <c r="J345" s="66"/>
      <c r="K345" s="214">
        <v>0.15</v>
      </c>
      <c r="L345" s="215"/>
      <c r="M345" s="214"/>
      <c r="N345" s="215"/>
      <c r="O345" s="214">
        <v>0.3</v>
      </c>
      <c r="P345" s="215"/>
      <c r="Q345" s="214"/>
      <c r="R345" s="215"/>
      <c r="S345" s="214">
        <v>3.4</v>
      </c>
      <c r="T345" s="215"/>
      <c r="U345" s="214"/>
      <c r="V345" s="215"/>
      <c r="W345" s="208">
        <f t="shared" si="28"/>
        <v>4.4999999999999998E-2</v>
      </c>
      <c r="X345" s="209"/>
      <c r="Y345" s="210"/>
      <c r="Z345" s="180">
        <f t="shared" si="29"/>
        <v>0.153</v>
      </c>
      <c r="AA345" s="181"/>
      <c r="AB345" s="182"/>
      <c r="AC345" s="54"/>
      <c r="AD345" s="55"/>
      <c r="AE345" s="56"/>
      <c r="AF345" s="54"/>
      <c r="AG345" s="55"/>
      <c r="AH345" s="57"/>
    </row>
    <row r="346" spans="1:34" ht="15.75" x14ac:dyDescent="0.25">
      <c r="A346" s="185"/>
      <c r="B346" s="186"/>
      <c r="C346" s="184"/>
      <c r="D346" s="211" t="s">
        <v>706</v>
      </c>
      <c r="E346" s="212"/>
      <c r="F346" s="212"/>
      <c r="G346" s="212"/>
      <c r="H346" s="212"/>
      <c r="I346" s="213"/>
      <c r="J346" s="66"/>
      <c r="K346" s="214">
        <v>0.15</v>
      </c>
      <c r="L346" s="215"/>
      <c r="M346" s="214"/>
      <c r="N346" s="215"/>
      <c r="O346" s="214">
        <v>0.3</v>
      </c>
      <c r="P346" s="215"/>
      <c r="Q346" s="214"/>
      <c r="R346" s="215"/>
      <c r="S346" s="214">
        <v>3.4</v>
      </c>
      <c r="T346" s="215"/>
      <c r="U346" s="214"/>
      <c r="V346" s="215"/>
      <c r="W346" s="208">
        <f t="shared" si="28"/>
        <v>4.4999999999999998E-2</v>
      </c>
      <c r="X346" s="209"/>
      <c r="Y346" s="210"/>
      <c r="Z346" s="180">
        <f t="shared" si="29"/>
        <v>0.153</v>
      </c>
      <c r="AA346" s="181"/>
      <c r="AB346" s="182"/>
      <c r="AC346" s="54"/>
      <c r="AD346" s="55"/>
      <c r="AE346" s="56"/>
      <c r="AF346" s="54"/>
      <c r="AG346" s="55"/>
      <c r="AH346" s="57"/>
    </row>
    <row r="347" spans="1:34" ht="15.75" x14ac:dyDescent="0.25">
      <c r="A347" s="185"/>
      <c r="B347" s="186"/>
      <c r="C347" s="184"/>
      <c r="D347" s="211" t="s">
        <v>707</v>
      </c>
      <c r="E347" s="212"/>
      <c r="F347" s="212"/>
      <c r="G347" s="212"/>
      <c r="H347" s="212"/>
      <c r="I347" s="213"/>
      <c r="J347" s="66"/>
      <c r="K347" s="214">
        <v>0.15</v>
      </c>
      <c r="L347" s="215"/>
      <c r="M347" s="214"/>
      <c r="N347" s="215"/>
      <c r="O347" s="214">
        <v>0.3</v>
      </c>
      <c r="P347" s="215"/>
      <c r="Q347" s="214"/>
      <c r="R347" s="215"/>
      <c r="S347" s="214">
        <v>3.4</v>
      </c>
      <c r="T347" s="215"/>
      <c r="U347" s="214"/>
      <c r="V347" s="215"/>
      <c r="W347" s="208">
        <f t="shared" si="28"/>
        <v>4.4999999999999998E-2</v>
      </c>
      <c r="X347" s="209"/>
      <c r="Y347" s="210"/>
      <c r="Z347" s="180">
        <f t="shared" si="29"/>
        <v>0.153</v>
      </c>
      <c r="AA347" s="181"/>
      <c r="AB347" s="182"/>
      <c r="AC347" s="54"/>
      <c r="AD347" s="55"/>
      <c r="AE347" s="56"/>
      <c r="AF347" s="54"/>
      <c r="AG347" s="55"/>
      <c r="AH347" s="57"/>
    </row>
    <row r="348" spans="1:34" ht="15.75" x14ac:dyDescent="0.25">
      <c r="A348" s="185"/>
      <c r="B348" s="186"/>
      <c r="C348" s="184"/>
      <c r="D348" s="211" t="s">
        <v>708</v>
      </c>
      <c r="E348" s="212"/>
      <c r="F348" s="212"/>
      <c r="G348" s="212"/>
      <c r="H348" s="212"/>
      <c r="I348" s="213"/>
      <c r="J348" s="66"/>
      <c r="K348" s="214">
        <v>0.15</v>
      </c>
      <c r="L348" s="215"/>
      <c r="M348" s="214"/>
      <c r="N348" s="215"/>
      <c r="O348" s="214">
        <v>0.3</v>
      </c>
      <c r="P348" s="215"/>
      <c r="Q348" s="214"/>
      <c r="R348" s="215"/>
      <c r="S348" s="214">
        <v>3.4</v>
      </c>
      <c r="T348" s="215"/>
      <c r="U348" s="214"/>
      <c r="V348" s="215"/>
      <c r="W348" s="208">
        <f t="shared" si="28"/>
        <v>4.4999999999999998E-2</v>
      </c>
      <c r="X348" s="209"/>
      <c r="Y348" s="210"/>
      <c r="Z348" s="180">
        <f t="shared" si="29"/>
        <v>0.153</v>
      </c>
      <c r="AA348" s="181"/>
      <c r="AB348" s="182"/>
      <c r="AC348" s="54"/>
      <c r="AD348" s="55"/>
      <c r="AE348" s="56"/>
      <c r="AF348" s="54"/>
      <c r="AG348" s="55"/>
      <c r="AH348" s="57"/>
    </row>
    <row r="349" spans="1:34" ht="15.75" x14ac:dyDescent="0.25">
      <c r="A349" s="185"/>
      <c r="B349" s="186"/>
      <c r="C349" s="184"/>
      <c r="D349" s="211" t="s">
        <v>709</v>
      </c>
      <c r="E349" s="212"/>
      <c r="F349" s="212"/>
      <c r="G349" s="212"/>
      <c r="H349" s="212"/>
      <c r="I349" s="213"/>
      <c r="J349" s="66"/>
      <c r="K349" s="214">
        <v>0.25</v>
      </c>
      <c r="L349" s="215"/>
      <c r="M349" s="214"/>
      <c r="N349" s="215"/>
      <c r="O349" s="214">
        <v>0.3</v>
      </c>
      <c r="P349" s="215"/>
      <c r="Q349" s="183"/>
      <c r="R349" s="184"/>
      <c r="S349" s="183">
        <v>3.4</v>
      </c>
      <c r="T349" s="184"/>
      <c r="U349" s="183"/>
      <c r="V349" s="184"/>
      <c r="W349" s="208">
        <f t="shared" si="28"/>
        <v>7.4999999999999997E-2</v>
      </c>
      <c r="X349" s="209"/>
      <c r="Y349" s="210"/>
      <c r="Z349" s="180">
        <f t="shared" si="29"/>
        <v>0.255</v>
      </c>
      <c r="AA349" s="181"/>
      <c r="AB349" s="182"/>
      <c r="AC349" s="54"/>
      <c r="AD349" s="55"/>
      <c r="AE349" s="56"/>
      <c r="AF349" s="54"/>
      <c r="AG349" s="55"/>
      <c r="AH349" s="57"/>
    </row>
    <row r="350" spans="1:34" ht="15.75" x14ac:dyDescent="0.25">
      <c r="A350" s="185"/>
      <c r="B350" s="186"/>
      <c r="C350" s="184"/>
      <c r="D350" s="211" t="s">
        <v>710</v>
      </c>
      <c r="E350" s="212"/>
      <c r="F350" s="212"/>
      <c r="G350" s="212"/>
      <c r="H350" s="212"/>
      <c r="I350" s="213"/>
      <c r="J350" s="66"/>
      <c r="K350" s="214">
        <v>0.25</v>
      </c>
      <c r="L350" s="215"/>
      <c r="M350" s="214"/>
      <c r="N350" s="215"/>
      <c r="O350" s="214">
        <v>0.3</v>
      </c>
      <c r="P350" s="215"/>
      <c r="Q350" s="214"/>
      <c r="R350" s="215"/>
      <c r="S350" s="214">
        <v>4.9000000000000004</v>
      </c>
      <c r="T350" s="215"/>
      <c r="U350" s="214"/>
      <c r="V350" s="215"/>
      <c r="W350" s="208">
        <f t="shared" si="28"/>
        <v>7.4999999999999997E-2</v>
      </c>
      <c r="X350" s="209"/>
      <c r="Y350" s="210"/>
      <c r="Z350" s="180">
        <f t="shared" si="29"/>
        <v>0.36749999999999999</v>
      </c>
      <c r="AA350" s="181"/>
      <c r="AB350" s="182"/>
      <c r="AC350" s="54"/>
      <c r="AD350" s="55"/>
      <c r="AE350" s="56"/>
      <c r="AF350" s="54"/>
      <c r="AG350" s="55"/>
      <c r="AH350" s="57"/>
    </row>
    <row r="351" spans="1:34" ht="15.75" x14ac:dyDescent="0.25">
      <c r="A351" s="185"/>
      <c r="B351" s="186"/>
      <c r="C351" s="184"/>
      <c r="D351" s="211" t="s">
        <v>711</v>
      </c>
      <c r="E351" s="212"/>
      <c r="F351" s="212"/>
      <c r="G351" s="212"/>
      <c r="H351" s="212"/>
      <c r="I351" s="213"/>
      <c r="J351" s="66"/>
      <c r="K351" s="214">
        <v>0.15</v>
      </c>
      <c r="L351" s="215"/>
      <c r="M351" s="214"/>
      <c r="N351" s="215"/>
      <c r="O351" s="214">
        <v>0.3</v>
      </c>
      <c r="P351" s="215"/>
      <c r="Q351" s="214"/>
      <c r="R351" s="215"/>
      <c r="S351" s="214">
        <v>4.9000000000000004</v>
      </c>
      <c r="T351" s="215"/>
      <c r="U351" s="214"/>
      <c r="V351" s="215"/>
      <c r="W351" s="208">
        <f t="shared" si="28"/>
        <v>4.4999999999999998E-2</v>
      </c>
      <c r="X351" s="209"/>
      <c r="Y351" s="210"/>
      <c r="Z351" s="180">
        <f t="shared" si="29"/>
        <v>0.2205</v>
      </c>
      <c r="AA351" s="181"/>
      <c r="AB351" s="182"/>
      <c r="AC351" s="54"/>
      <c r="AD351" s="55"/>
      <c r="AE351" s="56"/>
      <c r="AF351" s="54"/>
      <c r="AG351" s="55"/>
      <c r="AH351" s="57"/>
    </row>
    <row r="352" spans="1:34" ht="15.75" x14ac:dyDescent="0.25">
      <c r="A352" s="185"/>
      <c r="B352" s="186"/>
      <c r="C352" s="184"/>
      <c r="D352" s="211" t="s">
        <v>712</v>
      </c>
      <c r="E352" s="212"/>
      <c r="F352" s="212"/>
      <c r="G352" s="212"/>
      <c r="H352" s="212"/>
      <c r="I352" s="213"/>
      <c r="J352" s="66"/>
      <c r="K352" s="214">
        <v>0.15</v>
      </c>
      <c r="L352" s="215"/>
      <c r="M352" s="214"/>
      <c r="N352" s="215"/>
      <c r="O352" s="214">
        <v>0.3</v>
      </c>
      <c r="P352" s="215"/>
      <c r="Q352" s="214"/>
      <c r="R352" s="215"/>
      <c r="S352" s="214">
        <v>4.9000000000000004</v>
      </c>
      <c r="T352" s="215"/>
      <c r="U352" s="214"/>
      <c r="V352" s="215"/>
      <c r="W352" s="208">
        <f t="shared" si="28"/>
        <v>4.4999999999999998E-2</v>
      </c>
      <c r="X352" s="209"/>
      <c r="Y352" s="210"/>
      <c r="Z352" s="180">
        <f t="shared" si="29"/>
        <v>0.2205</v>
      </c>
      <c r="AA352" s="181"/>
      <c r="AB352" s="182"/>
      <c r="AC352" s="54"/>
      <c r="AD352" s="55"/>
      <c r="AE352" s="56"/>
      <c r="AF352" s="54"/>
      <c r="AG352" s="55"/>
      <c r="AH352" s="57"/>
    </row>
    <row r="353" spans="1:34" ht="15.75" x14ac:dyDescent="0.25">
      <c r="A353" s="185"/>
      <c r="B353" s="186"/>
      <c r="C353" s="184"/>
      <c r="D353" s="211" t="s">
        <v>713</v>
      </c>
      <c r="E353" s="212"/>
      <c r="F353" s="212"/>
      <c r="G353" s="212"/>
      <c r="H353" s="212"/>
      <c r="I353" s="213"/>
      <c r="J353" s="66"/>
      <c r="K353" s="214">
        <v>0.15</v>
      </c>
      <c r="L353" s="215"/>
      <c r="M353" s="214"/>
      <c r="N353" s="215"/>
      <c r="O353" s="214">
        <v>0.3</v>
      </c>
      <c r="P353" s="215"/>
      <c r="Q353" s="214"/>
      <c r="R353" s="215"/>
      <c r="S353" s="214">
        <v>4.9000000000000004</v>
      </c>
      <c r="T353" s="215"/>
      <c r="U353" s="214"/>
      <c r="V353" s="215"/>
      <c r="W353" s="208">
        <f t="shared" si="28"/>
        <v>4.4999999999999998E-2</v>
      </c>
      <c r="X353" s="209"/>
      <c r="Y353" s="210"/>
      <c r="Z353" s="180">
        <f t="shared" si="29"/>
        <v>0.2205</v>
      </c>
      <c r="AA353" s="181"/>
      <c r="AB353" s="182"/>
      <c r="AC353" s="54"/>
      <c r="AD353" s="55"/>
      <c r="AE353" s="56"/>
      <c r="AF353" s="54"/>
      <c r="AG353" s="55"/>
      <c r="AH353" s="57"/>
    </row>
    <row r="354" spans="1:34" ht="15.75" x14ac:dyDescent="0.25">
      <c r="A354" s="185"/>
      <c r="B354" s="186"/>
      <c r="C354" s="184"/>
      <c r="D354" s="211" t="s">
        <v>714</v>
      </c>
      <c r="E354" s="212"/>
      <c r="F354" s="212"/>
      <c r="G354" s="212"/>
      <c r="H354" s="212"/>
      <c r="I354" s="213"/>
      <c r="J354" s="66"/>
      <c r="K354" s="214">
        <v>0.15</v>
      </c>
      <c r="L354" s="215"/>
      <c r="M354" s="214"/>
      <c r="N354" s="215"/>
      <c r="O354" s="214">
        <v>0.3</v>
      </c>
      <c r="P354" s="215"/>
      <c r="Q354" s="214"/>
      <c r="R354" s="215"/>
      <c r="S354" s="214">
        <v>3.4</v>
      </c>
      <c r="T354" s="215"/>
      <c r="U354" s="214"/>
      <c r="V354" s="215"/>
      <c r="W354" s="208">
        <f t="shared" si="28"/>
        <v>4.4999999999999998E-2</v>
      </c>
      <c r="X354" s="209"/>
      <c r="Y354" s="210"/>
      <c r="Z354" s="180">
        <f t="shared" si="29"/>
        <v>0.153</v>
      </c>
      <c r="AA354" s="181"/>
      <c r="AB354" s="182"/>
      <c r="AC354" s="54"/>
      <c r="AD354" s="55"/>
      <c r="AE354" s="56"/>
      <c r="AF354" s="54"/>
      <c r="AG354" s="55"/>
      <c r="AH354" s="57"/>
    </row>
    <row r="355" spans="1:34" ht="15.75" x14ac:dyDescent="0.25">
      <c r="A355" s="185"/>
      <c r="B355" s="186"/>
      <c r="C355" s="184"/>
      <c r="D355" s="211" t="s">
        <v>715</v>
      </c>
      <c r="E355" s="212"/>
      <c r="F355" s="212"/>
      <c r="G355" s="212"/>
      <c r="H355" s="212"/>
      <c r="I355" s="213"/>
      <c r="J355" s="66"/>
      <c r="K355" s="214">
        <v>0.15</v>
      </c>
      <c r="L355" s="215"/>
      <c r="M355" s="214"/>
      <c r="N355" s="215"/>
      <c r="O355" s="214">
        <v>0.3</v>
      </c>
      <c r="P355" s="215"/>
      <c r="Q355" s="214"/>
      <c r="R355" s="215"/>
      <c r="S355" s="214">
        <v>3.4</v>
      </c>
      <c r="T355" s="215"/>
      <c r="U355" s="214"/>
      <c r="V355" s="215"/>
      <c r="W355" s="208">
        <f t="shared" si="28"/>
        <v>4.4999999999999998E-2</v>
      </c>
      <c r="X355" s="209"/>
      <c r="Y355" s="210"/>
      <c r="Z355" s="180">
        <f t="shared" si="29"/>
        <v>0.153</v>
      </c>
      <c r="AA355" s="181"/>
      <c r="AB355" s="182"/>
      <c r="AC355" s="54"/>
      <c r="AD355" s="55"/>
      <c r="AE355" s="56"/>
      <c r="AF355" s="54"/>
      <c r="AG355" s="55"/>
      <c r="AH355" s="57"/>
    </row>
    <row r="356" spans="1:34" ht="15.75" x14ac:dyDescent="0.25">
      <c r="A356" s="185"/>
      <c r="B356" s="186"/>
      <c r="C356" s="184"/>
      <c r="D356" s="211" t="s">
        <v>716</v>
      </c>
      <c r="E356" s="212"/>
      <c r="F356" s="212"/>
      <c r="G356" s="212"/>
      <c r="H356" s="212"/>
      <c r="I356" s="213"/>
      <c r="J356" s="66"/>
      <c r="K356" s="214">
        <v>0.15</v>
      </c>
      <c r="L356" s="215"/>
      <c r="M356" s="214"/>
      <c r="N356" s="215"/>
      <c r="O356" s="214">
        <v>0.3</v>
      </c>
      <c r="P356" s="215"/>
      <c r="Q356" s="214"/>
      <c r="R356" s="215"/>
      <c r="S356" s="214">
        <v>3.4</v>
      </c>
      <c r="T356" s="215"/>
      <c r="U356" s="214"/>
      <c r="V356" s="215"/>
      <c r="W356" s="208">
        <f t="shared" si="28"/>
        <v>4.4999999999999998E-2</v>
      </c>
      <c r="X356" s="209"/>
      <c r="Y356" s="210"/>
      <c r="Z356" s="180">
        <f t="shared" si="29"/>
        <v>0.153</v>
      </c>
      <c r="AA356" s="181"/>
      <c r="AB356" s="182"/>
      <c r="AC356" s="54"/>
      <c r="AD356" s="55"/>
      <c r="AE356" s="56"/>
      <c r="AF356" s="54"/>
      <c r="AG356" s="55"/>
      <c r="AH356" s="57"/>
    </row>
    <row r="357" spans="1:34" ht="15.75" x14ac:dyDescent="0.25">
      <c r="A357" s="185"/>
      <c r="B357" s="186"/>
      <c r="C357" s="184"/>
      <c r="D357" s="211" t="s">
        <v>717</v>
      </c>
      <c r="E357" s="212"/>
      <c r="F357" s="212"/>
      <c r="G357" s="212"/>
      <c r="H357" s="212"/>
      <c r="I357" s="213"/>
      <c r="J357" s="66"/>
      <c r="K357" s="214">
        <v>0.15</v>
      </c>
      <c r="L357" s="215"/>
      <c r="M357" s="214"/>
      <c r="N357" s="215"/>
      <c r="O357" s="214">
        <v>0.3</v>
      </c>
      <c r="P357" s="215"/>
      <c r="Q357" s="214"/>
      <c r="R357" s="215"/>
      <c r="S357" s="214">
        <v>3.4</v>
      </c>
      <c r="T357" s="215"/>
      <c r="U357" s="183"/>
      <c r="V357" s="184"/>
      <c r="W357" s="208">
        <f t="shared" si="28"/>
        <v>4.4999999999999998E-2</v>
      </c>
      <c r="X357" s="209"/>
      <c r="Y357" s="210"/>
      <c r="Z357" s="180">
        <f t="shared" si="29"/>
        <v>0.153</v>
      </c>
      <c r="AA357" s="181"/>
      <c r="AB357" s="182"/>
      <c r="AC357" s="54"/>
      <c r="AD357" s="55"/>
      <c r="AE357" s="56"/>
      <c r="AF357" s="54"/>
      <c r="AG357" s="55"/>
      <c r="AH357" s="57"/>
    </row>
    <row r="358" spans="1:34" ht="15.75" x14ac:dyDescent="0.25">
      <c r="A358" s="185"/>
      <c r="B358" s="186"/>
      <c r="C358" s="184"/>
      <c r="D358" s="211" t="s">
        <v>718</v>
      </c>
      <c r="E358" s="212"/>
      <c r="F358" s="212"/>
      <c r="G358" s="212"/>
      <c r="H358" s="212"/>
      <c r="I358" s="213"/>
      <c r="J358" s="66"/>
      <c r="K358" s="214">
        <v>0.15</v>
      </c>
      <c r="L358" s="215"/>
      <c r="M358" s="214"/>
      <c r="N358" s="215"/>
      <c r="O358" s="214">
        <v>0.3</v>
      </c>
      <c r="P358" s="215"/>
      <c r="Q358" s="214"/>
      <c r="R358" s="215"/>
      <c r="S358" s="214">
        <v>3.4</v>
      </c>
      <c r="T358" s="215"/>
      <c r="U358" s="214"/>
      <c r="V358" s="215"/>
      <c r="W358" s="208">
        <f t="shared" si="28"/>
        <v>4.4999999999999998E-2</v>
      </c>
      <c r="X358" s="209"/>
      <c r="Y358" s="210"/>
      <c r="Z358" s="180">
        <f t="shared" si="29"/>
        <v>0.153</v>
      </c>
      <c r="AA358" s="181"/>
      <c r="AB358" s="182"/>
      <c r="AC358" s="54"/>
      <c r="AD358" s="55"/>
      <c r="AE358" s="56"/>
      <c r="AF358" s="54"/>
      <c r="AG358" s="55"/>
      <c r="AH358" s="57"/>
    </row>
    <row r="359" spans="1:34" ht="15.75" x14ac:dyDescent="0.25">
      <c r="A359" s="185"/>
      <c r="B359" s="186"/>
      <c r="C359" s="184"/>
      <c r="D359" s="211" t="s">
        <v>719</v>
      </c>
      <c r="E359" s="212"/>
      <c r="F359" s="212"/>
      <c r="G359" s="212"/>
      <c r="H359" s="212"/>
      <c r="I359" s="213"/>
      <c r="J359" s="66"/>
      <c r="K359" s="214">
        <v>0.15</v>
      </c>
      <c r="L359" s="215"/>
      <c r="M359" s="214"/>
      <c r="N359" s="215"/>
      <c r="O359" s="214">
        <v>0.3</v>
      </c>
      <c r="P359" s="215"/>
      <c r="Q359" s="214"/>
      <c r="R359" s="215"/>
      <c r="S359" s="214">
        <v>3.4</v>
      </c>
      <c r="T359" s="215"/>
      <c r="U359" s="214"/>
      <c r="V359" s="215"/>
      <c r="W359" s="208">
        <f t="shared" si="28"/>
        <v>4.4999999999999998E-2</v>
      </c>
      <c r="X359" s="209"/>
      <c r="Y359" s="210"/>
      <c r="Z359" s="180">
        <f t="shared" si="29"/>
        <v>0.153</v>
      </c>
      <c r="AA359" s="181"/>
      <c r="AB359" s="182"/>
      <c r="AC359" s="54"/>
      <c r="AD359" s="55"/>
      <c r="AE359" s="56"/>
      <c r="AF359" s="54"/>
      <c r="AG359" s="55"/>
      <c r="AH359" s="57"/>
    </row>
    <row r="360" spans="1:34" ht="15.75" x14ac:dyDescent="0.25">
      <c r="A360" s="185"/>
      <c r="B360" s="186"/>
      <c r="C360" s="184"/>
      <c r="D360" s="211" t="s">
        <v>720</v>
      </c>
      <c r="E360" s="212"/>
      <c r="F360" s="212"/>
      <c r="G360" s="212"/>
      <c r="H360" s="212"/>
      <c r="I360" s="213"/>
      <c r="J360" s="66"/>
      <c r="K360" s="214">
        <v>0.15</v>
      </c>
      <c r="L360" s="215"/>
      <c r="M360" s="214"/>
      <c r="N360" s="215"/>
      <c r="O360" s="214">
        <v>0.3</v>
      </c>
      <c r="P360" s="215"/>
      <c r="Q360" s="214"/>
      <c r="R360" s="215"/>
      <c r="S360" s="214">
        <v>4.9000000000000004</v>
      </c>
      <c r="T360" s="215"/>
      <c r="U360" s="214"/>
      <c r="V360" s="215"/>
      <c r="W360" s="208">
        <f t="shared" si="28"/>
        <v>4.4999999999999998E-2</v>
      </c>
      <c r="X360" s="209"/>
      <c r="Y360" s="210"/>
      <c r="Z360" s="180">
        <f t="shared" si="29"/>
        <v>0.2205</v>
      </c>
      <c r="AA360" s="181"/>
      <c r="AB360" s="182"/>
      <c r="AC360" s="54"/>
      <c r="AD360" s="55"/>
      <c r="AE360" s="56"/>
      <c r="AF360" s="54"/>
      <c r="AG360" s="55"/>
      <c r="AH360" s="57"/>
    </row>
    <row r="361" spans="1:34" ht="15.75" x14ac:dyDescent="0.25">
      <c r="A361" s="185"/>
      <c r="B361" s="186"/>
      <c r="C361" s="184"/>
      <c r="D361" s="211" t="s">
        <v>721</v>
      </c>
      <c r="E361" s="212"/>
      <c r="F361" s="212"/>
      <c r="G361" s="212"/>
      <c r="H361" s="212"/>
      <c r="I361" s="213"/>
      <c r="J361" s="66"/>
      <c r="K361" s="214">
        <v>0.15</v>
      </c>
      <c r="L361" s="215"/>
      <c r="M361" s="214"/>
      <c r="N361" s="215"/>
      <c r="O361" s="214">
        <v>0.3</v>
      </c>
      <c r="P361" s="215"/>
      <c r="Q361" s="214"/>
      <c r="R361" s="215"/>
      <c r="S361" s="214">
        <v>3.4</v>
      </c>
      <c r="T361" s="215"/>
      <c r="U361" s="214"/>
      <c r="V361" s="215"/>
      <c r="W361" s="208">
        <f t="shared" si="28"/>
        <v>4.4999999999999998E-2</v>
      </c>
      <c r="X361" s="209"/>
      <c r="Y361" s="210"/>
      <c r="Z361" s="180">
        <f t="shared" si="29"/>
        <v>0.153</v>
      </c>
      <c r="AA361" s="181"/>
      <c r="AB361" s="182"/>
      <c r="AC361" s="54"/>
      <c r="AD361" s="55"/>
      <c r="AE361" s="56"/>
      <c r="AF361" s="54"/>
      <c r="AG361" s="55"/>
      <c r="AH361" s="57"/>
    </row>
    <row r="362" spans="1:34" ht="15.75" x14ac:dyDescent="0.25">
      <c r="A362" s="185"/>
      <c r="B362" s="186"/>
      <c r="C362" s="184"/>
      <c r="D362" s="211" t="s">
        <v>722</v>
      </c>
      <c r="E362" s="212"/>
      <c r="F362" s="212"/>
      <c r="G362" s="212"/>
      <c r="H362" s="212"/>
      <c r="I362" s="213"/>
      <c r="J362" s="66"/>
      <c r="K362" s="214">
        <v>0.15</v>
      </c>
      <c r="L362" s="215"/>
      <c r="M362" s="214"/>
      <c r="N362" s="215"/>
      <c r="O362" s="214">
        <v>0.3</v>
      </c>
      <c r="P362" s="215"/>
      <c r="Q362" s="214"/>
      <c r="R362" s="215"/>
      <c r="S362" s="214">
        <v>4.9000000000000004</v>
      </c>
      <c r="T362" s="215"/>
      <c r="U362" s="214"/>
      <c r="V362" s="215"/>
      <c r="W362" s="208">
        <f t="shared" si="28"/>
        <v>4.4999999999999998E-2</v>
      </c>
      <c r="X362" s="209"/>
      <c r="Y362" s="210"/>
      <c r="Z362" s="180">
        <f t="shared" si="29"/>
        <v>0.2205</v>
      </c>
      <c r="AA362" s="181"/>
      <c r="AB362" s="182"/>
      <c r="AC362" s="54"/>
      <c r="AD362" s="55"/>
      <c r="AE362" s="56"/>
      <c r="AF362" s="54"/>
      <c r="AG362" s="55"/>
      <c r="AH362" s="57"/>
    </row>
    <row r="363" spans="1:34" ht="15.75" x14ac:dyDescent="0.25">
      <c r="A363" s="185"/>
      <c r="B363" s="186"/>
      <c r="C363" s="184"/>
      <c r="D363" s="211" t="s">
        <v>723</v>
      </c>
      <c r="E363" s="212"/>
      <c r="F363" s="212"/>
      <c r="G363" s="212"/>
      <c r="H363" s="212"/>
      <c r="I363" s="213"/>
      <c r="J363" s="66"/>
      <c r="K363" s="214">
        <v>0.15</v>
      </c>
      <c r="L363" s="215"/>
      <c r="M363" s="214"/>
      <c r="N363" s="215"/>
      <c r="O363" s="214">
        <v>0.3</v>
      </c>
      <c r="P363" s="215"/>
      <c r="Q363" s="214"/>
      <c r="R363" s="215"/>
      <c r="S363" s="214">
        <v>4.9000000000000004</v>
      </c>
      <c r="T363" s="215"/>
      <c r="U363" s="214"/>
      <c r="V363" s="215"/>
      <c r="W363" s="208">
        <f t="shared" si="28"/>
        <v>4.4999999999999998E-2</v>
      </c>
      <c r="X363" s="209"/>
      <c r="Y363" s="210"/>
      <c r="Z363" s="180">
        <f t="shared" si="29"/>
        <v>0.2205</v>
      </c>
      <c r="AA363" s="181"/>
      <c r="AB363" s="182"/>
      <c r="AC363" s="54"/>
      <c r="AD363" s="55"/>
      <c r="AE363" s="56"/>
      <c r="AF363" s="54"/>
      <c r="AG363" s="55"/>
      <c r="AH363" s="57"/>
    </row>
    <row r="364" spans="1:34" ht="15.75" x14ac:dyDescent="0.25">
      <c r="A364" s="185"/>
      <c r="B364" s="186"/>
      <c r="C364" s="184"/>
      <c r="D364" s="211" t="s">
        <v>724</v>
      </c>
      <c r="E364" s="212"/>
      <c r="F364" s="212"/>
      <c r="G364" s="212"/>
      <c r="H364" s="212"/>
      <c r="I364" s="213"/>
      <c r="J364" s="66"/>
      <c r="K364" s="214">
        <v>0.15</v>
      </c>
      <c r="L364" s="215"/>
      <c r="M364" s="214"/>
      <c r="N364" s="215"/>
      <c r="O364" s="214">
        <v>0.3</v>
      </c>
      <c r="P364" s="215"/>
      <c r="Q364" s="214"/>
      <c r="R364" s="215"/>
      <c r="S364" s="214">
        <v>3.4</v>
      </c>
      <c r="T364" s="215"/>
      <c r="U364" s="214"/>
      <c r="V364" s="215"/>
      <c r="W364" s="208">
        <f t="shared" si="28"/>
        <v>4.4999999999999998E-2</v>
      </c>
      <c r="X364" s="209"/>
      <c r="Y364" s="210"/>
      <c r="Z364" s="180">
        <f t="shared" si="29"/>
        <v>0.153</v>
      </c>
      <c r="AA364" s="181"/>
      <c r="AB364" s="182"/>
      <c r="AC364" s="54"/>
      <c r="AD364" s="55"/>
      <c r="AE364" s="56"/>
      <c r="AF364" s="54"/>
      <c r="AG364" s="55"/>
      <c r="AH364" s="57"/>
    </row>
    <row r="365" spans="1:34" ht="15.75" x14ac:dyDescent="0.25">
      <c r="A365" s="185"/>
      <c r="B365" s="186"/>
      <c r="C365" s="184"/>
      <c r="D365" s="211" t="s">
        <v>725</v>
      </c>
      <c r="E365" s="212"/>
      <c r="F365" s="212"/>
      <c r="G365" s="212"/>
      <c r="H365" s="212"/>
      <c r="I365" s="213"/>
      <c r="J365" s="66"/>
      <c r="K365" s="214">
        <v>0.15</v>
      </c>
      <c r="L365" s="215"/>
      <c r="M365" s="214"/>
      <c r="N365" s="215"/>
      <c r="O365" s="214">
        <v>0.3</v>
      </c>
      <c r="P365" s="215"/>
      <c r="Q365" s="214"/>
      <c r="R365" s="215"/>
      <c r="S365" s="214">
        <v>3.4</v>
      </c>
      <c r="T365" s="215"/>
      <c r="U365" s="183"/>
      <c r="V365" s="184"/>
      <c r="W365" s="208">
        <f t="shared" si="28"/>
        <v>4.4999999999999998E-2</v>
      </c>
      <c r="X365" s="209"/>
      <c r="Y365" s="210"/>
      <c r="Z365" s="180">
        <f t="shared" si="29"/>
        <v>0.153</v>
      </c>
      <c r="AA365" s="181"/>
      <c r="AB365" s="182"/>
      <c r="AC365" s="54"/>
      <c r="AD365" s="55"/>
      <c r="AE365" s="56"/>
      <c r="AF365" s="54"/>
      <c r="AG365" s="55"/>
      <c r="AH365" s="57"/>
    </row>
    <row r="366" spans="1:34" ht="15.75" x14ac:dyDescent="0.25">
      <c r="A366" s="185"/>
      <c r="B366" s="186"/>
      <c r="C366" s="184"/>
      <c r="D366" s="211" t="s">
        <v>726</v>
      </c>
      <c r="E366" s="212"/>
      <c r="F366" s="212"/>
      <c r="G366" s="212"/>
      <c r="H366" s="212"/>
      <c r="I366" s="213"/>
      <c r="J366" s="66"/>
      <c r="K366" s="214">
        <v>0.15</v>
      </c>
      <c r="L366" s="215"/>
      <c r="M366" s="214"/>
      <c r="N366" s="215"/>
      <c r="O366" s="214">
        <v>0.3</v>
      </c>
      <c r="P366" s="215"/>
      <c r="Q366" s="214"/>
      <c r="R366" s="215"/>
      <c r="S366" s="214">
        <v>3.4</v>
      </c>
      <c r="T366" s="215"/>
      <c r="U366" s="214"/>
      <c r="V366" s="215"/>
      <c r="W366" s="208">
        <f t="shared" si="28"/>
        <v>4.4999999999999998E-2</v>
      </c>
      <c r="X366" s="209"/>
      <c r="Y366" s="210"/>
      <c r="Z366" s="180">
        <f t="shared" si="29"/>
        <v>0.153</v>
      </c>
      <c r="AA366" s="181"/>
      <c r="AB366" s="182"/>
      <c r="AC366" s="54"/>
      <c r="AD366" s="55"/>
      <c r="AE366" s="56"/>
      <c r="AF366" s="54"/>
      <c r="AG366" s="55"/>
      <c r="AH366" s="57"/>
    </row>
    <row r="367" spans="1:34" ht="15.75" x14ac:dyDescent="0.25">
      <c r="A367" s="185"/>
      <c r="B367" s="186"/>
      <c r="C367" s="184"/>
      <c r="D367" s="211" t="s">
        <v>727</v>
      </c>
      <c r="E367" s="212"/>
      <c r="F367" s="212"/>
      <c r="G367" s="212"/>
      <c r="H367" s="212"/>
      <c r="I367" s="213"/>
      <c r="J367" s="66"/>
      <c r="K367" s="214">
        <v>0.15</v>
      </c>
      <c r="L367" s="215"/>
      <c r="M367" s="214"/>
      <c r="N367" s="215"/>
      <c r="O367" s="214">
        <v>0.3</v>
      </c>
      <c r="P367" s="215"/>
      <c r="Q367" s="214"/>
      <c r="R367" s="215"/>
      <c r="S367" s="214">
        <v>3.4</v>
      </c>
      <c r="T367" s="215"/>
      <c r="U367" s="214"/>
      <c r="V367" s="215"/>
      <c r="W367" s="208">
        <f t="shared" si="28"/>
        <v>4.4999999999999998E-2</v>
      </c>
      <c r="X367" s="209"/>
      <c r="Y367" s="210"/>
      <c r="Z367" s="180">
        <f t="shared" si="29"/>
        <v>0.153</v>
      </c>
      <c r="AA367" s="181"/>
      <c r="AB367" s="182"/>
      <c r="AC367" s="54"/>
      <c r="AD367" s="55"/>
      <c r="AE367" s="56"/>
      <c r="AF367" s="54"/>
      <c r="AG367" s="55"/>
      <c r="AH367" s="57"/>
    </row>
    <row r="368" spans="1:34" ht="15.75" x14ac:dyDescent="0.25">
      <c r="A368" s="185"/>
      <c r="B368" s="186"/>
      <c r="C368" s="184"/>
      <c r="D368" s="211" t="s">
        <v>728</v>
      </c>
      <c r="E368" s="212"/>
      <c r="F368" s="212"/>
      <c r="G368" s="212"/>
      <c r="H368" s="212"/>
      <c r="I368" s="213"/>
      <c r="J368" s="66"/>
      <c r="K368" s="214">
        <v>0.15</v>
      </c>
      <c r="L368" s="215"/>
      <c r="M368" s="214"/>
      <c r="N368" s="215"/>
      <c r="O368" s="214">
        <v>0.3</v>
      </c>
      <c r="P368" s="215"/>
      <c r="Q368" s="214"/>
      <c r="R368" s="215"/>
      <c r="S368" s="214">
        <v>3.4</v>
      </c>
      <c r="T368" s="215"/>
      <c r="U368" s="214"/>
      <c r="V368" s="215"/>
      <c r="W368" s="208">
        <f t="shared" si="28"/>
        <v>4.4999999999999998E-2</v>
      </c>
      <c r="X368" s="209"/>
      <c r="Y368" s="210"/>
      <c r="Z368" s="180">
        <f t="shared" si="29"/>
        <v>0.153</v>
      </c>
      <c r="AA368" s="181"/>
      <c r="AB368" s="182"/>
      <c r="AC368" s="54"/>
      <c r="AD368" s="55"/>
      <c r="AE368" s="56"/>
      <c r="AF368" s="54"/>
      <c r="AG368" s="55"/>
      <c r="AH368" s="57"/>
    </row>
    <row r="369" spans="1:34" ht="15.75" x14ac:dyDescent="0.25">
      <c r="A369" s="185"/>
      <c r="B369" s="186"/>
      <c r="C369" s="184"/>
      <c r="D369" s="211" t="s">
        <v>729</v>
      </c>
      <c r="E369" s="212"/>
      <c r="F369" s="212"/>
      <c r="G369" s="212"/>
      <c r="H369" s="212"/>
      <c r="I369" s="213"/>
      <c r="J369" s="66"/>
      <c r="K369" s="214">
        <v>0.2</v>
      </c>
      <c r="L369" s="215"/>
      <c r="M369" s="214"/>
      <c r="N369" s="215"/>
      <c r="O369" s="214">
        <v>0.3</v>
      </c>
      <c r="P369" s="215"/>
      <c r="Q369" s="214"/>
      <c r="R369" s="215"/>
      <c r="S369" s="214">
        <v>3.4</v>
      </c>
      <c r="T369" s="215"/>
      <c r="U369" s="214"/>
      <c r="V369" s="215"/>
      <c r="W369" s="208">
        <f t="shared" ref="W369:W397" si="30">K369*O369</f>
        <v>0.06</v>
      </c>
      <c r="X369" s="209"/>
      <c r="Y369" s="210"/>
      <c r="Z369" s="180">
        <f t="shared" si="29"/>
        <v>0.20399999999999999</v>
      </c>
      <c r="AA369" s="181"/>
      <c r="AB369" s="182"/>
      <c r="AC369" s="54"/>
      <c r="AD369" s="55"/>
      <c r="AE369" s="56"/>
      <c r="AF369" s="54"/>
      <c r="AG369" s="55"/>
      <c r="AH369" s="57"/>
    </row>
    <row r="370" spans="1:34" ht="15.75" x14ac:dyDescent="0.25">
      <c r="A370" s="185"/>
      <c r="B370" s="186"/>
      <c r="C370" s="184"/>
      <c r="D370" s="211" t="s">
        <v>730</v>
      </c>
      <c r="E370" s="212"/>
      <c r="F370" s="212"/>
      <c r="G370" s="212"/>
      <c r="H370" s="212"/>
      <c r="I370" s="213"/>
      <c r="J370" s="66"/>
      <c r="K370" s="214">
        <v>0.2</v>
      </c>
      <c r="L370" s="215"/>
      <c r="M370" s="214"/>
      <c r="N370" s="215"/>
      <c r="O370" s="214">
        <v>0.3</v>
      </c>
      <c r="P370" s="215"/>
      <c r="Q370" s="214"/>
      <c r="R370" s="215"/>
      <c r="S370" s="214">
        <v>4.9000000000000004</v>
      </c>
      <c r="T370" s="215"/>
      <c r="U370" s="214"/>
      <c r="V370" s="215"/>
      <c r="W370" s="208">
        <f t="shared" si="30"/>
        <v>0.06</v>
      </c>
      <c r="X370" s="209"/>
      <c r="Y370" s="210"/>
      <c r="Z370" s="180">
        <f t="shared" ref="Z370:Z397" si="31">W370*S370</f>
        <v>0.29399999999999998</v>
      </c>
      <c r="AA370" s="181"/>
      <c r="AB370" s="182"/>
      <c r="AC370" s="54"/>
      <c r="AD370" s="55"/>
      <c r="AE370" s="56"/>
      <c r="AF370" s="54"/>
      <c r="AG370" s="55"/>
      <c r="AH370" s="57"/>
    </row>
    <row r="371" spans="1:34" ht="15.75" x14ac:dyDescent="0.25">
      <c r="A371" s="185"/>
      <c r="B371" s="186"/>
      <c r="C371" s="184"/>
      <c r="D371" s="211" t="s">
        <v>731</v>
      </c>
      <c r="E371" s="212"/>
      <c r="F371" s="212"/>
      <c r="G371" s="212"/>
      <c r="H371" s="212"/>
      <c r="I371" s="213"/>
      <c r="J371" s="66"/>
      <c r="K371" s="214">
        <v>0.15</v>
      </c>
      <c r="L371" s="215"/>
      <c r="M371" s="214"/>
      <c r="N371" s="215"/>
      <c r="O371" s="214">
        <v>0.3</v>
      </c>
      <c r="P371" s="215"/>
      <c r="Q371" s="214"/>
      <c r="R371" s="215"/>
      <c r="S371" s="214">
        <v>4.9000000000000004</v>
      </c>
      <c r="T371" s="215"/>
      <c r="U371" s="214"/>
      <c r="V371" s="215"/>
      <c r="W371" s="208">
        <f t="shared" si="30"/>
        <v>4.4999999999999998E-2</v>
      </c>
      <c r="X371" s="209"/>
      <c r="Y371" s="210"/>
      <c r="Z371" s="180">
        <f t="shared" si="31"/>
        <v>0.2205</v>
      </c>
      <c r="AA371" s="181"/>
      <c r="AB371" s="182"/>
      <c r="AC371" s="54"/>
      <c r="AD371" s="55"/>
      <c r="AE371" s="56"/>
      <c r="AF371" s="54"/>
      <c r="AG371" s="55"/>
      <c r="AH371" s="57"/>
    </row>
    <row r="372" spans="1:34" ht="15.75" x14ac:dyDescent="0.25">
      <c r="A372" s="185"/>
      <c r="B372" s="186"/>
      <c r="C372" s="184"/>
      <c r="D372" s="211" t="s">
        <v>732</v>
      </c>
      <c r="E372" s="212"/>
      <c r="F372" s="212"/>
      <c r="G372" s="212"/>
      <c r="H372" s="212"/>
      <c r="I372" s="213"/>
      <c r="J372" s="66"/>
      <c r="K372" s="214">
        <v>0.15</v>
      </c>
      <c r="L372" s="215"/>
      <c r="M372" s="214"/>
      <c r="N372" s="215"/>
      <c r="O372" s="214">
        <v>0.3</v>
      </c>
      <c r="P372" s="215"/>
      <c r="Q372" s="214"/>
      <c r="R372" s="215"/>
      <c r="S372" s="214">
        <v>4.9000000000000004</v>
      </c>
      <c r="T372" s="215"/>
      <c r="U372" s="214"/>
      <c r="V372" s="215"/>
      <c r="W372" s="208">
        <f t="shared" si="30"/>
        <v>4.4999999999999998E-2</v>
      </c>
      <c r="X372" s="209"/>
      <c r="Y372" s="210"/>
      <c r="Z372" s="180">
        <f t="shared" si="31"/>
        <v>0.2205</v>
      </c>
      <c r="AA372" s="181"/>
      <c r="AB372" s="182"/>
      <c r="AC372" s="54"/>
      <c r="AD372" s="55"/>
      <c r="AE372" s="56"/>
      <c r="AF372" s="54"/>
      <c r="AG372" s="55"/>
      <c r="AH372" s="57"/>
    </row>
    <row r="373" spans="1:34" ht="15.75" x14ac:dyDescent="0.25">
      <c r="A373" s="185"/>
      <c r="B373" s="186"/>
      <c r="C373" s="184"/>
      <c r="D373" s="211" t="s">
        <v>733</v>
      </c>
      <c r="E373" s="212"/>
      <c r="F373" s="212"/>
      <c r="G373" s="212"/>
      <c r="H373" s="212"/>
      <c r="I373" s="213"/>
      <c r="J373" s="66"/>
      <c r="K373" s="214">
        <v>0.15</v>
      </c>
      <c r="L373" s="215"/>
      <c r="M373" s="214"/>
      <c r="N373" s="215"/>
      <c r="O373" s="214">
        <v>0.3</v>
      </c>
      <c r="P373" s="215"/>
      <c r="Q373" s="214"/>
      <c r="R373" s="215"/>
      <c r="S373" s="214">
        <v>3.4</v>
      </c>
      <c r="T373" s="215"/>
      <c r="U373" s="183"/>
      <c r="V373" s="184"/>
      <c r="W373" s="208">
        <f t="shared" si="30"/>
        <v>4.4999999999999998E-2</v>
      </c>
      <c r="X373" s="209"/>
      <c r="Y373" s="210"/>
      <c r="Z373" s="180">
        <f t="shared" si="31"/>
        <v>0.153</v>
      </c>
      <c r="AA373" s="181"/>
      <c r="AB373" s="182"/>
      <c r="AC373" s="54"/>
      <c r="AD373" s="55"/>
      <c r="AE373" s="56"/>
      <c r="AF373" s="54"/>
      <c r="AG373" s="55"/>
      <c r="AH373" s="57"/>
    </row>
    <row r="374" spans="1:34" ht="15.75" x14ac:dyDescent="0.25">
      <c r="A374" s="185"/>
      <c r="B374" s="186"/>
      <c r="C374" s="184"/>
      <c r="D374" s="211" t="s">
        <v>734</v>
      </c>
      <c r="E374" s="212"/>
      <c r="F374" s="212"/>
      <c r="G374" s="212"/>
      <c r="H374" s="212"/>
      <c r="I374" s="213"/>
      <c r="J374" s="66"/>
      <c r="K374" s="214">
        <v>0.15</v>
      </c>
      <c r="L374" s="215"/>
      <c r="M374" s="214"/>
      <c r="N374" s="215"/>
      <c r="O374" s="214">
        <v>0.3</v>
      </c>
      <c r="P374" s="215"/>
      <c r="Q374" s="214"/>
      <c r="R374" s="215"/>
      <c r="S374" s="214">
        <v>3.4</v>
      </c>
      <c r="T374" s="215"/>
      <c r="U374" s="214"/>
      <c r="V374" s="215"/>
      <c r="W374" s="208">
        <f t="shared" si="30"/>
        <v>4.4999999999999998E-2</v>
      </c>
      <c r="X374" s="209"/>
      <c r="Y374" s="210"/>
      <c r="Z374" s="180">
        <f t="shared" si="31"/>
        <v>0.153</v>
      </c>
      <c r="AA374" s="181"/>
      <c r="AB374" s="182"/>
      <c r="AC374" s="54"/>
      <c r="AD374" s="55"/>
      <c r="AE374" s="56"/>
      <c r="AF374" s="54"/>
      <c r="AG374" s="55"/>
      <c r="AH374" s="57"/>
    </row>
    <row r="375" spans="1:34" ht="15.75" x14ac:dyDescent="0.25">
      <c r="A375" s="185"/>
      <c r="B375" s="186"/>
      <c r="C375" s="184"/>
      <c r="D375" s="211" t="s">
        <v>735</v>
      </c>
      <c r="E375" s="212"/>
      <c r="F375" s="212"/>
      <c r="G375" s="212"/>
      <c r="H375" s="212"/>
      <c r="I375" s="213"/>
      <c r="J375" s="66"/>
      <c r="K375" s="214">
        <v>0.15</v>
      </c>
      <c r="L375" s="215"/>
      <c r="M375" s="214"/>
      <c r="N375" s="215"/>
      <c r="O375" s="214">
        <v>0.3</v>
      </c>
      <c r="P375" s="215"/>
      <c r="Q375" s="214"/>
      <c r="R375" s="215"/>
      <c r="S375" s="214">
        <v>4.9000000000000004</v>
      </c>
      <c r="T375" s="215"/>
      <c r="U375" s="214"/>
      <c r="V375" s="215"/>
      <c r="W375" s="208">
        <f t="shared" si="30"/>
        <v>4.4999999999999998E-2</v>
      </c>
      <c r="X375" s="209"/>
      <c r="Y375" s="210"/>
      <c r="Z375" s="180">
        <f t="shared" si="31"/>
        <v>0.2205</v>
      </c>
      <c r="AA375" s="181"/>
      <c r="AB375" s="182"/>
      <c r="AC375" s="54"/>
      <c r="AD375" s="55"/>
      <c r="AE375" s="56"/>
      <c r="AF375" s="54"/>
      <c r="AG375" s="55"/>
      <c r="AH375" s="57"/>
    </row>
    <row r="376" spans="1:34" ht="15.75" x14ac:dyDescent="0.25">
      <c r="A376" s="185"/>
      <c r="B376" s="186"/>
      <c r="C376" s="184"/>
      <c r="D376" s="211" t="s">
        <v>736</v>
      </c>
      <c r="E376" s="212"/>
      <c r="F376" s="212"/>
      <c r="G376" s="212"/>
      <c r="H376" s="212"/>
      <c r="I376" s="213"/>
      <c r="J376" s="66"/>
      <c r="K376" s="214">
        <v>0.15</v>
      </c>
      <c r="L376" s="215"/>
      <c r="M376" s="214"/>
      <c r="N376" s="215"/>
      <c r="O376" s="214">
        <v>0.3</v>
      </c>
      <c r="P376" s="215"/>
      <c r="Q376" s="214"/>
      <c r="R376" s="215"/>
      <c r="S376" s="214">
        <v>4.9000000000000004</v>
      </c>
      <c r="T376" s="215"/>
      <c r="U376" s="214"/>
      <c r="V376" s="215"/>
      <c r="W376" s="208">
        <f t="shared" si="30"/>
        <v>4.4999999999999998E-2</v>
      </c>
      <c r="X376" s="209"/>
      <c r="Y376" s="210"/>
      <c r="Z376" s="180">
        <f t="shared" si="31"/>
        <v>0.2205</v>
      </c>
      <c r="AA376" s="181"/>
      <c r="AB376" s="182"/>
      <c r="AC376" s="54"/>
      <c r="AD376" s="55"/>
      <c r="AE376" s="56"/>
      <c r="AF376" s="54"/>
      <c r="AG376" s="55"/>
      <c r="AH376" s="57"/>
    </row>
    <row r="377" spans="1:34" ht="15.75" x14ac:dyDescent="0.25">
      <c r="A377" s="185"/>
      <c r="B377" s="186"/>
      <c r="C377" s="184"/>
      <c r="D377" s="211" t="s">
        <v>737</v>
      </c>
      <c r="E377" s="212"/>
      <c r="F377" s="212"/>
      <c r="G377" s="212"/>
      <c r="H377" s="212"/>
      <c r="I377" s="213"/>
      <c r="J377" s="66"/>
      <c r="K377" s="214">
        <v>0.15</v>
      </c>
      <c r="L377" s="215"/>
      <c r="M377" s="214"/>
      <c r="N377" s="215"/>
      <c r="O377" s="214">
        <v>0.3</v>
      </c>
      <c r="P377" s="215"/>
      <c r="Q377" s="214"/>
      <c r="R377" s="215"/>
      <c r="S377" s="214">
        <v>3.4</v>
      </c>
      <c r="T377" s="215"/>
      <c r="U377" s="214"/>
      <c r="V377" s="215"/>
      <c r="W377" s="208">
        <f t="shared" si="30"/>
        <v>4.4999999999999998E-2</v>
      </c>
      <c r="X377" s="209"/>
      <c r="Y377" s="210"/>
      <c r="Z377" s="180">
        <f t="shared" si="31"/>
        <v>0.153</v>
      </c>
      <c r="AA377" s="181"/>
      <c r="AB377" s="182"/>
      <c r="AC377" s="54"/>
      <c r="AD377" s="55"/>
      <c r="AE377" s="56"/>
      <c r="AF377" s="54"/>
      <c r="AG377" s="55"/>
      <c r="AH377" s="57"/>
    </row>
    <row r="378" spans="1:34" ht="15.75" x14ac:dyDescent="0.25">
      <c r="A378" s="185"/>
      <c r="B378" s="186"/>
      <c r="C378" s="184"/>
      <c r="D378" s="211" t="s">
        <v>738</v>
      </c>
      <c r="E378" s="212"/>
      <c r="F378" s="212"/>
      <c r="G378" s="212"/>
      <c r="H378" s="212"/>
      <c r="I378" s="213"/>
      <c r="J378" s="66"/>
      <c r="K378" s="214">
        <v>0.15</v>
      </c>
      <c r="L378" s="215"/>
      <c r="M378" s="214"/>
      <c r="N378" s="215"/>
      <c r="O378" s="214">
        <v>0.3</v>
      </c>
      <c r="P378" s="215"/>
      <c r="Q378" s="214"/>
      <c r="R378" s="215"/>
      <c r="S378" s="214">
        <v>3.4</v>
      </c>
      <c r="T378" s="215"/>
      <c r="U378" s="214"/>
      <c r="V378" s="215"/>
      <c r="W378" s="208">
        <f t="shared" si="30"/>
        <v>4.4999999999999998E-2</v>
      </c>
      <c r="X378" s="209"/>
      <c r="Y378" s="210"/>
      <c r="Z378" s="180">
        <f t="shared" si="31"/>
        <v>0.153</v>
      </c>
      <c r="AA378" s="181"/>
      <c r="AB378" s="182"/>
      <c r="AC378" s="54"/>
      <c r="AD378" s="55"/>
      <c r="AE378" s="56"/>
      <c r="AF378" s="54"/>
      <c r="AG378" s="55"/>
      <c r="AH378" s="57"/>
    </row>
    <row r="379" spans="1:34" ht="15.75" x14ac:dyDescent="0.25">
      <c r="A379" s="185"/>
      <c r="B379" s="186"/>
      <c r="C379" s="184"/>
      <c r="D379" s="211" t="s">
        <v>739</v>
      </c>
      <c r="E379" s="212"/>
      <c r="F379" s="212"/>
      <c r="G379" s="212"/>
      <c r="H379" s="212"/>
      <c r="I379" s="213"/>
      <c r="J379" s="66"/>
      <c r="K379" s="214">
        <v>0.15</v>
      </c>
      <c r="L379" s="215"/>
      <c r="M379" s="214"/>
      <c r="N379" s="215"/>
      <c r="O379" s="214">
        <v>0.3</v>
      </c>
      <c r="P379" s="215"/>
      <c r="Q379" s="214"/>
      <c r="R379" s="215"/>
      <c r="S379" s="214">
        <v>3.4</v>
      </c>
      <c r="T379" s="215"/>
      <c r="U379" s="214"/>
      <c r="V379" s="215"/>
      <c r="W379" s="208">
        <f t="shared" si="30"/>
        <v>4.4999999999999998E-2</v>
      </c>
      <c r="X379" s="209"/>
      <c r="Y379" s="210"/>
      <c r="Z379" s="180">
        <f t="shared" si="31"/>
        <v>0.153</v>
      </c>
      <c r="AA379" s="181"/>
      <c r="AB379" s="182"/>
      <c r="AC379" s="54"/>
      <c r="AD379" s="55"/>
      <c r="AE379" s="56"/>
      <c r="AF379" s="54"/>
      <c r="AG379" s="55"/>
      <c r="AH379" s="57"/>
    </row>
    <row r="380" spans="1:34" ht="15.75" x14ac:dyDescent="0.25">
      <c r="A380" s="185"/>
      <c r="B380" s="186"/>
      <c r="C380" s="184"/>
      <c r="D380" s="211" t="s">
        <v>740</v>
      </c>
      <c r="E380" s="212"/>
      <c r="F380" s="212"/>
      <c r="G380" s="212"/>
      <c r="H380" s="212"/>
      <c r="I380" s="213"/>
      <c r="J380" s="66"/>
      <c r="K380" s="214">
        <v>0.15</v>
      </c>
      <c r="L380" s="215"/>
      <c r="M380" s="214"/>
      <c r="N380" s="215"/>
      <c r="O380" s="214">
        <v>0.3</v>
      </c>
      <c r="P380" s="215"/>
      <c r="Q380" s="214"/>
      <c r="R380" s="215"/>
      <c r="S380" s="214">
        <v>3.4</v>
      </c>
      <c r="T380" s="215"/>
      <c r="U380" s="214"/>
      <c r="V380" s="215"/>
      <c r="W380" s="208">
        <f t="shared" si="30"/>
        <v>4.4999999999999998E-2</v>
      </c>
      <c r="X380" s="209"/>
      <c r="Y380" s="210"/>
      <c r="Z380" s="180">
        <f t="shared" si="31"/>
        <v>0.153</v>
      </c>
      <c r="AA380" s="181"/>
      <c r="AB380" s="182"/>
      <c r="AC380" s="54"/>
      <c r="AD380" s="55"/>
      <c r="AE380" s="56"/>
      <c r="AF380" s="54"/>
      <c r="AG380" s="55"/>
      <c r="AH380" s="57"/>
    </row>
    <row r="381" spans="1:34" ht="15.75" x14ac:dyDescent="0.25">
      <c r="A381" s="185"/>
      <c r="B381" s="186"/>
      <c r="C381" s="184"/>
      <c r="D381" s="211" t="s">
        <v>741</v>
      </c>
      <c r="E381" s="212"/>
      <c r="F381" s="212"/>
      <c r="G381" s="212"/>
      <c r="H381" s="212"/>
      <c r="I381" s="213"/>
      <c r="J381" s="66"/>
      <c r="K381" s="214">
        <v>0.15</v>
      </c>
      <c r="L381" s="215"/>
      <c r="M381" s="214"/>
      <c r="N381" s="215"/>
      <c r="O381" s="214">
        <v>0.3</v>
      </c>
      <c r="P381" s="215"/>
      <c r="Q381" s="214"/>
      <c r="R381" s="215"/>
      <c r="S381" s="214">
        <v>3.4</v>
      </c>
      <c r="T381" s="215"/>
      <c r="U381" s="183"/>
      <c r="V381" s="184"/>
      <c r="W381" s="208">
        <f t="shared" si="30"/>
        <v>4.4999999999999998E-2</v>
      </c>
      <c r="X381" s="209"/>
      <c r="Y381" s="210"/>
      <c r="Z381" s="180">
        <f t="shared" si="31"/>
        <v>0.153</v>
      </c>
      <c r="AA381" s="181"/>
      <c r="AB381" s="182"/>
      <c r="AC381" s="54"/>
      <c r="AD381" s="55"/>
      <c r="AE381" s="56"/>
      <c r="AF381" s="54"/>
      <c r="AG381" s="55"/>
      <c r="AH381" s="57"/>
    </row>
    <row r="382" spans="1:34" ht="15.75" x14ac:dyDescent="0.25">
      <c r="A382" s="185"/>
      <c r="B382" s="186"/>
      <c r="C382" s="184"/>
      <c r="D382" s="211" t="s">
        <v>742</v>
      </c>
      <c r="E382" s="212"/>
      <c r="F382" s="212"/>
      <c r="G382" s="212"/>
      <c r="H382" s="212"/>
      <c r="I382" s="213"/>
      <c r="J382" s="66"/>
      <c r="K382" s="214">
        <v>0.15</v>
      </c>
      <c r="L382" s="215"/>
      <c r="M382" s="214"/>
      <c r="N382" s="215"/>
      <c r="O382" s="214">
        <v>0.3</v>
      </c>
      <c r="P382" s="215"/>
      <c r="Q382" s="214"/>
      <c r="R382" s="215"/>
      <c r="S382" s="214">
        <v>4.9000000000000004</v>
      </c>
      <c r="T382" s="215"/>
      <c r="U382" s="214"/>
      <c r="V382" s="215"/>
      <c r="W382" s="208">
        <f t="shared" si="30"/>
        <v>4.4999999999999998E-2</v>
      </c>
      <c r="X382" s="209"/>
      <c r="Y382" s="210"/>
      <c r="Z382" s="180">
        <f t="shared" si="31"/>
        <v>0.2205</v>
      </c>
      <c r="AA382" s="181"/>
      <c r="AB382" s="182"/>
      <c r="AC382" s="54"/>
      <c r="AD382" s="55"/>
      <c r="AE382" s="56"/>
      <c r="AF382" s="54"/>
      <c r="AG382" s="55"/>
      <c r="AH382" s="57"/>
    </row>
    <row r="383" spans="1:34" ht="15.75" x14ac:dyDescent="0.25">
      <c r="A383" s="185"/>
      <c r="B383" s="186"/>
      <c r="C383" s="184"/>
      <c r="D383" s="211" t="s">
        <v>743</v>
      </c>
      <c r="E383" s="212"/>
      <c r="F383" s="212"/>
      <c r="G383" s="212"/>
      <c r="H383" s="212"/>
      <c r="I383" s="213"/>
      <c r="J383" s="66"/>
      <c r="K383" s="214">
        <v>0.15</v>
      </c>
      <c r="L383" s="215"/>
      <c r="M383" s="214"/>
      <c r="N383" s="215"/>
      <c r="O383" s="214">
        <v>0.3</v>
      </c>
      <c r="P383" s="215"/>
      <c r="Q383" s="214"/>
      <c r="R383" s="215"/>
      <c r="S383" s="214">
        <v>3.4</v>
      </c>
      <c r="T383" s="215"/>
      <c r="U383" s="214"/>
      <c r="V383" s="215"/>
      <c r="W383" s="208">
        <f t="shared" si="30"/>
        <v>4.4999999999999998E-2</v>
      </c>
      <c r="X383" s="209"/>
      <c r="Y383" s="210"/>
      <c r="Z383" s="180">
        <f t="shared" si="31"/>
        <v>0.153</v>
      </c>
      <c r="AA383" s="181"/>
      <c r="AB383" s="182"/>
      <c r="AC383" s="54"/>
      <c r="AD383" s="55"/>
      <c r="AE383" s="56"/>
      <c r="AF383" s="54"/>
      <c r="AG383" s="55"/>
      <c r="AH383" s="57"/>
    </row>
    <row r="384" spans="1:34" ht="15.75" x14ac:dyDescent="0.25">
      <c r="A384" s="185"/>
      <c r="B384" s="186"/>
      <c r="C384" s="184"/>
      <c r="D384" s="211" t="s">
        <v>744</v>
      </c>
      <c r="E384" s="212"/>
      <c r="F384" s="212"/>
      <c r="G384" s="212"/>
      <c r="H384" s="212"/>
      <c r="I384" s="213"/>
      <c r="J384" s="66"/>
      <c r="K384" s="214">
        <v>0.15</v>
      </c>
      <c r="L384" s="215"/>
      <c r="M384" s="214"/>
      <c r="N384" s="215"/>
      <c r="O384" s="214">
        <v>0.3</v>
      </c>
      <c r="P384" s="215"/>
      <c r="Q384" s="214"/>
      <c r="R384" s="215"/>
      <c r="S384" s="214">
        <v>3.4</v>
      </c>
      <c r="T384" s="215"/>
      <c r="U384" s="214"/>
      <c r="V384" s="215"/>
      <c r="W384" s="208">
        <f t="shared" si="30"/>
        <v>4.4999999999999998E-2</v>
      </c>
      <c r="X384" s="209"/>
      <c r="Y384" s="210"/>
      <c r="Z384" s="180">
        <f t="shared" si="31"/>
        <v>0.153</v>
      </c>
      <c r="AA384" s="181"/>
      <c r="AB384" s="182"/>
      <c r="AC384" s="54"/>
      <c r="AD384" s="55"/>
      <c r="AE384" s="56"/>
      <c r="AF384" s="54"/>
      <c r="AG384" s="55"/>
      <c r="AH384" s="57"/>
    </row>
    <row r="385" spans="1:35" ht="15.75" x14ac:dyDescent="0.25">
      <c r="A385" s="185"/>
      <c r="B385" s="186"/>
      <c r="C385" s="184"/>
      <c r="D385" s="211" t="s">
        <v>745</v>
      </c>
      <c r="E385" s="212"/>
      <c r="F385" s="212"/>
      <c r="G385" s="212"/>
      <c r="H385" s="212"/>
      <c r="I385" s="213"/>
      <c r="J385" s="66"/>
      <c r="K385" s="214">
        <v>0.15</v>
      </c>
      <c r="L385" s="215"/>
      <c r="M385" s="214"/>
      <c r="N385" s="215"/>
      <c r="O385" s="214">
        <v>0.3</v>
      </c>
      <c r="P385" s="215"/>
      <c r="Q385" s="214"/>
      <c r="R385" s="215"/>
      <c r="S385" s="214">
        <v>3.4</v>
      </c>
      <c r="T385" s="215"/>
      <c r="U385" s="214"/>
      <c r="V385" s="215"/>
      <c r="W385" s="208">
        <f t="shared" si="30"/>
        <v>4.4999999999999998E-2</v>
      </c>
      <c r="X385" s="209"/>
      <c r="Y385" s="210"/>
      <c r="Z385" s="180">
        <f t="shared" si="31"/>
        <v>0.153</v>
      </c>
      <c r="AA385" s="181"/>
      <c r="AB385" s="182"/>
      <c r="AC385" s="54"/>
      <c r="AD385" s="55"/>
      <c r="AE385" s="56"/>
      <c r="AF385" s="54"/>
      <c r="AG385" s="55"/>
      <c r="AH385" s="57"/>
    </row>
    <row r="386" spans="1:35" ht="15.75" x14ac:dyDescent="0.25">
      <c r="A386" s="185"/>
      <c r="B386" s="186"/>
      <c r="C386" s="184"/>
      <c r="D386" s="211" t="s">
        <v>746</v>
      </c>
      <c r="E386" s="212"/>
      <c r="F386" s="212"/>
      <c r="G386" s="212"/>
      <c r="H386" s="212"/>
      <c r="I386" s="213"/>
      <c r="J386" s="66"/>
      <c r="K386" s="214">
        <v>0.15</v>
      </c>
      <c r="L386" s="215"/>
      <c r="M386" s="214"/>
      <c r="N386" s="215"/>
      <c r="O386" s="214">
        <v>0.3</v>
      </c>
      <c r="P386" s="215"/>
      <c r="Q386" s="214"/>
      <c r="R386" s="215"/>
      <c r="S386" s="214">
        <v>4.9000000000000004</v>
      </c>
      <c r="T386" s="215"/>
      <c r="U386" s="214"/>
      <c r="V386" s="215"/>
      <c r="W386" s="208">
        <f t="shared" si="30"/>
        <v>4.4999999999999998E-2</v>
      </c>
      <c r="X386" s="209"/>
      <c r="Y386" s="210"/>
      <c r="Z386" s="180">
        <f t="shared" si="31"/>
        <v>0.2205</v>
      </c>
      <c r="AA386" s="181"/>
      <c r="AB386" s="182"/>
      <c r="AC386" s="54"/>
      <c r="AD386" s="55"/>
      <c r="AE386" s="56"/>
      <c r="AF386" s="54"/>
      <c r="AG386" s="55"/>
      <c r="AH386" s="57"/>
    </row>
    <row r="387" spans="1:35" ht="15.75" x14ac:dyDescent="0.25">
      <c r="A387" s="185"/>
      <c r="B387" s="186"/>
      <c r="C387" s="184"/>
      <c r="D387" s="211" t="s">
        <v>747</v>
      </c>
      <c r="E387" s="212"/>
      <c r="F387" s="212"/>
      <c r="G387" s="212"/>
      <c r="H387" s="212"/>
      <c r="I387" s="213"/>
      <c r="J387" s="66"/>
      <c r="K387" s="214">
        <v>0.15</v>
      </c>
      <c r="L387" s="215"/>
      <c r="M387" s="214"/>
      <c r="N387" s="215"/>
      <c r="O387" s="214">
        <v>0.3</v>
      </c>
      <c r="P387" s="215"/>
      <c r="Q387" s="214"/>
      <c r="R387" s="215"/>
      <c r="S387" s="214">
        <v>4.9000000000000004</v>
      </c>
      <c r="T387" s="215"/>
      <c r="U387" s="214"/>
      <c r="V387" s="215"/>
      <c r="W387" s="208">
        <f t="shared" si="30"/>
        <v>4.4999999999999998E-2</v>
      </c>
      <c r="X387" s="209"/>
      <c r="Y387" s="210"/>
      <c r="Z387" s="180">
        <f t="shared" si="31"/>
        <v>0.2205</v>
      </c>
      <c r="AA387" s="181"/>
      <c r="AB387" s="182"/>
      <c r="AC387" s="54"/>
      <c r="AD387" s="55"/>
      <c r="AE387" s="56"/>
      <c r="AF387" s="54"/>
      <c r="AG387" s="55"/>
      <c r="AH387" s="57"/>
    </row>
    <row r="388" spans="1:35" ht="15.75" x14ac:dyDescent="0.25">
      <c r="A388" s="185"/>
      <c r="B388" s="186"/>
      <c r="C388" s="184"/>
      <c r="D388" s="211" t="s">
        <v>748</v>
      </c>
      <c r="E388" s="212"/>
      <c r="F388" s="212"/>
      <c r="G388" s="212"/>
      <c r="H388" s="212"/>
      <c r="I388" s="213"/>
      <c r="J388" s="66"/>
      <c r="K388" s="214">
        <v>0.15</v>
      </c>
      <c r="L388" s="215"/>
      <c r="M388" s="214"/>
      <c r="N388" s="215"/>
      <c r="O388" s="214">
        <v>0.3</v>
      </c>
      <c r="P388" s="215"/>
      <c r="Q388" s="214"/>
      <c r="R388" s="215"/>
      <c r="S388" s="214">
        <v>4.9000000000000004</v>
      </c>
      <c r="T388" s="215"/>
      <c r="U388" s="214"/>
      <c r="V388" s="215"/>
      <c r="W388" s="208">
        <f t="shared" si="30"/>
        <v>4.4999999999999998E-2</v>
      </c>
      <c r="X388" s="209"/>
      <c r="Y388" s="210"/>
      <c r="Z388" s="180">
        <f t="shared" si="31"/>
        <v>0.2205</v>
      </c>
      <c r="AA388" s="181"/>
      <c r="AB388" s="182"/>
      <c r="AC388" s="54"/>
      <c r="AD388" s="55"/>
      <c r="AE388" s="56"/>
      <c r="AF388" s="54"/>
      <c r="AG388" s="55"/>
      <c r="AH388" s="57"/>
    </row>
    <row r="389" spans="1:35" ht="15.75" x14ac:dyDescent="0.25">
      <c r="A389" s="185"/>
      <c r="B389" s="186"/>
      <c r="C389" s="184"/>
      <c r="D389" s="211" t="s">
        <v>749</v>
      </c>
      <c r="E389" s="212"/>
      <c r="F389" s="212"/>
      <c r="G389" s="212"/>
      <c r="H389" s="212"/>
      <c r="I389" s="213"/>
      <c r="J389" s="66"/>
      <c r="K389" s="214">
        <v>0.15</v>
      </c>
      <c r="L389" s="215"/>
      <c r="M389" s="214"/>
      <c r="N389" s="215"/>
      <c r="O389" s="214">
        <v>0.3</v>
      </c>
      <c r="P389" s="215"/>
      <c r="Q389" s="214"/>
      <c r="R389" s="215"/>
      <c r="S389" s="214">
        <v>4.9000000000000004</v>
      </c>
      <c r="T389" s="215"/>
      <c r="U389" s="183"/>
      <c r="V389" s="184"/>
      <c r="W389" s="208">
        <f t="shared" si="30"/>
        <v>4.4999999999999998E-2</v>
      </c>
      <c r="X389" s="209"/>
      <c r="Y389" s="210"/>
      <c r="Z389" s="180">
        <f t="shared" si="31"/>
        <v>0.2205</v>
      </c>
      <c r="AA389" s="181"/>
      <c r="AB389" s="182"/>
      <c r="AC389" s="54"/>
      <c r="AD389" s="55"/>
      <c r="AE389" s="56"/>
      <c r="AF389" s="54"/>
      <c r="AG389" s="55"/>
      <c r="AH389" s="57"/>
    </row>
    <row r="390" spans="1:35" ht="15.75" x14ac:dyDescent="0.25">
      <c r="A390" s="185"/>
      <c r="B390" s="186"/>
      <c r="C390" s="184"/>
      <c r="D390" s="211" t="s">
        <v>750</v>
      </c>
      <c r="E390" s="212"/>
      <c r="F390" s="212"/>
      <c r="G390" s="212"/>
      <c r="H390" s="212"/>
      <c r="I390" s="213"/>
      <c r="J390" s="66"/>
      <c r="K390" s="214">
        <v>0.15</v>
      </c>
      <c r="L390" s="215"/>
      <c r="M390" s="214"/>
      <c r="N390" s="215"/>
      <c r="O390" s="214">
        <v>0.3</v>
      </c>
      <c r="P390" s="215"/>
      <c r="Q390" s="214"/>
      <c r="R390" s="215"/>
      <c r="S390" s="214">
        <v>4.9000000000000004</v>
      </c>
      <c r="T390" s="215"/>
      <c r="U390" s="214"/>
      <c r="V390" s="215"/>
      <c r="W390" s="208">
        <f t="shared" si="30"/>
        <v>4.4999999999999998E-2</v>
      </c>
      <c r="X390" s="209"/>
      <c r="Y390" s="210"/>
      <c r="Z390" s="180">
        <f t="shared" si="31"/>
        <v>0.2205</v>
      </c>
      <c r="AA390" s="181"/>
      <c r="AB390" s="182"/>
      <c r="AC390" s="54"/>
      <c r="AD390" s="55"/>
      <c r="AE390" s="56"/>
      <c r="AF390" s="54"/>
      <c r="AG390" s="55"/>
      <c r="AH390" s="57"/>
    </row>
    <row r="391" spans="1:35" ht="15.75" x14ac:dyDescent="0.25">
      <c r="A391" s="185"/>
      <c r="B391" s="186"/>
      <c r="C391" s="184"/>
      <c r="D391" s="211" t="s">
        <v>751</v>
      </c>
      <c r="E391" s="212"/>
      <c r="F391" s="212"/>
      <c r="G391" s="212"/>
      <c r="H391" s="212"/>
      <c r="I391" s="213"/>
      <c r="J391" s="66"/>
      <c r="K391" s="214">
        <v>0.15</v>
      </c>
      <c r="L391" s="215"/>
      <c r="M391" s="214"/>
      <c r="N391" s="215"/>
      <c r="O391" s="214">
        <v>0.3</v>
      </c>
      <c r="P391" s="215"/>
      <c r="Q391" s="214"/>
      <c r="R391" s="215"/>
      <c r="S391" s="214">
        <v>4.9000000000000004</v>
      </c>
      <c r="T391" s="215"/>
      <c r="U391" s="214"/>
      <c r="V391" s="215"/>
      <c r="W391" s="208">
        <f t="shared" si="30"/>
        <v>4.4999999999999998E-2</v>
      </c>
      <c r="X391" s="209"/>
      <c r="Y391" s="210"/>
      <c r="Z391" s="180">
        <f t="shared" si="31"/>
        <v>0.2205</v>
      </c>
      <c r="AA391" s="181"/>
      <c r="AB391" s="182"/>
      <c r="AC391" s="54"/>
      <c r="AD391" s="55"/>
      <c r="AE391" s="56"/>
      <c r="AF391" s="54"/>
      <c r="AG391" s="55"/>
      <c r="AH391" s="57"/>
    </row>
    <row r="392" spans="1:35" ht="15.75" x14ac:dyDescent="0.25">
      <c r="A392" s="185"/>
      <c r="B392" s="186"/>
      <c r="C392" s="184"/>
      <c r="D392" s="211" t="s">
        <v>752</v>
      </c>
      <c r="E392" s="212"/>
      <c r="F392" s="212"/>
      <c r="G392" s="212"/>
      <c r="H392" s="212"/>
      <c r="I392" s="213"/>
      <c r="J392" s="66"/>
      <c r="K392" s="214">
        <v>0.2</v>
      </c>
      <c r="L392" s="215"/>
      <c r="M392" s="214"/>
      <c r="N392" s="215"/>
      <c r="O392" s="214">
        <v>0.3</v>
      </c>
      <c r="P392" s="215"/>
      <c r="Q392" s="214"/>
      <c r="R392" s="215"/>
      <c r="S392" s="214">
        <v>4.9000000000000004</v>
      </c>
      <c r="T392" s="215"/>
      <c r="U392" s="214"/>
      <c r="V392" s="215"/>
      <c r="W392" s="208">
        <f t="shared" si="30"/>
        <v>0.06</v>
      </c>
      <c r="X392" s="209"/>
      <c r="Y392" s="210"/>
      <c r="Z392" s="180">
        <f t="shared" si="31"/>
        <v>0.29399999999999998</v>
      </c>
      <c r="AA392" s="181"/>
      <c r="AB392" s="182"/>
      <c r="AC392" s="54"/>
      <c r="AD392" s="55"/>
      <c r="AE392" s="56"/>
      <c r="AF392" s="54"/>
      <c r="AG392" s="55"/>
      <c r="AH392" s="57"/>
    </row>
    <row r="393" spans="1:35" ht="15.75" x14ac:dyDescent="0.25">
      <c r="A393" s="185"/>
      <c r="B393" s="186"/>
      <c r="C393" s="184"/>
      <c r="D393" s="211" t="s">
        <v>753</v>
      </c>
      <c r="E393" s="212"/>
      <c r="F393" s="212"/>
      <c r="G393" s="212"/>
      <c r="H393" s="212"/>
      <c r="I393" s="213"/>
      <c r="J393" s="66"/>
      <c r="K393" s="214">
        <v>0.2</v>
      </c>
      <c r="L393" s="215"/>
      <c r="M393" s="214"/>
      <c r="N393" s="215"/>
      <c r="O393" s="214">
        <v>0.3</v>
      </c>
      <c r="P393" s="215"/>
      <c r="Q393" s="214"/>
      <c r="R393" s="215"/>
      <c r="S393" s="214">
        <v>4.9000000000000004</v>
      </c>
      <c r="T393" s="215"/>
      <c r="U393" s="214"/>
      <c r="V393" s="215"/>
      <c r="W393" s="208">
        <f t="shared" si="30"/>
        <v>0.06</v>
      </c>
      <c r="X393" s="209"/>
      <c r="Y393" s="210"/>
      <c r="Z393" s="180">
        <f t="shared" si="31"/>
        <v>0.29399999999999998</v>
      </c>
      <c r="AA393" s="181"/>
      <c r="AB393" s="182"/>
      <c r="AC393" s="54"/>
      <c r="AD393" s="55"/>
      <c r="AE393" s="56"/>
      <c r="AF393" s="54"/>
      <c r="AG393" s="55"/>
      <c r="AH393" s="57"/>
    </row>
    <row r="394" spans="1:35" ht="15.75" x14ac:dyDescent="0.25">
      <c r="A394" s="185"/>
      <c r="B394" s="186"/>
      <c r="C394" s="184"/>
      <c r="D394" s="211" t="s">
        <v>754</v>
      </c>
      <c r="E394" s="212"/>
      <c r="F394" s="212"/>
      <c r="G394" s="212"/>
      <c r="H394" s="212"/>
      <c r="I394" s="213"/>
      <c r="J394" s="66"/>
      <c r="K394" s="214">
        <v>0.15</v>
      </c>
      <c r="L394" s="215"/>
      <c r="M394" s="214"/>
      <c r="N394" s="215"/>
      <c r="O394" s="214">
        <v>0.3</v>
      </c>
      <c r="P394" s="215"/>
      <c r="Q394" s="214"/>
      <c r="R394" s="215"/>
      <c r="S394" s="214">
        <v>4.9000000000000004</v>
      </c>
      <c r="T394" s="215"/>
      <c r="U394" s="214"/>
      <c r="V394" s="215"/>
      <c r="W394" s="208">
        <f t="shared" si="30"/>
        <v>4.4999999999999998E-2</v>
      </c>
      <c r="X394" s="209"/>
      <c r="Y394" s="210"/>
      <c r="Z394" s="180">
        <f t="shared" si="31"/>
        <v>0.2205</v>
      </c>
      <c r="AA394" s="181"/>
      <c r="AB394" s="182"/>
      <c r="AC394" s="54"/>
      <c r="AD394" s="55"/>
      <c r="AE394" s="56"/>
      <c r="AF394" s="54"/>
      <c r="AG394" s="55"/>
      <c r="AH394" s="57"/>
    </row>
    <row r="395" spans="1:35" ht="15.75" x14ac:dyDescent="0.25">
      <c r="A395" s="185"/>
      <c r="B395" s="186"/>
      <c r="C395" s="184"/>
      <c r="D395" s="211" t="s">
        <v>755</v>
      </c>
      <c r="E395" s="212"/>
      <c r="F395" s="212"/>
      <c r="G395" s="212"/>
      <c r="H395" s="212"/>
      <c r="I395" s="213"/>
      <c r="J395" s="66"/>
      <c r="K395" s="214">
        <v>0.15</v>
      </c>
      <c r="L395" s="215"/>
      <c r="M395" s="214"/>
      <c r="N395" s="215"/>
      <c r="O395" s="214">
        <v>0.3</v>
      </c>
      <c r="P395" s="215"/>
      <c r="Q395" s="214"/>
      <c r="R395" s="215"/>
      <c r="S395" s="214">
        <v>4.9000000000000004</v>
      </c>
      <c r="T395" s="215"/>
      <c r="U395" s="214"/>
      <c r="V395" s="215"/>
      <c r="W395" s="208">
        <f t="shared" si="30"/>
        <v>4.4999999999999998E-2</v>
      </c>
      <c r="X395" s="209"/>
      <c r="Y395" s="210"/>
      <c r="Z395" s="180">
        <f t="shared" si="31"/>
        <v>0.2205</v>
      </c>
      <c r="AA395" s="181"/>
      <c r="AB395" s="182"/>
      <c r="AC395" s="54"/>
      <c r="AD395" s="55"/>
      <c r="AE395" s="56"/>
      <c r="AF395" s="54"/>
      <c r="AG395" s="55"/>
      <c r="AH395" s="57"/>
    </row>
    <row r="396" spans="1:35" ht="15.75" x14ac:dyDescent="0.25">
      <c r="A396" s="185"/>
      <c r="B396" s="186"/>
      <c r="C396" s="184"/>
      <c r="D396" s="211" t="s">
        <v>756</v>
      </c>
      <c r="E396" s="212"/>
      <c r="F396" s="212"/>
      <c r="G396" s="212"/>
      <c r="H396" s="212"/>
      <c r="I396" s="213"/>
      <c r="J396" s="66"/>
      <c r="K396" s="214">
        <v>0.15</v>
      </c>
      <c r="L396" s="215"/>
      <c r="M396" s="214"/>
      <c r="N396" s="215"/>
      <c r="O396" s="214">
        <v>0.3</v>
      </c>
      <c r="P396" s="215"/>
      <c r="Q396" s="214"/>
      <c r="R396" s="215"/>
      <c r="S396" s="214">
        <v>4.9000000000000004</v>
      </c>
      <c r="T396" s="215"/>
      <c r="U396" s="214"/>
      <c r="V396" s="215"/>
      <c r="W396" s="208">
        <f t="shared" si="30"/>
        <v>4.4999999999999998E-2</v>
      </c>
      <c r="X396" s="209"/>
      <c r="Y396" s="210"/>
      <c r="Z396" s="180">
        <f t="shared" si="31"/>
        <v>0.2205</v>
      </c>
      <c r="AA396" s="181"/>
      <c r="AB396" s="182"/>
      <c r="AC396" s="54"/>
      <c r="AD396" s="55"/>
      <c r="AE396" s="56"/>
      <c r="AF396" s="54"/>
      <c r="AG396" s="55"/>
      <c r="AH396" s="57"/>
    </row>
    <row r="397" spans="1:35" ht="15.75" x14ac:dyDescent="0.25">
      <c r="A397" s="185"/>
      <c r="B397" s="186"/>
      <c r="C397" s="184"/>
      <c r="D397" s="211" t="s">
        <v>757</v>
      </c>
      <c r="E397" s="212"/>
      <c r="F397" s="212"/>
      <c r="G397" s="212"/>
      <c r="H397" s="212"/>
      <c r="I397" s="213"/>
      <c r="J397" s="66"/>
      <c r="K397" s="214">
        <v>0.15</v>
      </c>
      <c r="L397" s="215"/>
      <c r="M397" s="214"/>
      <c r="N397" s="215"/>
      <c r="O397" s="214">
        <v>0.3</v>
      </c>
      <c r="P397" s="215"/>
      <c r="Q397" s="214"/>
      <c r="R397" s="215"/>
      <c r="S397" s="214">
        <v>4.9000000000000004</v>
      </c>
      <c r="T397" s="215"/>
      <c r="U397" s="183"/>
      <c r="V397" s="184"/>
      <c r="W397" s="208">
        <f t="shared" si="30"/>
        <v>4.4999999999999998E-2</v>
      </c>
      <c r="X397" s="209"/>
      <c r="Y397" s="210"/>
      <c r="Z397" s="180">
        <f t="shared" si="31"/>
        <v>0.2205</v>
      </c>
      <c r="AA397" s="181"/>
      <c r="AB397" s="182"/>
      <c r="AC397" s="54"/>
      <c r="AD397" s="55"/>
      <c r="AE397" s="56"/>
      <c r="AF397" s="54"/>
      <c r="AG397" s="55"/>
      <c r="AH397" s="57"/>
    </row>
    <row r="398" spans="1:35" ht="15.75" x14ac:dyDescent="0.25">
      <c r="A398" s="189" t="str">
        <f>'MEMORIA BM 08'!A44</f>
        <v>5.7</v>
      </c>
      <c r="B398" s="190"/>
      <c r="C398" s="191"/>
      <c r="D398" s="218" t="str">
        <f>'MEMORIA BM 08'!B44</f>
        <v>LANÇAMENTO COM USO DE BOMBA, ADENSAMENTO E ACABAMENTO DE CONCRETO EM ESTRUTURAS. AF_12/2015</v>
      </c>
      <c r="E398" s="219"/>
      <c r="F398" s="219"/>
      <c r="G398" s="219"/>
      <c r="H398" s="219"/>
      <c r="I398" s="219"/>
      <c r="J398" s="219"/>
      <c r="K398" s="219"/>
      <c r="L398" s="219"/>
      <c r="M398" s="219"/>
      <c r="N398" s="219"/>
      <c r="O398" s="219"/>
      <c r="P398" s="219"/>
      <c r="Q398" s="219"/>
      <c r="R398" s="219"/>
      <c r="S398" s="219"/>
      <c r="T398" s="219"/>
      <c r="U398" s="219"/>
      <c r="V398" s="219"/>
      <c r="W398" s="219"/>
      <c r="X398" s="219"/>
      <c r="Y398" s="219"/>
      <c r="Z398" s="219"/>
      <c r="AA398" s="219"/>
      <c r="AB398" s="220"/>
      <c r="AC398" s="195">
        <f>SUM(Z399:AB491)</f>
        <v>18.993500000000022</v>
      </c>
      <c r="AD398" s="190"/>
      <c r="AE398" s="191"/>
      <c r="AF398" s="195" t="str">
        <f>'MEMORIA BM 08'!C44</f>
        <v>M3</v>
      </c>
      <c r="AG398" s="190"/>
      <c r="AH398" s="196"/>
      <c r="AI398">
        <v>18.989999999999998</v>
      </c>
    </row>
    <row r="399" spans="1:35" ht="15.75" x14ac:dyDescent="0.25">
      <c r="A399" s="185"/>
      <c r="B399" s="186"/>
      <c r="C399" s="184"/>
      <c r="D399" s="216" t="s">
        <v>665</v>
      </c>
      <c r="E399" s="217"/>
      <c r="F399" s="217"/>
      <c r="G399" s="217"/>
      <c r="H399" s="217"/>
      <c r="I399" s="217"/>
      <c r="J399" s="66"/>
      <c r="K399" s="214">
        <v>0.15</v>
      </c>
      <c r="L399" s="215"/>
      <c r="M399" s="214"/>
      <c r="N399" s="215"/>
      <c r="O399" s="214">
        <v>0.3</v>
      </c>
      <c r="P399" s="215"/>
      <c r="Q399" s="214"/>
      <c r="R399" s="215"/>
      <c r="S399" s="214">
        <f t="shared" ref="S399:S406" si="32">3.4+1.5</f>
        <v>4.9000000000000004</v>
      </c>
      <c r="T399" s="215"/>
      <c r="U399" s="214"/>
      <c r="V399" s="215"/>
      <c r="W399" s="180">
        <f>K399*O399</f>
        <v>4.4999999999999998E-2</v>
      </c>
      <c r="X399" s="181"/>
      <c r="Y399" s="182"/>
      <c r="Z399" s="180">
        <f>W399*S399</f>
        <v>0.2205</v>
      </c>
      <c r="AA399" s="181"/>
      <c r="AB399" s="182"/>
      <c r="AC399" s="54"/>
      <c r="AD399" s="55"/>
      <c r="AE399" s="56"/>
      <c r="AF399" s="54"/>
      <c r="AG399" s="55"/>
      <c r="AH399" s="57"/>
    </row>
    <row r="400" spans="1:35" ht="15.75" x14ac:dyDescent="0.25">
      <c r="A400" s="185"/>
      <c r="B400" s="186"/>
      <c r="C400" s="184"/>
      <c r="D400" s="216" t="s">
        <v>666</v>
      </c>
      <c r="E400" s="217"/>
      <c r="F400" s="217"/>
      <c r="G400" s="217"/>
      <c r="H400" s="217"/>
      <c r="I400" s="217"/>
      <c r="J400" s="66"/>
      <c r="K400" s="214">
        <v>0.2</v>
      </c>
      <c r="L400" s="215"/>
      <c r="M400" s="214"/>
      <c r="N400" s="215"/>
      <c r="O400" s="214">
        <v>0.3</v>
      </c>
      <c r="P400" s="215"/>
      <c r="Q400" s="214"/>
      <c r="R400" s="215"/>
      <c r="S400" s="214">
        <f t="shared" si="32"/>
        <v>4.9000000000000004</v>
      </c>
      <c r="T400" s="215"/>
      <c r="U400" s="214"/>
      <c r="V400" s="215"/>
      <c r="W400" s="208">
        <f t="shared" ref="W400:W463" si="33">K400*O400</f>
        <v>0.06</v>
      </c>
      <c r="X400" s="209"/>
      <c r="Y400" s="210"/>
      <c r="Z400" s="180">
        <f t="shared" ref="Z400:Z463" si="34">W400*S400</f>
        <v>0.29399999999999998</v>
      </c>
      <c r="AA400" s="181"/>
      <c r="AB400" s="182"/>
      <c r="AC400" s="54"/>
      <c r="AD400" s="55"/>
      <c r="AE400" s="56"/>
      <c r="AF400" s="54"/>
      <c r="AG400" s="55"/>
      <c r="AH400" s="57"/>
    </row>
    <row r="401" spans="1:34" ht="15.75" x14ac:dyDescent="0.25">
      <c r="A401" s="185"/>
      <c r="B401" s="186"/>
      <c r="C401" s="184"/>
      <c r="D401" s="216" t="s">
        <v>667</v>
      </c>
      <c r="E401" s="217"/>
      <c r="F401" s="217"/>
      <c r="G401" s="217"/>
      <c r="H401" s="217"/>
      <c r="I401" s="217"/>
      <c r="J401" s="66"/>
      <c r="K401" s="214">
        <v>0.2</v>
      </c>
      <c r="L401" s="215"/>
      <c r="M401" s="214"/>
      <c r="N401" s="215"/>
      <c r="O401" s="214">
        <v>0.3</v>
      </c>
      <c r="P401" s="215"/>
      <c r="Q401" s="214"/>
      <c r="R401" s="215"/>
      <c r="S401" s="214">
        <f t="shared" si="32"/>
        <v>4.9000000000000004</v>
      </c>
      <c r="T401" s="215"/>
      <c r="U401" s="214"/>
      <c r="V401" s="215"/>
      <c r="W401" s="208">
        <f t="shared" si="33"/>
        <v>0.06</v>
      </c>
      <c r="X401" s="209"/>
      <c r="Y401" s="210"/>
      <c r="Z401" s="180">
        <f t="shared" si="34"/>
        <v>0.29399999999999998</v>
      </c>
      <c r="AA401" s="181"/>
      <c r="AB401" s="182"/>
      <c r="AC401" s="54"/>
      <c r="AD401" s="55"/>
      <c r="AE401" s="56"/>
      <c r="AF401" s="54"/>
      <c r="AG401" s="55"/>
      <c r="AH401" s="57"/>
    </row>
    <row r="402" spans="1:34" ht="15.75" x14ac:dyDescent="0.25">
      <c r="A402" s="185"/>
      <c r="B402" s="186"/>
      <c r="C402" s="184"/>
      <c r="D402" s="216" t="s">
        <v>668</v>
      </c>
      <c r="E402" s="217"/>
      <c r="F402" s="217"/>
      <c r="G402" s="217"/>
      <c r="H402" s="217"/>
      <c r="I402" s="217"/>
      <c r="J402" s="66"/>
      <c r="K402" s="214">
        <v>0.2</v>
      </c>
      <c r="L402" s="215"/>
      <c r="M402" s="214"/>
      <c r="N402" s="215"/>
      <c r="O402" s="214">
        <v>0.3</v>
      </c>
      <c r="P402" s="215"/>
      <c r="Q402" s="214"/>
      <c r="R402" s="215"/>
      <c r="S402" s="214">
        <f t="shared" si="32"/>
        <v>4.9000000000000004</v>
      </c>
      <c r="T402" s="215"/>
      <c r="U402" s="214"/>
      <c r="V402" s="215"/>
      <c r="W402" s="208">
        <f t="shared" si="33"/>
        <v>0.06</v>
      </c>
      <c r="X402" s="209"/>
      <c r="Y402" s="210"/>
      <c r="Z402" s="180">
        <f t="shared" si="34"/>
        <v>0.29399999999999998</v>
      </c>
      <c r="AA402" s="181"/>
      <c r="AB402" s="182"/>
      <c r="AC402" s="54"/>
      <c r="AD402" s="55"/>
      <c r="AE402" s="56"/>
      <c r="AF402" s="54"/>
      <c r="AG402" s="55"/>
      <c r="AH402" s="57"/>
    </row>
    <row r="403" spans="1:34" ht="15.75" x14ac:dyDescent="0.25">
      <c r="A403" s="185"/>
      <c r="B403" s="186"/>
      <c r="C403" s="184"/>
      <c r="D403" s="216" t="s">
        <v>669</v>
      </c>
      <c r="E403" s="217"/>
      <c r="F403" s="217"/>
      <c r="G403" s="217"/>
      <c r="H403" s="217"/>
      <c r="I403" s="217"/>
      <c r="J403" s="66"/>
      <c r="K403" s="214">
        <v>0.15</v>
      </c>
      <c r="L403" s="215"/>
      <c r="M403" s="214"/>
      <c r="N403" s="215"/>
      <c r="O403" s="214">
        <v>0.3</v>
      </c>
      <c r="P403" s="215"/>
      <c r="Q403" s="214"/>
      <c r="R403" s="215"/>
      <c r="S403" s="214">
        <f t="shared" si="32"/>
        <v>4.9000000000000004</v>
      </c>
      <c r="T403" s="215"/>
      <c r="U403" s="183"/>
      <c r="V403" s="184"/>
      <c r="W403" s="208">
        <f t="shared" si="33"/>
        <v>4.4999999999999998E-2</v>
      </c>
      <c r="X403" s="209"/>
      <c r="Y403" s="210"/>
      <c r="Z403" s="180">
        <f t="shared" si="34"/>
        <v>0.2205</v>
      </c>
      <c r="AA403" s="181"/>
      <c r="AB403" s="182"/>
      <c r="AC403" s="54"/>
      <c r="AD403" s="55"/>
      <c r="AE403" s="56"/>
      <c r="AF403" s="54"/>
      <c r="AG403" s="55"/>
      <c r="AH403" s="57"/>
    </row>
    <row r="404" spans="1:34" ht="15.75" x14ac:dyDescent="0.25">
      <c r="A404" s="185"/>
      <c r="B404" s="186"/>
      <c r="C404" s="184"/>
      <c r="D404" s="216" t="s">
        <v>670</v>
      </c>
      <c r="E404" s="217"/>
      <c r="F404" s="217"/>
      <c r="G404" s="217"/>
      <c r="H404" s="217"/>
      <c r="I404" s="217"/>
      <c r="J404" s="66"/>
      <c r="K404" s="214">
        <v>0.15</v>
      </c>
      <c r="L404" s="215"/>
      <c r="M404" s="214"/>
      <c r="N404" s="215"/>
      <c r="O404" s="214">
        <v>0.3</v>
      </c>
      <c r="P404" s="215"/>
      <c r="Q404" s="214"/>
      <c r="R404" s="215"/>
      <c r="S404" s="214">
        <f t="shared" si="32"/>
        <v>4.9000000000000004</v>
      </c>
      <c r="T404" s="215"/>
      <c r="U404" s="214"/>
      <c r="V404" s="215"/>
      <c r="W404" s="208">
        <f t="shared" si="33"/>
        <v>4.4999999999999998E-2</v>
      </c>
      <c r="X404" s="209"/>
      <c r="Y404" s="210"/>
      <c r="Z404" s="180">
        <f t="shared" si="34"/>
        <v>0.2205</v>
      </c>
      <c r="AA404" s="181"/>
      <c r="AB404" s="182"/>
      <c r="AC404" s="54"/>
      <c r="AD404" s="55"/>
      <c r="AE404" s="56"/>
      <c r="AF404" s="54"/>
      <c r="AG404" s="55"/>
      <c r="AH404" s="57"/>
    </row>
    <row r="405" spans="1:34" ht="15.75" x14ac:dyDescent="0.25">
      <c r="A405" s="185"/>
      <c r="B405" s="186"/>
      <c r="C405" s="184"/>
      <c r="D405" s="216" t="s">
        <v>671</v>
      </c>
      <c r="E405" s="217"/>
      <c r="F405" s="217"/>
      <c r="G405" s="217"/>
      <c r="H405" s="217"/>
      <c r="I405" s="217"/>
      <c r="J405" s="66"/>
      <c r="K405" s="214">
        <v>0.15</v>
      </c>
      <c r="L405" s="215"/>
      <c r="M405" s="214"/>
      <c r="N405" s="215"/>
      <c r="O405" s="214">
        <v>0.3</v>
      </c>
      <c r="P405" s="215"/>
      <c r="Q405" s="214"/>
      <c r="R405" s="215"/>
      <c r="S405" s="214">
        <f t="shared" si="32"/>
        <v>4.9000000000000004</v>
      </c>
      <c r="T405" s="215"/>
      <c r="U405" s="214"/>
      <c r="V405" s="215"/>
      <c r="W405" s="208">
        <f t="shared" si="33"/>
        <v>4.4999999999999998E-2</v>
      </c>
      <c r="X405" s="209"/>
      <c r="Y405" s="210"/>
      <c r="Z405" s="180">
        <f t="shared" si="34"/>
        <v>0.2205</v>
      </c>
      <c r="AA405" s="181"/>
      <c r="AB405" s="182"/>
      <c r="AC405" s="54"/>
      <c r="AD405" s="55"/>
      <c r="AE405" s="56"/>
      <c r="AF405" s="54"/>
      <c r="AG405" s="55"/>
      <c r="AH405" s="57"/>
    </row>
    <row r="406" spans="1:34" ht="15.75" x14ac:dyDescent="0.25">
      <c r="A406" s="185"/>
      <c r="B406" s="186"/>
      <c r="C406" s="184"/>
      <c r="D406" s="216" t="s">
        <v>672</v>
      </c>
      <c r="E406" s="217"/>
      <c r="F406" s="217"/>
      <c r="G406" s="217"/>
      <c r="H406" s="217"/>
      <c r="I406" s="217"/>
      <c r="J406" s="66"/>
      <c r="K406" s="214">
        <v>0.15</v>
      </c>
      <c r="L406" s="215"/>
      <c r="M406" s="214"/>
      <c r="N406" s="215"/>
      <c r="O406" s="214">
        <v>0.3</v>
      </c>
      <c r="P406" s="215"/>
      <c r="Q406" s="214"/>
      <c r="R406" s="215"/>
      <c r="S406" s="214">
        <f t="shared" si="32"/>
        <v>4.9000000000000004</v>
      </c>
      <c r="T406" s="215"/>
      <c r="U406" s="214"/>
      <c r="V406" s="215"/>
      <c r="W406" s="208">
        <f t="shared" si="33"/>
        <v>4.4999999999999998E-2</v>
      </c>
      <c r="X406" s="209"/>
      <c r="Y406" s="210"/>
      <c r="Z406" s="180">
        <f t="shared" si="34"/>
        <v>0.2205</v>
      </c>
      <c r="AA406" s="181"/>
      <c r="AB406" s="182"/>
      <c r="AC406" s="54"/>
      <c r="AD406" s="55"/>
      <c r="AE406" s="56"/>
      <c r="AF406" s="54"/>
      <c r="AG406" s="55"/>
      <c r="AH406" s="57"/>
    </row>
    <row r="407" spans="1:34" ht="15.75" x14ac:dyDescent="0.25">
      <c r="A407" s="185"/>
      <c r="B407" s="186"/>
      <c r="C407" s="184"/>
      <c r="D407" s="216" t="s">
        <v>673</v>
      </c>
      <c r="E407" s="217"/>
      <c r="F407" s="217"/>
      <c r="G407" s="217"/>
      <c r="H407" s="217"/>
      <c r="I407" s="217"/>
      <c r="J407" s="66"/>
      <c r="K407" s="214">
        <v>0.15</v>
      </c>
      <c r="L407" s="215"/>
      <c r="M407" s="214"/>
      <c r="N407" s="215"/>
      <c r="O407" s="214">
        <v>0.3</v>
      </c>
      <c r="P407" s="215"/>
      <c r="Q407" s="214"/>
      <c r="R407" s="215"/>
      <c r="S407" s="214">
        <v>3.4</v>
      </c>
      <c r="T407" s="215"/>
      <c r="U407" s="214"/>
      <c r="V407" s="215"/>
      <c r="W407" s="208">
        <f t="shared" si="33"/>
        <v>4.4999999999999998E-2</v>
      </c>
      <c r="X407" s="209"/>
      <c r="Y407" s="210"/>
      <c r="Z407" s="180">
        <f t="shared" si="34"/>
        <v>0.153</v>
      </c>
      <c r="AA407" s="181"/>
      <c r="AB407" s="182"/>
      <c r="AC407" s="54"/>
      <c r="AD407" s="55"/>
      <c r="AE407" s="56"/>
      <c r="AF407" s="54"/>
      <c r="AG407" s="55"/>
      <c r="AH407" s="57"/>
    </row>
    <row r="408" spans="1:34" ht="15.75" x14ac:dyDescent="0.25">
      <c r="A408" s="185"/>
      <c r="B408" s="186"/>
      <c r="C408" s="184"/>
      <c r="D408" s="216" t="s">
        <v>674</v>
      </c>
      <c r="E408" s="217"/>
      <c r="F408" s="217"/>
      <c r="G408" s="217"/>
      <c r="H408" s="217"/>
      <c r="I408" s="217"/>
      <c r="J408" s="66"/>
      <c r="K408" s="214">
        <v>0.15</v>
      </c>
      <c r="L408" s="215"/>
      <c r="M408" s="214"/>
      <c r="N408" s="215"/>
      <c r="O408" s="214">
        <v>0.3</v>
      </c>
      <c r="P408" s="215"/>
      <c r="Q408" s="214"/>
      <c r="R408" s="215"/>
      <c r="S408" s="214">
        <v>4.9000000000000004</v>
      </c>
      <c r="T408" s="215"/>
      <c r="U408" s="214"/>
      <c r="V408" s="215"/>
      <c r="W408" s="208">
        <f t="shared" si="33"/>
        <v>4.4999999999999998E-2</v>
      </c>
      <c r="X408" s="209"/>
      <c r="Y408" s="210"/>
      <c r="Z408" s="180">
        <f t="shared" si="34"/>
        <v>0.2205</v>
      </c>
      <c r="AA408" s="181"/>
      <c r="AB408" s="182"/>
      <c r="AC408" s="54"/>
      <c r="AD408" s="55"/>
      <c r="AE408" s="56"/>
      <c r="AF408" s="54"/>
      <c r="AG408" s="55"/>
      <c r="AH408" s="57"/>
    </row>
    <row r="409" spans="1:34" ht="15.75" x14ac:dyDescent="0.25">
      <c r="A409" s="185"/>
      <c r="B409" s="186"/>
      <c r="C409" s="184"/>
      <c r="D409" s="216" t="s">
        <v>675</v>
      </c>
      <c r="E409" s="217"/>
      <c r="F409" s="217"/>
      <c r="G409" s="217"/>
      <c r="H409" s="217"/>
      <c r="I409" s="217"/>
      <c r="J409" s="66"/>
      <c r="K409" s="214">
        <v>0.15</v>
      </c>
      <c r="L409" s="215"/>
      <c r="M409" s="214"/>
      <c r="N409" s="215"/>
      <c r="O409" s="214">
        <v>0.3</v>
      </c>
      <c r="P409" s="215"/>
      <c r="Q409" s="214"/>
      <c r="R409" s="215"/>
      <c r="S409" s="214">
        <v>4.9000000000000004</v>
      </c>
      <c r="T409" s="215"/>
      <c r="U409" s="214"/>
      <c r="V409" s="215"/>
      <c r="W409" s="208">
        <f t="shared" si="33"/>
        <v>4.4999999999999998E-2</v>
      </c>
      <c r="X409" s="209"/>
      <c r="Y409" s="210"/>
      <c r="Z409" s="180">
        <f t="shared" si="34"/>
        <v>0.2205</v>
      </c>
      <c r="AA409" s="181"/>
      <c r="AB409" s="182"/>
      <c r="AC409" s="54"/>
      <c r="AD409" s="55"/>
      <c r="AE409" s="56"/>
      <c r="AF409" s="54"/>
      <c r="AG409" s="55"/>
      <c r="AH409" s="57"/>
    </row>
    <row r="410" spans="1:34" ht="15.75" x14ac:dyDescent="0.25">
      <c r="A410" s="185"/>
      <c r="B410" s="186"/>
      <c r="C410" s="184"/>
      <c r="D410" s="216" t="s">
        <v>676</v>
      </c>
      <c r="E410" s="217"/>
      <c r="F410" s="217"/>
      <c r="G410" s="217"/>
      <c r="H410" s="217"/>
      <c r="I410" s="217"/>
      <c r="J410" s="66"/>
      <c r="K410" s="214">
        <v>0.15</v>
      </c>
      <c r="L410" s="215"/>
      <c r="M410" s="214"/>
      <c r="N410" s="215"/>
      <c r="O410" s="214">
        <v>0.3</v>
      </c>
      <c r="P410" s="215"/>
      <c r="Q410" s="214"/>
      <c r="R410" s="215"/>
      <c r="S410" s="214">
        <v>3.4</v>
      </c>
      <c r="T410" s="215"/>
      <c r="U410" s="214"/>
      <c r="V410" s="215"/>
      <c r="W410" s="208">
        <f t="shared" si="33"/>
        <v>4.4999999999999998E-2</v>
      </c>
      <c r="X410" s="209"/>
      <c r="Y410" s="210"/>
      <c r="Z410" s="180">
        <f t="shared" si="34"/>
        <v>0.153</v>
      </c>
      <c r="AA410" s="181"/>
      <c r="AB410" s="182"/>
      <c r="AC410" s="54"/>
      <c r="AD410" s="55"/>
      <c r="AE410" s="56"/>
      <c r="AF410" s="54"/>
      <c r="AG410" s="55"/>
      <c r="AH410" s="57"/>
    </row>
    <row r="411" spans="1:34" ht="15.75" x14ac:dyDescent="0.25">
      <c r="A411" s="185"/>
      <c r="B411" s="186"/>
      <c r="C411" s="184"/>
      <c r="D411" s="216" t="s">
        <v>677</v>
      </c>
      <c r="E411" s="217"/>
      <c r="F411" s="217"/>
      <c r="G411" s="217"/>
      <c r="H411" s="217"/>
      <c r="I411" s="217"/>
      <c r="J411" s="66"/>
      <c r="K411" s="183">
        <v>0.2</v>
      </c>
      <c r="L411" s="184"/>
      <c r="M411" s="183"/>
      <c r="N411" s="184"/>
      <c r="O411" s="214">
        <v>0.3</v>
      </c>
      <c r="P411" s="215"/>
      <c r="Q411" s="183"/>
      <c r="R411" s="184"/>
      <c r="S411" s="183">
        <v>3.4</v>
      </c>
      <c r="T411" s="184"/>
      <c r="U411" s="183"/>
      <c r="V411" s="184"/>
      <c r="W411" s="208">
        <f t="shared" si="33"/>
        <v>0.06</v>
      </c>
      <c r="X411" s="209"/>
      <c r="Y411" s="210"/>
      <c r="Z411" s="180">
        <f t="shared" si="34"/>
        <v>0.20399999999999999</v>
      </c>
      <c r="AA411" s="181"/>
      <c r="AB411" s="182"/>
      <c r="AC411" s="54"/>
      <c r="AD411" s="55"/>
      <c r="AE411" s="56"/>
      <c r="AF411" s="54"/>
      <c r="AG411" s="55"/>
      <c r="AH411" s="57"/>
    </row>
    <row r="412" spans="1:34" ht="15.75" x14ac:dyDescent="0.25">
      <c r="A412" s="185"/>
      <c r="B412" s="186"/>
      <c r="C412" s="184"/>
      <c r="D412" s="211" t="s">
        <v>678</v>
      </c>
      <c r="E412" s="212"/>
      <c r="F412" s="212"/>
      <c r="G412" s="212"/>
      <c r="H412" s="212"/>
      <c r="I412" s="213"/>
      <c r="J412" s="66"/>
      <c r="K412" s="214">
        <v>0.15</v>
      </c>
      <c r="L412" s="215"/>
      <c r="M412" s="214"/>
      <c r="N412" s="215"/>
      <c r="O412" s="214">
        <v>0.3</v>
      </c>
      <c r="P412" s="215"/>
      <c r="Q412" s="214"/>
      <c r="R412" s="215"/>
      <c r="S412" s="214">
        <v>3.4</v>
      </c>
      <c r="T412" s="215"/>
      <c r="U412" s="214"/>
      <c r="V412" s="215"/>
      <c r="W412" s="208">
        <f t="shared" si="33"/>
        <v>4.4999999999999998E-2</v>
      </c>
      <c r="X412" s="209"/>
      <c r="Y412" s="210"/>
      <c r="Z412" s="180">
        <f t="shared" si="34"/>
        <v>0.153</v>
      </c>
      <c r="AA412" s="181"/>
      <c r="AB412" s="182"/>
      <c r="AC412" s="54"/>
      <c r="AD412" s="55"/>
      <c r="AE412" s="56"/>
      <c r="AF412" s="54"/>
      <c r="AG412" s="55"/>
      <c r="AH412" s="57"/>
    </row>
    <row r="413" spans="1:34" ht="15.75" x14ac:dyDescent="0.25">
      <c r="A413" s="185"/>
      <c r="B413" s="186"/>
      <c r="C413" s="184"/>
      <c r="D413" s="211" t="s">
        <v>680</v>
      </c>
      <c r="E413" s="212"/>
      <c r="F413" s="212"/>
      <c r="G413" s="212"/>
      <c r="H413" s="212"/>
      <c r="I413" s="213"/>
      <c r="J413" s="66"/>
      <c r="K413" s="214">
        <v>0.15</v>
      </c>
      <c r="L413" s="215"/>
      <c r="M413" s="214"/>
      <c r="N413" s="215"/>
      <c r="O413" s="214">
        <v>0.3</v>
      </c>
      <c r="P413" s="215"/>
      <c r="Q413" s="214"/>
      <c r="R413" s="215"/>
      <c r="S413" s="214">
        <v>3.4</v>
      </c>
      <c r="T413" s="215"/>
      <c r="U413" s="214"/>
      <c r="V413" s="215"/>
      <c r="W413" s="208">
        <f t="shared" si="33"/>
        <v>4.4999999999999998E-2</v>
      </c>
      <c r="X413" s="209"/>
      <c r="Y413" s="210"/>
      <c r="Z413" s="180">
        <f t="shared" si="34"/>
        <v>0.153</v>
      </c>
      <c r="AA413" s="181"/>
      <c r="AB413" s="182"/>
      <c r="AC413" s="54"/>
      <c r="AD413" s="55"/>
      <c r="AE413" s="56"/>
      <c r="AF413" s="54"/>
      <c r="AG413" s="55"/>
      <c r="AH413" s="57"/>
    </row>
    <row r="414" spans="1:34" ht="15.75" x14ac:dyDescent="0.25">
      <c r="A414" s="185"/>
      <c r="B414" s="186"/>
      <c r="C414" s="184"/>
      <c r="D414" s="211" t="s">
        <v>681</v>
      </c>
      <c r="E414" s="212"/>
      <c r="F414" s="212"/>
      <c r="G414" s="212"/>
      <c r="H414" s="212"/>
      <c r="I414" s="213"/>
      <c r="J414" s="66"/>
      <c r="K414" s="214">
        <v>0.15</v>
      </c>
      <c r="L414" s="215"/>
      <c r="M414" s="214"/>
      <c r="N414" s="215"/>
      <c r="O414" s="214">
        <v>0.3</v>
      </c>
      <c r="P414" s="215"/>
      <c r="Q414" s="214"/>
      <c r="R414" s="215"/>
      <c r="S414" s="214">
        <v>4.9000000000000004</v>
      </c>
      <c r="T414" s="215"/>
      <c r="U414" s="214"/>
      <c r="V414" s="215"/>
      <c r="W414" s="208">
        <f t="shared" si="33"/>
        <v>4.4999999999999998E-2</v>
      </c>
      <c r="X414" s="209"/>
      <c r="Y414" s="210"/>
      <c r="Z414" s="180">
        <f t="shared" si="34"/>
        <v>0.2205</v>
      </c>
      <c r="AA414" s="181"/>
      <c r="AB414" s="182"/>
      <c r="AC414" s="54"/>
      <c r="AD414" s="55"/>
      <c r="AE414" s="56"/>
      <c r="AF414" s="54"/>
      <c r="AG414" s="55"/>
      <c r="AH414" s="57"/>
    </row>
    <row r="415" spans="1:34" ht="15.75" x14ac:dyDescent="0.25">
      <c r="A415" s="185"/>
      <c r="B415" s="186"/>
      <c r="C415" s="184"/>
      <c r="D415" s="211" t="s">
        <v>682</v>
      </c>
      <c r="E415" s="212"/>
      <c r="F415" s="212"/>
      <c r="G415" s="212"/>
      <c r="H415" s="212"/>
      <c r="I415" s="213"/>
      <c r="J415" s="66"/>
      <c r="K415" s="214">
        <v>0.15</v>
      </c>
      <c r="L415" s="215"/>
      <c r="M415" s="214"/>
      <c r="N415" s="215"/>
      <c r="O415" s="214">
        <v>0.3</v>
      </c>
      <c r="P415" s="215"/>
      <c r="Q415" s="214"/>
      <c r="R415" s="215"/>
      <c r="S415" s="214">
        <v>3.4</v>
      </c>
      <c r="T415" s="215"/>
      <c r="U415" s="214"/>
      <c r="V415" s="215"/>
      <c r="W415" s="208">
        <f t="shared" si="33"/>
        <v>4.4999999999999998E-2</v>
      </c>
      <c r="X415" s="209"/>
      <c r="Y415" s="210"/>
      <c r="Z415" s="180">
        <f t="shared" si="34"/>
        <v>0.153</v>
      </c>
      <c r="AA415" s="181"/>
      <c r="AB415" s="182"/>
      <c r="AC415" s="54"/>
      <c r="AD415" s="55"/>
      <c r="AE415" s="56"/>
      <c r="AF415" s="54"/>
      <c r="AG415" s="55"/>
      <c r="AH415" s="57"/>
    </row>
    <row r="416" spans="1:34" ht="15.75" x14ac:dyDescent="0.25">
      <c r="A416" s="185"/>
      <c r="B416" s="186"/>
      <c r="C416" s="184"/>
      <c r="D416" s="211" t="s">
        <v>683</v>
      </c>
      <c r="E416" s="212"/>
      <c r="F416" s="212"/>
      <c r="G416" s="212"/>
      <c r="H416" s="212"/>
      <c r="I416" s="213"/>
      <c r="J416" s="66"/>
      <c r="K416" s="214">
        <v>0.15</v>
      </c>
      <c r="L416" s="215"/>
      <c r="M416" s="214"/>
      <c r="N416" s="215"/>
      <c r="O416" s="214">
        <v>0.3</v>
      </c>
      <c r="P416" s="215"/>
      <c r="Q416" s="214"/>
      <c r="R416" s="215"/>
      <c r="S416" s="214">
        <v>4.9000000000000004</v>
      </c>
      <c r="T416" s="215"/>
      <c r="U416" s="214"/>
      <c r="V416" s="215"/>
      <c r="W416" s="208">
        <f t="shared" si="33"/>
        <v>4.4999999999999998E-2</v>
      </c>
      <c r="X416" s="209"/>
      <c r="Y416" s="210"/>
      <c r="Z416" s="180">
        <f t="shared" si="34"/>
        <v>0.2205</v>
      </c>
      <c r="AA416" s="181"/>
      <c r="AB416" s="182"/>
      <c r="AC416" s="54"/>
      <c r="AD416" s="55"/>
      <c r="AE416" s="56"/>
      <c r="AF416" s="54"/>
      <c r="AG416" s="55"/>
      <c r="AH416" s="57"/>
    </row>
    <row r="417" spans="1:34" ht="15.75" x14ac:dyDescent="0.25">
      <c r="A417" s="185"/>
      <c r="B417" s="186"/>
      <c r="C417" s="184"/>
      <c r="D417" s="211" t="s">
        <v>679</v>
      </c>
      <c r="E417" s="212"/>
      <c r="F417" s="212"/>
      <c r="G417" s="212"/>
      <c r="H417" s="212"/>
      <c r="I417" s="213"/>
      <c r="J417" s="66"/>
      <c r="K417" s="214">
        <v>0.15</v>
      </c>
      <c r="L417" s="215"/>
      <c r="M417" s="214"/>
      <c r="N417" s="215"/>
      <c r="O417" s="214">
        <v>0.3</v>
      </c>
      <c r="P417" s="215"/>
      <c r="Q417" s="214"/>
      <c r="R417" s="215"/>
      <c r="S417" s="214">
        <v>3.4</v>
      </c>
      <c r="T417" s="215"/>
      <c r="U417" s="214"/>
      <c r="V417" s="215"/>
      <c r="W417" s="208">
        <f t="shared" si="33"/>
        <v>4.4999999999999998E-2</v>
      </c>
      <c r="X417" s="209"/>
      <c r="Y417" s="210"/>
      <c r="Z417" s="180">
        <f t="shared" si="34"/>
        <v>0.153</v>
      </c>
      <c r="AA417" s="181"/>
      <c r="AB417" s="182"/>
      <c r="AC417" s="54"/>
      <c r="AD417" s="55"/>
      <c r="AE417" s="56"/>
      <c r="AF417" s="54"/>
      <c r="AG417" s="55"/>
      <c r="AH417" s="57"/>
    </row>
    <row r="418" spans="1:34" ht="15.75" x14ac:dyDescent="0.25">
      <c r="A418" s="185"/>
      <c r="B418" s="186"/>
      <c r="C418" s="184"/>
      <c r="D418" s="211" t="s">
        <v>684</v>
      </c>
      <c r="E418" s="212"/>
      <c r="F418" s="212"/>
      <c r="G418" s="212"/>
      <c r="H418" s="212"/>
      <c r="I418" s="213"/>
      <c r="J418" s="66"/>
      <c r="K418" s="214">
        <v>0.15</v>
      </c>
      <c r="L418" s="215"/>
      <c r="M418" s="214"/>
      <c r="N418" s="215"/>
      <c r="O418" s="214">
        <v>0.3</v>
      </c>
      <c r="P418" s="215"/>
      <c r="Q418" s="214"/>
      <c r="R418" s="215"/>
      <c r="S418" s="214">
        <v>4.9000000000000004</v>
      </c>
      <c r="T418" s="215"/>
      <c r="U418" s="214"/>
      <c r="V418" s="215"/>
      <c r="W418" s="208">
        <f t="shared" si="33"/>
        <v>4.4999999999999998E-2</v>
      </c>
      <c r="X418" s="209"/>
      <c r="Y418" s="210"/>
      <c r="Z418" s="180">
        <f t="shared" si="34"/>
        <v>0.2205</v>
      </c>
      <c r="AA418" s="181"/>
      <c r="AB418" s="182"/>
      <c r="AC418" s="54"/>
      <c r="AD418" s="55"/>
      <c r="AE418" s="56"/>
      <c r="AF418" s="54"/>
      <c r="AG418" s="55"/>
      <c r="AH418" s="57"/>
    </row>
    <row r="419" spans="1:34" ht="15.75" x14ac:dyDescent="0.25">
      <c r="A419" s="185"/>
      <c r="B419" s="186"/>
      <c r="C419" s="184"/>
      <c r="D419" s="211" t="s">
        <v>685</v>
      </c>
      <c r="E419" s="212"/>
      <c r="F419" s="212"/>
      <c r="G419" s="212"/>
      <c r="H419" s="212"/>
      <c r="I419" s="213"/>
      <c r="J419" s="66"/>
      <c r="K419" s="183">
        <v>0.15</v>
      </c>
      <c r="L419" s="184"/>
      <c r="M419" s="183"/>
      <c r="N419" s="184"/>
      <c r="O419" s="214">
        <v>0.4</v>
      </c>
      <c r="P419" s="215"/>
      <c r="Q419" s="183"/>
      <c r="R419" s="184"/>
      <c r="S419" s="183">
        <v>4.9000000000000004</v>
      </c>
      <c r="T419" s="184"/>
      <c r="U419" s="183"/>
      <c r="V419" s="184"/>
      <c r="W419" s="208">
        <f t="shared" si="33"/>
        <v>0.06</v>
      </c>
      <c r="X419" s="209"/>
      <c r="Y419" s="210"/>
      <c r="Z419" s="180">
        <f t="shared" si="34"/>
        <v>0.29399999999999998</v>
      </c>
      <c r="AA419" s="181"/>
      <c r="AB419" s="182"/>
      <c r="AC419" s="54"/>
      <c r="AD419" s="55"/>
      <c r="AE419" s="56"/>
      <c r="AF419" s="54"/>
      <c r="AG419" s="55"/>
      <c r="AH419" s="57"/>
    </row>
    <row r="420" spans="1:34" ht="15.75" x14ac:dyDescent="0.25">
      <c r="A420" s="185"/>
      <c r="B420" s="186"/>
      <c r="C420" s="184"/>
      <c r="D420" s="211" t="s">
        <v>686</v>
      </c>
      <c r="E420" s="212"/>
      <c r="F420" s="212"/>
      <c r="G420" s="212"/>
      <c r="H420" s="212"/>
      <c r="I420" s="213"/>
      <c r="J420" s="66"/>
      <c r="K420" s="214">
        <v>0.2</v>
      </c>
      <c r="L420" s="215"/>
      <c r="M420" s="214"/>
      <c r="N420" s="215"/>
      <c r="O420" s="214">
        <v>0.4</v>
      </c>
      <c r="P420" s="215"/>
      <c r="Q420" s="214"/>
      <c r="R420" s="215"/>
      <c r="S420" s="214">
        <v>3.4</v>
      </c>
      <c r="T420" s="215"/>
      <c r="U420" s="214"/>
      <c r="V420" s="215"/>
      <c r="W420" s="208">
        <f t="shared" si="33"/>
        <v>8.0000000000000016E-2</v>
      </c>
      <c r="X420" s="209"/>
      <c r="Y420" s="210"/>
      <c r="Z420" s="180">
        <f t="shared" si="34"/>
        <v>0.27200000000000002</v>
      </c>
      <c r="AA420" s="181"/>
      <c r="AB420" s="182"/>
      <c r="AC420" s="54"/>
      <c r="AD420" s="55"/>
      <c r="AE420" s="56"/>
      <c r="AF420" s="54"/>
      <c r="AG420" s="55"/>
      <c r="AH420" s="57"/>
    </row>
    <row r="421" spans="1:34" ht="15.75" x14ac:dyDescent="0.25">
      <c r="A421" s="185"/>
      <c r="B421" s="186"/>
      <c r="C421" s="184"/>
      <c r="D421" s="211" t="s">
        <v>687</v>
      </c>
      <c r="E421" s="212"/>
      <c r="F421" s="212"/>
      <c r="G421" s="212"/>
      <c r="H421" s="212"/>
      <c r="I421" s="213"/>
      <c r="J421" s="66"/>
      <c r="K421" s="214">
        <v>0.15</v>
      </c>
      <c r="L421" s="215"/>
      <c r="M421" s="214"/>
      <c r="N421" s="215"/>
      <c r="O421" s="214">
        <v>0.3</v>
      </c>
      <c r="P421" s="215"/>
      <c r="Q421" s="214"/>
      <c r="R421" s="215"/>
      <c r="S421" s="214">
        <v>4.9000000000000004</v>
      </c>
      <c r="T421" s="215"/>
      <c r="U421" s="214"/>
      <c r="V421" s="215"/>
      <c r="W421" s="208">
        <f t="shared" si="33"/>
        <v>4.4999999999999998E-2</v>
      </c>
      <c r="X421" s="209"/>
      <c r="Y421" s="210"/>
      <c r="Z421" s="180">
        <f t="shared" si="34"/>
        <v>0.2205</v>
      </c>
      <c r="AA421" s="181"/>
      <c r="AB421" s="182"/>
      <c r="AC421" s="54"/>
      <c r="AD421" s="55"/>
      <c r="AE421" s="56"/>
      <c r="AF421" s="54"/>
      <c r="AG421" s="55"/>
      <c r="AH421" s="57"/>
    </row>
    <row r="422" spans="1:34" ht="15.75" x14ac:dyDescent="0.25">
      <c r="A422" s="185"/>
      <c r="B422" s="186"/>
      <c r="C422" s="184"/>
      <c r="D422" s="211" t="s">
        <v>688</v>
      </c>
      <c r="E422" s="212"/>
      <c r="F422" s="212"/>
      <c r="G422" s="212"/>
      <c r="H422" s="212"/>
      <c r="I422" s="213"/>
      <c r="J422" s="66"/>
      <c r="K422" s="214">
        <v>0.15</v>
      </c>
      <c r="L422" s="215"/>
      <c r="M422" s="214"/>
      <c r="N422" s="215"/>
      <c r="O422" s="214">
        <v>0.3</v>
      </c>
      <c r="P422" s="215"/>
      <c r="Q422" s="214"/>
      <c r="R422" s="215"/>
      <c r="S422" s="214">
        <v>4.9000000000000004</v>
      </c>
      <c r="T422" s="215"/>
      <c r="U422" s="214"/>
      <c r="V422" s="215"/>
      <c r="W422" s="208">
        <f t="shared" si="33"/>
        <v>4.4999999999999998E-2</v>
      </c>
      <c r="X422" s="209"/>
      <c r="Y422" s="210"/>
      <c r="Z422" s="180">
        <f t="shared" si="34"/>
        <v>0.2205</v>
      </c>
      <c r="AA422" s="181"/>
      <c r="AB422" s="182"/>
      <c r="AC422" s="54"/>
      <c r="AD422" s="55"/>
      <c r="AE422" s="56"/>
      <c r="AF422" s="54"/>
      <c r="AG422" s="55"/>
      <c r="AH422" s="57"/>
    </row>
    <row r="423" spans="1:34" ht="15.75" x14ac:dyDescent="0.25">
      <c r="A423" s="185"/>
      <c r="B423" s="186"/>
      <c r="C423" s="184"/>
      <c r="D423" s="211" t="s">
        <v>689</v>
      </c>
      <c r="E423" s="212"/>
      <c r="F423" s="212"/>
      <c r="G423" s="212"/>
      <c r="H423" s="212"/>
      <c r="I423" s="213"/>
      <c r="J423" s="66"/>
      <c r="K423" s="214">
        <v>0.15</v>
      </c>
      <c r="L423" s="215"/>
      <c r="M423" s="214"/>
      <c r="N423" s="215"/>
      <c r="O423" s="214">
        <v>0.3</v>
      </c>
      <c r="P423" s="215"/>
      <c r="Q423" s="214"/>
      <c r="R423" s="215"/>
      <c r="S423" s="214">
        <v>4.9000000000000004</v>
      </c>
      <c r="T423" s="215"/>
      <c r="U423" s="214"/>
      <c r="V423" s="215"/>
      <c r="W423" s="208">
        <f t="shared" si="33"/>
        <v>4.4999999999999998E-2</v>
      </c>
      <c r="X423" s="209"/>
      <c r="Y423" s="210"/>
      <c r="Z423" s="180">
        <f t="shared" si="34"/>
        <v>0.2205</v>
      </c>
      <c r="AA423" s="181"/>
      <c r="AB423" s="182"/>
      <c r="AC423" s="54"/>
      <c r="AD423" s="55"/>
      <c r="AE423" s="56"/>
      <c r="AF423" s="54"/>
      <c r="AG423" s="55"/>
      <c r="AH423" s="57"/>
    </row>
    <row r="424" spans="1:34" ht="15.75" x14ac:dyDescent="0.25">
      <c r="A424" s="185"/>
      <c r="B424" s="186"/>
      <c r="C424" s="184"/>
      <c r="D424" s="211" t="s">
        <v>690</v>
      </c>
      <c r="E424" s="212"/>
      <c r="F424" s="212"/>
      <c r="G424" s="212"/>
      <c r="H424" s="212"/>
      <c r="I424" s="213"/>
      <c r="J424" s="66"/>
      <c r="K424" s="214">
        <v>0.15</v>
      </c>
      <c r="L424" s="215"/>
      <c r="M424" s="214"/>
      <c r="N424" s="215"/>
      <c r="O424" s="214">
        <v>0.3</v>
      </c>
      <c r="P424" s="215"/>
      <c r="Q424" s="214"/>
      <c r="R424" s="215"/>
      <c r="S424" s="214">
        <v>4.9000000000000004</v>
      </c>
      <c r="T424" s="215"/>
      <c r="U424" s="214"/>
      <c r="V424" s="215"/>
      <c r="W424" s="208">
        <f t="shared" si="33"/>
        <v>4.4999999999999998E-2</v>
      </c>
      <c r="X424" s="209"/>
      <c r="Y424" s="210"/>
      <c r="Z424" s="180">
        <f t="shared" si="34"/>
        <v>0.2205</v>
      </c>
      <c r="AA424" s="181"/>
      <c r="AB424" s="182"/>
      <c r="AC424" s="54"/>
      <c r="AD424" s="55"/>
      <c r="AE424" s="56"/>
      <c r="AF424" s="54"/>
      <c r="AG424" s="55"/>
      <c r="AH424" s="57"/>
    </row>
    <row r="425" spans="1:34" ht="15.75" x14ac:dyDescent="0.25">
      <c r="A425" s="185"/>
      <c r="B425" s="186"/>
      <c r="C425" s="184"/>
      <c r="D425" s="211" t="s">
        <v>691</v>
      </c>
      <c r="E425" s="212"/>
      <c r="F425" s="212"/>
      <c r="G425" s="212"/>
      <c r="H425" s="212"/>
      <c r="I425" s="213"/>
      <c r="J425" s="66"/>
      <c r="K425" s="214">
        <v>0.15</v>
      </c>
      <c r="L425" s="215"/>
      <c r="M425" s="214"/>
      <c r="N425" s="215"/>
      <c r="O425" s="214">
        <v>0.3</v>
      </c>
      <c r="P425" s="215"/>
      <c r="Q425" s="214"/>
      <c r="R425" s="215"/>
      <c r="S425" s="214">
        <v>4.9000000000000004</v>
      </c>
      <c r="T425" s="215"/>
      <c r="U425" s="214"/>
      <c r="V425" s="215"/>
      <c r="W425" s="208">
        <f t="shared" si="33"/>
        <v>4.4999999999999998E-2</v>
      </c>
      <c r="X425" s="209"/>
      <c r="Y425" s="210"/>
      <c r="Z425" s="180">
        <f t="shared" si="34"/>
        <v>0.2205</v>
      </c>
      <c r="AA425" s="181"/>
      <c r="AB425" s="182"/>
      <c r="AC425" s="54"/>
      <c r="AD425" s="55"/>
      <c r="AE425" s="56"/>
      <c r="AF425" s="54"/>
      <c r="AG425" s="55"/>
      <c r="AH425" s="57"/>
    </row>
    <row r="426" spans="1:34" ht="15.75" x14ac:dyDescent="0.25">
      <c r="A426" s="185"/>
      <c r="B426" s="186"/>
      <c r="C426" s="184"/>
      <c r="D426" s="211" t="s">
        <v>692</v>
      </c>
      <c r="E426" s="212"/>
      <c r="F426" s="212"/>
      <c r="G426" s="212"/>
      <c r="H426" s="212"/>
      <c r="I426" s="213"/>
      <c r="J426" s="66"/>
      <c r="K426" s="214">
        <v>0.15</v>
      </c>
      <c r="L426" s="215"/>
      <c r="M426" s="214"/>
      <c r="N426" s="215"/>
      <c r="O426" s="214">
        <v>0.3</v>
      </c>
      <c r="P426" s="215"/>
      <c r="Q426" s="214"/>
      <c r="R426" s="215"/>
      <c r="S426" s="214">
        <v>4.9000000000000004</v>
      </c>
      <c r="T426" s="215"/>
      <c r="U426" s="214"/>
      <c r="V426" s="215"/>
      <c r="W426" s="208">
        <f t="shared" si="33"/>
        <v>4.4999999999999998E-2</v>
      </c>
      <c r="X426" s="209"/>
      <c r="Y426" s="210"/>
      <c r="Z426" s="180">
        <f t="shared" si="34"/>
        <v>0.2205</v>
      </c>
      <c r="AA426" s="181"/>
      <c r="AB426" s="182"/>
      <c r="AC426" s="54"/>
      <c r="AD426" s="55"/>
      <c r="AE426" s="56"/>
      <c r="AF426" s="54"/>
      <c r="AG426" s="55"/>
      <c r="AH426" s="57"/>
    </row>
    <row r="427" spans="1:34" ht="15.75" x14ac:dyDescent="0.25">
      <c r="A427" s="185"/>
      <c r="B427" s="186"/>
      <c r="C427" s="184"/>
      <c r="D427" s="211" t="s">
        <v>693</v>
      </c>
      <c r="E427" s="212"/>
      <c r="F427" s="212"/>
      <c r="G427" s="212"/>
      <c r="H427" s="212"/>
      <c r="I427" s="213"/>
      <c r="J427" s="66"/>
      <c r="K427" s="214">
        <v>0.15</v>
      </c>
      <c r="L427" s="215"/>
      <c r="M427" s="214"/>
      <c r="N427" s="215"/>
      <c r="O427" s="214">
        <v>0.3</v>
      </c>
      <c r="P427" s="215"/>
      <c r="Q427" s="214"/>
      <c r="R427" s="215"/>
      <c r="S427" s="214">
        <v>4.9000000000000004</v>
      </c>
      <c r="T427" s="215"/>
      <c r="U427" s="183"/>
      <c r="V427" s="184"/>
      <c r="W427" s="208">
        <f t="shared" si="33"/>
        <v>4.4999999999999998E-2</v>
      </c>
      <c r="X427" s="209"/>
      <c r="Y427" s="210"/>
      <c r="Z427" s="180">
        <f t="shared" si="34"/>
        <v>0.2205</v>
      </c>
      <c r="AA427" s="181"/>
      <c r="AB427" s="182"/>
      <c r="AC427" s="54"/>
      <c r="AD427" s="55"/>
      <c r="AE427" s="56"/>
      <c r="AF427" s="54"/>
      <c r="AG427" s="55"/>
      <c r="AH427" s="57"/>
    </row>
    <row r="428" spans="1:34" ht="15.75" x14ac:dyDescent="0.25">
      <c r="A428" s="185"/>
      <c r="B428" s="186"/>
      <c r="C428" s="184"/>
      <c r="D428" s="211" t="s">
        <v>694</v>
      </c>
      <c r="E428" s="212"/>
      <c r="F428" s="212"/>
      <c r="G428" s="212"/>
      <c r="H428" s="212"/>
      <c r="I428" s="213"/>
      <c r="J428" s="66"/>
      <c r="K428" s="214">
        <v>0.15</v>
      </c>
      <c r="L428" s="215"/>
      <c r="M428" s="214"/>
      <c r="N428" s="215"/>
      <c r="O428" s="214">
        <v>0.3</v>
      </c>
      <c r="P428" s="215"/>
      <c r="Q428" s="214"/>
      <c r="R428" s="215"/>
      <c r="S428" s="214">
        <v>4.9000000000000004</v>
      </c>
      <c r="T428" s="215"/>
      <c r="U428" s="214"/>
      <c r="V428" s="215"/>
      <c r="W428" s="208">
        <f t="shared" si="33"/>
        <v>4.4999999999999998E-2</v>
      </c>
      <c r="X428" s="209"/>
      <c r="Y428" s="210"/>
      <c r="Z428" s="180">
        <f t="shared" si="34"/>
        <v>0.2205</v>
      </c>
      <c r="AA428" s="181"/>
      <c r="AB428" s="182"/>
      <c r="AC428" s="54"/>
      <c r="AD428" s="55"/>
      <c r="AE428" s="56"/>
      <c r="AF428" s="54"/>
      <c r="AG428" s="55"/>
      <c r="AH428" s="57"/>
    </row>
    <row r="429" spans="1:34" ht="15.75" x14ac:dyDescent="0.25">
      <c r="A429" s="185"/>
      <c r="B429" s="186"/>
      <c r="C429" s="184"/>
      <c r="D429" s="211" t="s">
        <v>695</v>
      </c>
      <c r="E429" s="212"/>
      <c r="F429" s="212"/>
      <c r="G429" s="212"/>
      <c r="H429" s="212"/>
      <c r="I429" s="213"/>
      <c r="J429" s="66"/>
      <c r="K429" s="214">
        <v>0.15</v>
      </c>
      <c r="L429" s="215"/>
      <c r="M429" s="214"/>
      <c r="N429" s="215"/>
      <c r="O429" s="214">
        <v>0.3</v>
      </c>
      <c r="P429" s="215"/>
      <c r="Q429" s="214"/>
      <c r="R429" s="215"/>
      <c r="S429" s="214">
        <v>4.9000000000000004</v>
      </c>
      <c r="T429" s="215"/>
      <c r="U429" s="214"/>
      <c r="V429" s="215"/>
      <c r="W429" s="208">
        <f t="shared" si="33"/>
        <v>4.4999999999999998E-2</v>
      </c>
      <c r="X429" s="209"/>
      <c r="Y429" s="210"/>
      <c r="Z429" s="180">
        <f t="shared" si="34"/>
        <v>0.2205</v>
      </c>
      <c r="AA429" s="181"/>
      <c r="AB429" s="182"/>
      <c r="AC429" s="54"/>
      <c r="AD429" s="55"/>
      <c r="AE429" s="56"/>
      <c r="AF429" s="54"/>
      <c r="AG429" s="55"/>
      <c r="AH429" s="57"/>
    </row>
    <row r="430" spans="1:34" ht="15.75" x14ac:dyDescent="0.25">
      <c r="A430" s="185"/>
      <c r="B430" s="186"/>
      <c r="C430" s="184"/>
      <c r="D430" s="211" t="s">
        <v>696</v>
      </c>
      <c r="E430" s="212"/>
      <c r="F430" s="212"/>
      <c r="G430" s="212"/>
      <c r="H430" s="212"/>
      <c r="I430" s="213"/>
      <c r="J430" s="66"/>
      <c r="K430" s="214">
        <v>0.15</v>
      </c>
      <c r="L430" s="215"/>
      <c r="M430" s="214"/>
      <c r="N430" s="215"/>
      <c r="O430" s="214">
        <v>0.3</v>
      </c>
      <c r="P430" s="215"/>
      <c r="Q430" s="214"/>
      <c r="R430" s="215"/>
      <c r="S430" s="214">
        <v>4.9000000000000004</v>
      </c>
      <c r="T430" s="215"/>
      <c r="U430" s="214"/>
      <c r="V430" s="215"/>
      <c r="W430" s="208">
        <f t="shared" si="33"/>
        <v>4.4999999999999998E-2</v>
      </c>
      <c r="X430" s="209"/>
      <c r="Y430" s="210"/>
      <c r="Z430" s="180">
        <f t="shared" si="34"/>
        <v>0.2205</v>
      </c>
      <c r="AA430" s="181"/>
      <c r="AB430" s="182"/>
      <c r="AC430" s="54"/>
      <c r="AD430" s="55"/>
      <c r="AE430" s="56"/>
      <c r="AF430" s="54"/>
      <c r="AG430" s="55"/>
      <c r="AH430" s="57"/>
    </row>
    <row r="431" spans="1:34" ht="15.75" x14ac:dyDescent="0.25">
      <c r="A431" s="185"/>
      <c r="B431" s="186"/>
      <c r="C431" s="184"/>
      <c r="D431" s="211" t="s">
        <v>697</v>
      </c>
      <c r="E431" s="212"/>
      <c r="F431" s="212"/>
      <c r="G431" s="212"/>
      <c r="H431" s="212"/>
      <c r="I431" s="213"/>
      <c r="J431" s="66"/>
      <c r="K431" s="214">
        <v>0.15</v>
      </c>
      <c r="L431" s="215"/>
      <c r="M431" s="214"/>
      <c r="N431" s="215"/>
      <c r="O431" s="214">
        <v>0.3</v>
      </c>
      <c r="P431" s="215"/>
      <c r="Q431" s="214"/>
      <c r="R431" s="215"/>
      <c r="S431" s="214">
        <v>4.9000000000000004</v>
      </c>
      <c r="T431" s="215"/>
      <c r="U431" s="214"/>
      <c r="V431" s="215"/>
      <c r="W431" s="208">
        <f t="shared" si="33"/>
        <v>4.4999999999999998E-2</v>
      </c>
      <c r="X431" s="209"/>
      <c r="Y431" s="210"/>
      <c r="Z431" s="180">
        <f t="shared" si="34"/>
        <v>0.2205</v>
      </c>
      <c r="AA431" s="181"/>
      <c r="AB431" s="182"/>
      <c r="AC431" s="54"/>
      <c r="AD431" s="55"/>
      <c r="AE431" s="56"/>
      <c r="AF431" s="54"/>
      <c r="AG431" s="55"/>
      <c r="AH431" s="57"/>
    </row>
    <row r="432" spans="1:34" ht="15.75" x14ac:dyDescent="0.25">
      <c r="A432" s="185"/>
      <c r="B432" s="186"/>
      <c r="C432" s="184"/>
      <c r="D432" s="211" t="s">
        <v>698</v>
      </c>
      <c r="E432" s="212"/>
      <c r="F432" s="212"/>
      <c r="G432" s="212"/>
      <c r="H432" s="212"/>
      <c r="I432" s="213"/>
      <c r="J432" s="66"/>
      <c r="K432" s="214">
        <v>0.15</v>
      </c>
      <c r="L432" s="215"/>
      <c r="M432" s="214"/>
      <c r="N432" s="215"/>
      <c r="O432" s="214">
        <v>0.3</v>
      </c>
      <c r="P432" s="215"/>
      <c r="Q432" s="214"/>
      <c r="R432" s="215"/>
      <c r="S432" s="214">
        <v>4.9000000000000004</v>
      </c>
      <c r="T432" s="215"/>
      <c r="U432" s="214"/>
      <c r="V432" s="215"/>
      <c r="W432" s="208">
        <f t="shared" si="33"/>
        <v>4.4999999999999998E-2</v>
      </c>
      <c r="X432" s="209"/>
      <c r="Y432" s="210"/>
      <c r="Z432" s="180">
        <f t="shared" si="34"/>
        <v>0.2205</v>
      </c>
      <c r="AA432" s="181"/>
      <c r="AB432" s="182"/>
      <c r="AC432" s="54"/>
      <c r="AD432" s="55"/>
      <c r="AE432" s="56"/>
      <c r="AF432" s="54"/>
      <c r="AG432" s="55"/>
      <c r="AH432" s="57"/>
    </row>
    <row r="433" spans="1:34" ht="15.75" x14ac:dyDescent="0.25">
      <c r="A433" s="185"/>
      <c r="B433" s="186"/>
      <c r="C433" s="184"/>
      <c r="D433" s="211" t="s">
        <v>699</v>
      </c>
      <c r="E433" s="212"/>
      <c r="F433" s="212"/>
      <c r="G433" s="212"/>
      <c r="H433" s="212"/>
      <c r="I433" s="213"/>
      <c r="J433" s="66"/>
      <c r="K433" s="214">
        <v>0.15</v>
      </c>
      <c r="L433" s="215"/>
      <c r="M433" s="214"/>
      <c r="N433" s="215"/>
      <c r="O433" s="214">
        <v>0.3</v>
      </c>
      <c r="P433" s="215"/>
      <c r="Q433" s="214"/>
      <c r="R433" s="215"/>
      <c r="S433" s="214">
        <v>4.9000000000000004</v>
      </c>
      <c r="T433" s="215"/>
      <c r="U433" s="214"/>
      <c r="V433" s="215"/>
      <c r="W433" s="208">
        <f t="shared" si="33"/>
        <v>4.4999999999999998E-2</v>
      </c>
      <c r="X433" s="209"/>
      <c r="Y433" s="210"/>
      <c r="Z433" s="180">
        <f t="shared" si="34"/>
        <v>0.2205</v>
      </c>
      <c r="AA433" s="181"/>
      <c r="AB433" s="182"/>
      <c r="AC433" s="54"/>
      <c r="AD433" s="55"/>
      <c r="AE433" s="56"/>
      <c r="AF433" s="54"/>
      <c r="AG433" s="55"/>
      <c r="AH433" s="57"/>
    </row>
    <row r="434" spans="1:34" ht="15.75" x14ac:dyDescent="0.25">
      <c r="A434" s="185"/>
      <c r="B434" s="186"/>
      <c r="C434" s="184"/>
      <c r="D434" s="211" t="s">
        <v>700</v>
      </c>
      <c r="E434" s="212"/>
      <c r="F434" s="212"/>
      <c r="G434" s="212"/>
      <c r="H434" s="212"/>
      <c r="I434" s="213"/>
      <c r="J434" s="66"/>
      <c r="K434" s="214">
        <v>0.15</v>
      </c>
      <c r="L434" s="215"/>
      <c r="M434" s="214"/>
      <c r="N434" s="215"/>
      <c r="O434" s="214">
        <v>0.3</v>
      </c>
      <c r="P434" s="215"/>
      <c r="Q434" s="214"/>
      <c r="R434" s="215"/>
      <c r="S434" s="214">
        <v>4.9000000000000004</v>
      </c>
      <c r="T434" s="215"/>
      <c r="U434" s="214"/>
      <c r="V434" s="215"/>
      <c r="W434" s="208">
        <f t="shared" si="33"/>
        <v>4.4999999999999998E-2</v>
      </c>
      <c r="X434" s="209"/>
      <c r="Y434" s="210"/>
      <c r="Z434" s="180">
        <f t="shared" si="34"/>
        <v>0.2205</v>
      </c>
      <c r="AA434" s="181"/>
      <c r="AB434" s="182"/>
      <c r="AC434" s="54"/>
      <c r="AD434" s="55"/>
      <c r="AE434" s="56"/>
      <c r="AF434" s="54"/>
      <c r="AG434" s="55"/>
      <c r="AH434" s="57"/>
    </row>
    <row r="435" spans="1:34" ht="15.75" x14ac:dyDescent="0.25">
      <c r="A435" s="185"/>
      <c r="B435" s="186"/>
      <c r="C435" s="184"/>
      <c r="D435" s="211" t="s">
        <v>701</v>
      </c>
      <c r="E435" s="212"/>
      <c r="F435" s="212"/>
      <c r="G435" s="212"/>
      <c r="H435" s="212"/>
      <c r="I435" s="213"/>
      <c r="J435" s="66"/>
      <c r="K435" s="214">
        <v>0.15</v>
      </c>
      <c r="L435" s="215"/>
      <c r="M435" s="214"/>
      <c r="N435" s="215"/>
      <c r="O435" s="214">
        <v>0.3</v>
      </c>
      <c r="P435" s="215"/>
      <c r="Q435" s="214"/>
      <c r="R435" s="215"/>
      <c r="S435" s="214">
        <v>4.9000000000000004</v>
      </c>
      <c r="T435" s="215"/>
      <c r="U435" s="183"/>
      <c r="V435" s="184"/>
      <c r="W435" s="208">
        <f t="shared" si="33"/>
        <v>4.4999999999999998E-2</v>
      </c>
      <c r="X435" s="209"/>
      <c r="Y435" s="210"/>
      <c r="Z435" s="180">
        <f t="shared" si="34"/>
        <v>0.2205</v>
      </c>
      <c r="AA435" s="181"/>
      <c r="AB435" s="182"/>
      <c r="AC435" s="54"/>
      <c r="AD435" s="55"/>
      <c r="AE435" s="56"/>
      <c r="AF435" s="54"/>
      <c r="AG435" s="55"/>
      <c r="AH435" s="57"/>
    </row>
    <row r="436" spans="1:34" ht="15.75" x14ac:dyDescent="0.25">
      <c r="A436" s="185"/>
      <c r="B436" s="186"/>
      <c r="C436" s="184"/>
      <c r="D436" s="211" t="s">
        <v>702</v>
      </c>
      <c r="E436" s="212"/>
      <c r="F436" s="212"/>
      <c r="G436" s="212"/>
      <c r="H436" s="212"/>
      <c r="I436" s="213"/>
      <c r="J436" s="66"/>
      <c r="K436" s="214">
        <v>0.15</v>
      </c>
      <c r="L436" s="215"/>
      <c r="M436" s="214"/>
      <c r="N436" s="215"/>
      <c r="O436" s="214">
        <v>0.3</v>
      </c>
      <c r="P436" s="215"/>
      <c r="Q436" s="214"/>
      <c r="R436" s="215"/>
      <c r="S436" s="214">
        <v>4.9000000000000004</v>
      </c>
      <c r="T436" s="215"/>
      <c r="U436" s="214"/>
      <c r="V436" s="215"/>
      <c r="W436" s="208">
        <f t="shared" si="33"/>
        <v>4.4999999999999998E-2</v>
      </c>
      <c r="X436" s="209"/>
      <c r="Y436" s="210"/>
      <c r="Z436" s="180">
        <f t="shared" si="34"/>
        <v>0.2205</v>
      </c>
      <c r="AA436" s="181"/>
      <c r="AB436" s="182"/>
      <c r="AC436" s="54"/>
      <c r="AD436" s="55"/>
      <c r="AE436" s="56"/>
      <c r="AF436" s="54"/>
      <c r="AG436" s="55"/>
      <c r="AH436" s="57"/>
    </row>
    <row r="437" spans="1:34" ht="15.75" x14ac:dyDescent="0.25">
      <c r="A437" s="185"/>
      <c r="B437" s="186"/>
      <c r="C437" s="184"/>
      <c r="D437" s="211" t="s">
        <v>703</v>
      </c>
      <c r="E437" s="212"/>
      <c r="F437" s="212"/>
      <c r="G437" s="212"/>
      <c r="H437" s="212"/>
      <c r="I437" s="213"/>
      <c r="J437" s="66"/>
      <c r="K437" s="214">
        <v>0.15</v>
      </c>
      <c r="L437" s="215"/>
      <c r="M437" s="214"/>
      <c r="N437" s="215"/>
      <c r="O437" s="214">
        <v>0.3</v>
      </c>
      <c r="P437" s="215"/>
      <c r="Q437" s="214"/>
      <c r="R437" s="215"/>
      <c r="S437" s="214">
        <v>4.9000000000000004</v>
      </c>
      <c r="T437" s="215"/>
      <c r="U437" s="214"/>
      <c r="V437" s="215"/>
      <c r="W437" s="208">
        <f t="shared" si="33"/>
        <v>4.4999999999999998E-2</v>
      </c>
      <c r="X437" s="209"/>
      <c r="Y437" s="210"/>
      <c r="Z437" s="180">
        <f t="shared" si="34"/>
        <v>0.2205</v>
      </c>
      <c r="AA437" s="181"/>
      <c r="AB437" s="182"/>
      <c r="AC437" s="54"/>
      <c r="AD437" s="55"/>
      <c r="AE437" s="56"/>
      <c r="AF437" s="54"/>
      <c r="AG437" s="55"/>
      <c r="AH437" s="57"/>
    </row>
    <row r="438" spans="1:34" ht="15.75" x14ac:dyDescent="0.25">
      <c r="A438" s="185"/>
      <c r="B438" s="186"/>
      <c r="C438" s="184"/>
      <c r="D438" s="211" t="s">
        <v>704</v>
      </c>
      <c r="E438" s="212"/>
      <c r="F438" s="212"/>
      <c r="G438" s="212"/>
      <c r="H438" s="212"/>
      <c r="I438" s="213"/>
      <c r="J438" s="66"/>
      <c r="K438" s="214">
        <v>0.15</v>
      </c>
      <c r="L438" s="215"/>
      <c r="M438" s="214"/>
      <c r="N438" s="215"/>
      <c r="O438" s="214">
        <v>0.3</v>
      </c>
      <c r="P438" s="215"/>
      <c r="Q438" s="214"/>
      <c r="R438" s="215"/>
      <c r="S438" s="214">
        <v>3.4</v>
      </c>
      <c r="T438" s="215"/>
      <c r="U438" s="214"/>
      <c r="V438" s="215"/>
      <c r="W438" s="208">
        <f t="shared" si="33"/>
        <v>4.4999999999999998E-2</v>
      </c>
      <c r="X438" s="209"/>
      <c r="Y438" s="210"/>
      <c r="Z438" s="180">
        <f t="shared" si="34"/>
        <v>0.153</v>
      </c>
      <c r="AA438" s="181"/>
      <c r="AB438" s="182"/>
      <c r="AC438" s="54"/>
      <c r="AD438" s="55"/>
      <c r="AE438" s="56"/>
      <c r="AF438" s="54"/>
      <c r="AG438" s="55"/>
      <c r="AH438" s="57"/>
    </row>
    <row r="439" spans="1:34" ht="15.75" x14ac:dyDescent="0.25">
      <c r="A439" s="185"/>
      <c r="B439" s="186"/>
      <c r="C439" s="184"/>
      <c r="D439" s="211" t="s">
        <v>705</v>
      </c>
      <c r="E439" s="212"/>
      <c r="F439" s="212"/>
      <c r="G439" s="212"/>
      <c r="H439" s="212"/>
      <c r="I439" s="213"/>
      <c r="J439" s="66"/>
      <c r="K439" s="214">
        <v>0.15</v>
      </c>
      <c r="L439" s="215"/>
      <c r="M439" s="214"/>
      <c r="N439" s="215"/>
      <c r="O439" s="214">
        <v>0.3</v>
      </c>
      <c r="P439" s="215"/>
      <c r="Q439" s="214"/>
      <c r="R439" s="215"/>
      <c r="S439" s="214">
        <v>3.4</v>
      </c>
      <c r="T439" s="215"/>
      <c r="U439" s="214"/>
      <c r="V439" s="215"/>
      <c r="W439" s="208">
        <f t="shared" si="33"/>
        <v>4.4999999999999998E-2</v>
      </c>
      <c r="X439" s="209"/>
      <c r="Y439" s="210"/>
      <c r="Z439" s="180">
        <f t="shared" si="34"/>
        <v>0.153</v>
      </c>
      <c r="AA439" s="181"/>
      <c r="AB439" s="182"/>
      <c r="AC439" s="54"/>
      <c r="AD439" s="55"/>
      <c r="AE439" s="56"/>
      <c r="AF439" s="54"/>
      <c r="AG439" s="55"/>
      <c r="AH439" s="57"/>
    </row>
    <row r="440" spans="1:34" ht="15.75" x14ac:dyDescent="0.25">
      <c r="A440" s="185"/>
      <c r="B440" s="186"/>
      <c r="C440" s="184"/>
      <c r="D440" s="211" t="s">
        <v>706</v>
      </c>
      <c r="E440" s="212"/>
      <c r="F440" s="212"/>
      <c r="G440" s="212"/>
      <c r="H440" s="212"/>
      <c r="I440" s="213"/>
      <c r="J440" s="66"/>
      <c r="K440" s="214">
        <v>0.15</v>
      </c>
      <c r="L440" s="215"/>
      <c r="M440" s="214"/>
      <c r="N440" s="215"/>
      <c r="O440" s="214">
        <v>0.3</v>
      </c>
      <c r="P440" s="215"/>
      <c r="Q440" s="214"/>
      <c r="R440" s="215"/>
      <c r="S440" s="214">
        <v>3.4</v>
      </c>
      <c r="T440" s="215"/>
      <c r="U440" s="214"/>
      <c r="V440" s="215"/>
      <c r="W440" s="208">
        <f t="shared" si="33"/>
        <v>4.4999999999999998E-2</v>
      </c>
      <c r="X440" s="209"/>
      <c r="Y440" s="210"/>
      <c r="Z440" s="180">
        <f t="shared" si="34"/>
        <v>0.153</v>
      </c>
      <c r="AA440" s="181"/>
      <c r="AB440" s="182"/>
      <c r="AC440" s="54"/>
      <c r="AD440" s="55"/>
      <c r="AE440" s="56"/>
      <c r="AF440" s="54"/>
      <c r="AG440" s="55"/>
      <c r="AH440" s="57"/>
    </row>
    <row r="441" spans="1:34" ht="15.75" x14ac:dyDescent="0.25">
      <c r="A441" s="185"/>
      <c r="B441" s="186"/>
      <c r="C441" s="184"/>
      <c r="D441" s="211" t="s">
        <v>707</v>
      </c>
      <c r="E441" s="212"/>
      <c r="F441" s="212"/>
      <c r="G441" s="212"/>
      <c r="H441" s="212"/>
      <c r="I441" s="213"/>
      <c r="J441" s="66"/>
      <c r="K441" s="214">
        <v>0.15</v>
      </c>
      <c r="L441" s="215"/>
      <c r="M441" s="214"/>
      <c r="N441" s="215"/>
      <c r="O441" s="214">
        <v>0.3</v>
      </c>
      <c r="P441" s="215"/>
      <c r="Q441" s="214"/>
      <c r="R441" s="215"/>
      <c r="S441" s="214">
        <v>3.4</v>
      </c>
      <c r="T441" s="215"/>
      <c r="U441" s="214"/>
      <c r="V441" s="215"/>
      <c r="W441" s="208">
        <f t="shared" si="33"/>
        <v>4.4999999999999998E-2</v>
      </c>
      <c r="X441" s="209"/>
      <c r="Y441" s="210"/>
      <c r="Z441" s="180">
        <f t="shared" si="34"/>
        <v>0.153</v>
      </c>
      <c r="AA441" s="181"/>
      <c r="AB441" s="182"/>
      <c r="AC441" s="54"/>
      <c r="AD441" s="55"/>
      <c r="AE441" s="56"/>
      <c r="AF441" s="54"/>
      <c r="AG441" s="55"/>
      <c r="AH441" s="57"/>
    </row>
    <row r="442" spans="1:34" ht="15.75" x14ac:dyDescent="0.25">
      <c r="A442" s="185"/>
      <c r="B442" s="186"/>
      <c r="C442" s="184"/>
      <c r="D442" s="211" t="s">
        <v>708</v>
      </c>
      <c r="E442" s="212"/>
      <c r="F442" s="212"/>
      <c r="G442" s="212"/>
      <c r="H442" s="212"/>
      <c r="I442" s="213"/>
      <c r="J442" s="66"/>
      <c r="K442" s="214">
        <v>0.15</v>
      </c>
      <c r="L442" s="215"/>
      <c r="M442" s="214"/>
      <c r="N442" s="215"/>
      <c r="O442" s="214">
        <v>0.3</v>
      </c>
      <c r="P442" s="215"/>
      <c r="Q442" s="214"/>
      <c r="R442" s="215"/>
      <c r="S442" s="214">
        <v>3.4</v>
      </c>
      <c r="T442" s="215"/>
      <c r="U442" s="214"/>
      <c r="V442" s="215"/>
      <c r="W442" s="208">
        <f t="shared" si="33"/>
        <v>4.4999999999999998E-2</v>
      </c>
      <c r="X442" s="209"/>
      <c r="Y442" s="210"/>
      <c r="Z442" s="180">
        <f t="shared" si="34"/>
        <v>0.153</v>
      </c>
      <c r="AA442" s="181"/>
      <c r="AB442" s="182"/>
      <c r="AC442" s="54"/>
      <c r="AD442" s="55"/>
      <c r="AE442" s="56"/>
      <c r="AF442" s="54"/>
      <c r="AG442" s="55"/>
      <c r="AH442" s="57"/>
    </row>
    <row r="443" spans="1:34" ht="15.75" x14ac:dyDescent="0.25">
      <c r="A443" s="185"/>
      <c r="B443" s="186"/>
      <c r="C443" s="184"/>
      <c r="D443" s="211" t="s">
        <v>709</v>
      </c>
      <c r="E443" s="212"/>
      <c r="F443" s="212"/>
      <c r="G443" s="212"/>
      <c r="H443" s="212"/>
      <c r="I443" s="213"/>
      <c r="J443" s="66"/>
      <c r="K443" s="214">
        <v>0.25</v>
      </c>
      <c r="L443" s="215"/>
      <c r="M443" s="214"/>
      <c r="N443" s="215"/>
      <c r="O443" s="214">
        <v>0.3</v>
      </c>
      <c r="P443" s="215"/>
      <c r="Q443" s="183"/>
      <c r="R443" s="184"/>
      <c r="S443" s="183">
        <v>3.4</v>
      </c>
      <c r="T443" s="184"/>
      <c r="U443" s="183"/>
      <c r="V443" s="184"/>
      <c r="W443" s="208">
        <f t="shared" si="33"/>
        <v>7.4999999999999997E-2</v>
      </c>
      <c r="X443" s="209"/>
      <c r="Y443" s="210"/>
      <c r="Z443" s="180">
        <f t="shared" si="34"/>
        <v>0.255</v>
      </c>
      <c r="AA443" s="181"/>
      <c r="AB443" s="182"/>
      <c r="AC443" s="54"/>
      <c r="AD443" s="55"/>
      <c r="AE443" s="56"/>
      <c r="AF443" s="54"/>
      <c r="AG443" s="55"/>
      <c r="AH443" s="57"/>
    </row>
    <row r="444" spans="1:34" ht="15.75" x14ac:dyDescent="0.25">
      <c r="A444" s="185"/>
      <c r="B444" s="186"/>
      <c r="C444" s="184"/>
      <c r="D444" s="211" t="s">
        <v>710</v>
      </c>
      <c r="E444" s="212"/>
      <c r="F444" s="212"/>
      <c r="G444" s="212"/>
      <c r="H444" s="212"/>
      <c r="I444" s="213"/>
      <c r="J444" s="66"/>
      <c r="K444" s="214">
        <v>0.25</v>
      </c>
      <c r="L444" s="215"/>
      <c r="M444" s="214"/>
      <c r="N444" s="215"/>
      <c r="O444" s="214">
        <v>0.3</v>
      </c>
      <c r="P444" s="215"/>
      <c r="Q444" s="214"/>
      <c r="R444" s="215"/>
      <c r="S444" s="214">
        <v>4.9000000000000004</v>
      </c>
      <c r="T444" s="215"/>
      <c r="U444" s="214"/>
      <c r="V444" s="215"/>
      <c r="W444" s="208">
        <f t="shared" si="33"/>
        <v>7.4999999999999997E-2</v>
      </c>
      <c r="X444" s="209"/>
      <c r="Y444" s="210"/>
      <c r="Z444" s="180">
        <f t="shared" si="34"/>
        <v>0.36749999999999999</v>
      </c>
      <c r="AA444" s="181"/>
      <c r="AB444" s="182"/>
      <c r="AC444" s="54"/>
      <c r="AD444" s="55"/>
      <c r="AE444" s="56"/>
      <c r="AF444" s="54"/>
      <c r="AG444" s="55"/>
      <c r="AH444" s="57"/>
    </row>
    <row r="445" spans="1:34" ht="15.75" x14ac:dyDescent="0.25">
      <c r="A445" s="185"/>
      <c r="B445" s="186"/>
      <c r="C445" s="184"/>
      <c r="D445" s="211" t="s">
        <v>711</v>
      </c>
      <c r="E445" s="212"/>
      <c r="F445" s="212"/>
      <c r="G445" s="212"/>
      <c r="H445" s="212"/>
      <c r="I445" s="213"/>
      <c r="J445" s="66"/>
      <c r="K445" s="214">
        <v>0.15</v>
      </c>
      <c r="L445" s="215"/>
      <c r="M445" s="214"/>
      <c r="N445" s="215"/>
      <c r="O445" s="214">
        <v>0.3</v>
      </c>
      <c r="P445" s="215"/>
      <c r="Q445" s="214"/>
      <c r="R445" s="215"/>
      <c r="S445" s="214">
        <v>4.9000000000000004</v>
      </c>
      <c r="T445" s="215"/>
      <c r="U445" s="214"/>
      <c r="V445" s="215"/>
      <c r="W445" s="208">
        <f t="shared" si="33"/>
        <v>4.4999999999999998E-2</v>
      </c>
      <c r="X445" s="209"/>
      <c r="Y445" s="210"/>
      <c r="Z445" s="180">
        <f t="shared" si="34"/>
        <v>0.2205</v>
      </c>
      <c r="AA445" s="181"/>
      <c r="AB445" s="182"/>
      <c r="AC445" s="54"/>
      <c r="AD445" s="55"/>
      <c r="AE445" s="56"/>
      <c r="AF445" s="54"/>
      <c r="AG445" s="55"/>
      <c r="AH445" s="57"/>
    </row>
    <row r="446" spans="1:34" ht="15.75" x14ac:dyDescent="0.25">
      <c r="A446" s="185"/>
      <c r="B446" s="186"/>
      <c r="C446" s="184"/>
      <c r="D446" s="211" t="s">
        <v>712</v>
      </c>
      <c r="E446" s="212"/>
      <c r="F446" s="212"/>
      <c r="G446" s="212"/>
      <c r="H446" s="212"/>
      <c r="I446" s="213"/>
      <c r="J446" s="66"/>
      <c r="K446" s="214">
        <v>0.15</v>
      </c>
      <c r="L446" s="215"/>
      <c r="M446" s="214"/>
      <c r="N446" s="215"/>
      <c r="O446" s="214">
        <v>0.3</v>
      </c>
      <c r="P446" s="215"/>
      <c r="Q446" s="214"/>
      <c r="R446" s="215"/>
      <c r="S446" s="214">
        <v>4.9000000000000004</v>
      </c>
      <c r="T446" s="215"/>
      <c r="U446" s="214"/>
      <c r="V446" s="215"/>
      <c r="W446" s="208">
        <f t="shared" si="33"/>
        <v>4.4999999999999998E-2</v>
      </c>
      <c r="X446" s="209"/>
      <c r="Y446" s="210"/>
      <c r="Z446" s="180">
        <f t="shared" si="34"/>
        <v>0.2205</v>
      </c>
      <c r="AA446" s="181"/>
      <c r="AB446" s="182"/>
      <c r="AC446" s="54"/>
      <c r="AD446" s="55"/>
      <c r="AE446" s="56"/>
      <c r="AF446" s="54"/>
      <c r="AG446" s="55"/>
      <c r="AH446" s="57"/>
    </row>
    <row r="447" spans="1:34" ht="15.75" x14ac:dyDescent="0.25">
      <c r="A447" s="185"/>
      <c r="B447" s="186"/>
      <c r="C447" s="184"/>
      <c r="D447" s="211" t="s">
        <v>713</v>
      </c>
      <c r="E447" s="212"/>
      <c r="F447" s="212"/>
      <c r="G447" s="212"/>
      <c r="H447" s="212"/>
      <c r="I447" s="213"/>
      <c r="J447" s="66"/>
      <c r="K447" s="214">
        <v>0.15</v>
      </c>
      <c r="L447" s="215"/>
      <c r="M447" s="214"/>
      <c r="N447" s="215"/>
      <c r="O447" s="214">
        <v>0.3</v>
      </c>
      <c r="P447" s="215"/>
      <c r="Q447" s="214"/>
      <c r="R447" s="215"/>
      <c r="S447" s="214">
        <v>4.9000000000000004</v>
      </c>
      <c r="T447" s="215"/>
      <c r="U447" s="214"/>
      <c r="V447" s="215"/>
      <c r="W447" s="208">
        <f t="shared" si="33"/>
        <v>4.4999999999999998E-2</v>
      </c>
      <c r="X447" s="209"/>
      <c r="Y447" s="210"/>
      <c r="Z447" s="180">
        <f t="shared" si="34"/>
        <v>0.2205</v>
      </c>
      <c r="AA447" s="181"/>
      <c r="AB447" s="182"/>
      <c r="AC447" s="54"/>
      <c r="AD447" s="55"/>
      <c r="AE447" s="56"/>
      <c r="AF447" s="54"/>
      <c r="AG447" s="55"/>
      <c r="AH447" s="57"/>
    </row>
    <row r="448" spans="1:34" ht="15.75" x14ac:dyDescent="0.25">
      <c r="A448" s="185"/>
      <c r="B448" s="186"/>
      <c r="C448" s="184"/>
      <c r="D448" s="211" t="s">
        <v>714</v>
      </c>
      <c r="E448" s="212"/>
      <c r="F448" s="212"/>
      <c r="G448" s="212"/>
      <c r="H448" s="212"/>
      <c r="I448" s="213"/>
      <c r="J448" s="66"/>
      <c r="K448" s="214">
        <v>0.15</v>
      </c>
      <c r="L448" s="215"/>
      <c r="M448" s="214"/>
      <c r="N448" s="215"/>
      <c r="O448" s="214">
        <v>0.3</v>
      </c>
      <c r="P448" s="215"/>
      <c r="Q448" s="214"/>
      <c r="R448" s="215"/>
      <c r="S448" s="214">
        <v>3.4</v>
      </c>
      <c r="T448" s="215"/>
      <c r="U448" s="214"/>
      <c r="V448" s="215"/>
      <c r="W448" s="208">
        <f t="shared" si="33"/>
        <v>4.4999999999999998E-2</v>
      </c>
      <c r="X448" s="209"/>
      <c r="Y448" s="210"/>
      <c r="Z448" s="180">
        <f t="shared" si="34"/>
        <v>0.153</v>
      </c>
      <c r="AA448" s="181"/>
      <c r="AB448" s="182"/>
      <c r="AC448" s="54"/>
      <c r="AD448" s="55"/>
      <c r="AE448" s="56"/>
      <c r="AF448" s="54"/>
      <c r="AG448" s="55"/>
      <c r="AH448" s="57"/>
    </row>
    <row r="449" spans="1:34" ht="15.75" x14ac:dyDescent="0.25">
      <c r="A449" s="185"/>
      <c r="B449" s="186"/>
      <c r="C449" s="184"/>
      <c r="D449" s="211" t="s">
        <v>715</v>
      </c>
      <c r="E449" s="212"/>
      <c r="F449" s="212"/>
      <c r="G449" s="212"/>
      <c r="H449" s="212"/>
      <c r="I449" s="213"/>
      <c r="J449" s="66"/>
      <c r="K449" s="214">
        <v>0.15</v>
      </c>
      <c r="L449" s="215"/>
      <c r="M449" s="214"/>
      <c r="N449" s="215"/>
      <c r="O449" s="214">
        <v>0.3</v>
      </c>
      <c r="P449" s="215"/>
      <c r="Q449" s="214"/>
      <c r="R449" s="215"/>
      <c r="S449" s="214">
        <v>3.4</v>
      </c>
      <c r="T449" s="215"/>
      <c r="U449" s="214"/>
      <c r="V449" s="215"/>
      <c r="W449" s="208">
        <f t="shared" si="33"/>
        <v>4.4999999999999998E-2</v>
      </c>
      <c r="X449" s="209"/>
      <c r="Y449" s="210"/>
      <c r="Z449" s="180">
        <f t="shared" si="34"/>
        <v>0.153</v>
      </c>
      <c r="AA449" s="181"/>
      <c r="AB449" s="182"/>
      <c r="AC449" s="54"/>
      <c r="AD449" s="55"/>
      <c r="AE449" s="56"/>
      <c r="AF449" s="54"/>
      <c r="AG449" s="55"/>
      <c r="AH449" s="57"/>
    </row>
    <row r="450" spans="1:34" ht="15.75" x14ac:dyDescent="0.25">
      <c r="A450" s="185"/>
      <c r="B450" s="186"/>
      <c r="C450" s="184"/>
      <c r="D450" s="211" t="s">
        <v>716</v>
      </c>
      <c r="E450" s="212"/>
      <c r="F450" s="212"/>
      <c r="G450" s="212"/>
      <c r="H450" s="212"/>
      <c r="I450" s="213"/>
      <c r="J450" s="66"/>
      <c r="K450" s="214">
        <v>0.15</v>
      </c>
      <c r="L450" s="215"/>
      <c r="M450" s="214"/>
      <c r="N450" s="215"/>
      <c r="O450" s="214">
        <v>0.3</v>
      </c>
      <c r="P450" s="215"/>
      <c r="Q450" s="214"/>
      <c r="R450" s="215"/>
      <c r="S450" s="214">
        <v>3.4</v>
      </c>
      <c r="T450" s="215"/>
      <c r="U450" s="214"/>
      <c r="V450" s="215"/>
      <c r="W450" s="208">
        <f t="shared" si="33"/>
        <v>4.4999999999999998E-2</v>
      </c>
      <c r="X450" s="209"/>
      <c r="Y450" s="210"/>
      <c r="Z450" s="180">
        <f t="shared" si="34"/>
        <v>0.153</v>
      </c>
      <c r="AA450" s="181"/>
      <c r="AB450" s="182"/>
      <c r="AC450" s="54"/>
      <c r="AD450" s="55"/>
      <c r="AE450" s="56"/>
      <c r="AF450" s="54"/>
      <c r="AG450" s="55"/>
      <c r="AH450" s="57"/>
    </row>
    <row r="451" spans="1:34" ht="15.75" x14ac:dyDescent="0.25">
      <c r="A451" s="185"/>
      <c r="B451" s="186"/>
      <c r="C451" s="184"/>
      <c r="D451" s="211" t="s">
        <v>717</v>
      </c>
      <c r="E451" s="212"/>
      <c r="F451" s="212"/>
      <c r="G451" s="212"/>
      <c r="H451" s="212"/>
      <c r="I451" s="213"/>
      <c r="J451" s="66"/>
      <c r="K451" s="214">
        <v>0.15</v>
      </c>
      <c r="L451" s="215"/>
      <c r="M451" s="214"/>
      <c r="N451" s="215"/>
      <c r="O451" s="214">
        <v>0.3</v>
      </c>
      <c r="P451" s="215"/>
      <c r="Q451" s="214"/>
      <c r="R451" s="215"/>
      <c r="S451" s="214">
        <v>3.4</v>
      </c>
      <c r="T451" s="215"/>
      <c r="U451" s="183"/>
      <c r="V451" s="184"/>
      <c r="W451" s="208">
        <f t="shared" si="33"/>
        <v>4.4999999999999998E-2</v>
      </c>
      <c r="X451" s="209"/>
      <c r="Y451" s="210"/>
      <c r="Z451" s="180">
        <f t="shared" si="34"/>
        <v>0.153</v>
      </c>
      <c r="AA451" s="181"/>
      <c r="AB451" s="182"/>
      <c r="AC451" s="54"/>
      <c r="AD451" s="55"/>
      <c r="AE451" s="56"/>
      <c r="AF451" s="54"/>
      <c r="AG451" s="55"/>
      <c r="AH451" s="57"/>
    </row>
    <row r="452" spans="1:34" ht="15.75" x14ac:dyDescent="0.25">
      <c r="A452" s="185"/>
      <c r="B452" s="186"/>
      <c r="C452" s="184"/>
      <c r="D452" s="211" t="s">
        <v>718</v>
      </c>
      <c r="E452" s="212"/>
      <c r="F452" s="212"/>
      <c r="G452" s="212"/>
      <c r="H452" s="212"/>
      <c r="I452" s="213"/>
      <c r="J452" s="66"/>
      <c r="K452" s="214">
        <v>0.15</v>
      </c>
      <c r="L452" s="215"/>
      <c r="M452" s="214"/>
      <c r="N452" s="215"/>
      <c r="O452" s="214">
        <v>0.3</v>
      </c>
      <c r="P452" s="215"/>
      <c r="Q452" s="214"/>
      <c r="R452" s="215"/>
      <c r="S452" s="214">
        <v>3.4</v>
      </c>
      <c r="T452" s="215"/>
      <c r="U452" s="214"/>
      <c r="V452" s="215"/>
      <c r="W452" s="208">
        <f t="shared" si="33"/>
        <v>4.4999999999999998E-2</v>
      </c>
      <c r="X452" s="209"/>
      <c r="Y452" s="210"/>
      <c r="Z452" s="180">
        <f t="shared" si="34"/>
        <v>0.153</v>
      </c>
      <c r="AA452" s="181"/>
      <c r="AB452" s="182"/>
      <c r="AC452" s="54"/>
      <c r="AD452" s="55"/>
      <c r="AE452" s="56"/>
      <c r="AF452" s="54"/>
      <c r="AG452" s="55"/>
      <c r="AH452" s="57"/>
    </row>
    <row r="453" spans="1:34" ht="15.75" x14ac:dyDescent="0.25">
      <c r="A453" s="185"/>
      <c r="B453" s="186"/>
      <c r="C453" s="184"/>
      <c r="D453" s="211" t="s">
        <v>719</v>
      </c>
      <c r="E453" s="212"/>
      <c r="F453" s="212"/>
      <c r="G453" s="212"/>
      <c r="H453" s="212"/>
      <c r="I453" s="213"/>
      <c r="J453" s="66"/>
      <c r="K453" s="214">
        <v>0.15</v>
      </c>
      <c r="L453" s="215"/>
      <c r="M453" s="214"/>
      <c r="N453" s="215"/>
      <c r="O453" s="214">
        <v>0.3</v>
      </c>
      <c r="P453" s="215"/>
      <c r="Q453" s="214"/>
      <c r="R453" s="215"/>
      <c r="S453" s="214">
        <v>3.4</v>
      </c>
      <c r="T453" s="215"/>
      <c r="U453" s="214"/>
      <c r="V453" s="215"/>
      <c r="W453" s="208">
        <f t="shared" si="33"/>
        <v>4.4999999999999998E-2</v>
      </c>
      <c r="X453" s="209"/>
      <c r="Y453" s="210"/>
      <c r="Z453" s="180">
        <f t="shared" si="34"/>
        <v>0.153</v>
      </c>
      <c r="AA453" s="181"/>
      <c r="AB453" s="182"/>
      <c r="AC453" s="54"/>
      <c r="AD453" s="55"/>
      <c r="AE453" s="56"/>
      <c r="AF453" s="54"/>
      <c r="AG453" s="55"/>
      <c r="AH453" s="57"/>
    </row>
    <row r="454" spans="1:34" ht="15.75" x14ac:dyDescent="0.25">
      <c r="A454" s="185"/>
      <c r="B454" s="186"/>
      <c r="C454" s="184"/>
      <c r="D454" s="211" t="s">
        <v>720</v>
      </c>
      <c r="E454" s="212"/>
      <c r="F454" s="212"/>
      <c r="G454" s="212"/>
      <c r="H454" s="212"/>
      <c r="I454" s="213"/>
      <c r="J454" s="66"/>
      <c r="K454" s="214">
        <v>0.15</v>
      </c>
      <c r="L454" s="215"/>
      <c r="M454" s="214"/>
      <c r="N454" s="215"/>
      <c r="O454" s="214">
        <v>0.3</v>
      </c>
      <c r="P454" s="215"/>
      <c r="Q454" s="214"/>
      <c r="R454" s="215"/>
      <c r="S454" s="214">
        <v>4.9000000000000004</v>
      </c>
      <c r="T454" s="215"/>
      <c r="U454" s="214"/>
      <c r="V454" s="215"/>
      <c r="W454" s="208">
        <f t="shared" si="33"/>
        <v>4.4999999999999998E-2</v>
      </c>
      <c r="X454" s="209"/>
      <c r="Y454" s="210"/>
      <c r="Z454" s="180">
        <f t="shared" si="34"/>
        <v>0.2205</v>
      </c>
      <c r="AA454" s="181"/>
      <c r="AB454" s="182"/>
      <c r="AC454" s="54"/>
      <c r="AD454" s="55"/>
      <c r="AE454" s="56"/>
      <c r="AF454" s="54"/>
      <c r="AG454" s="55"/>
      <c r="AH454" s="57"/>
    </row>
    <row r="455" spans="1:34" ht="15.75" x14ac:dyDescent="0.25">
      <c r="A455" s="185"/>
      <c r="B455" s="186"/>
      <c r="C455" s="184"/>
      <c r="D455" s="211" t="s">
        <v>721</v>
      </c>
      <c r="E455" s="212"/>
      <c r="F455" s="212"/>
      <c r="G455" s="212"/>
      <c r="H455" s="212"/>
      <c r="I455" s="213"/>
      <c r="J455" s="66"/>
      <c r="K455" s="214">
        <v>0.15</v>
      </c>
      <c r="L455" s="215"/>
      <c r="M455" s="214"/>
      <c r="N455" s="215"/>
      <c r="O455" s="214">
        <v>0.3</v>
      </c>
      <c r="P455" s="215"/>
      <c r="Q455" s="214"/>
      <c r="R455" s="215"/>
      <c r="S455" s="214">
        <v>3.4</v>
      </c>
      <c r="T455" s="215"/>
      <c r="U455" s="214"/>
      <c r="V455" s="215"/>
      <c r="W455" s="208">
        <f t="shared" si="33"/>
        <v>4.4999999999999998E-2</v>
      </c>
      <c r="X455" s="209"/>
      <c r="Y455" s="210"/>
      <c r="Z455" s="180">
        <f t="shared" si="34"/>
        <v>0.153</v>
      </c>
      <c r="AA455" s="181"/>
      <c r="AB455" s="182"/>
      <c r="AC455" s="54"/>
      <c r="AD455" s="55"/>
      <c r="AE455" s="56"/>
      <c r="AF455" s="54"/>
      <c r="AG455" s="55"/>
      <c r="AH455" s="57"/>
    </row>
    <row r="456" spans="1:34" ht="15.75" x14ac:dyDescent="0.25">
      <c r="A456" s="185"/>
      <c r="B456" s="186"/>
      <c r="C456" s="184"/>
      <c r="D456" s="211" t="s">
        <v>722</v>
      </c>
      <c r="E456" s="212"/>
      <c r="F456" s="212"/>
      <c r="G456" s="212"/>
      <c r="H456" s="212"/>
      <c r="I456" s="213"/>
      <c r="J456" s="66"/>
      <c r="K456" s="214">
        <v>0.15</v>
      </c>
      <c r="L456" s="215"/>
      <c r="M456" s="214"/>
      <c r="N456" s="215"/>
      <c r="O456" s="214">
        <v>0.3</v>
      </c>
      <c r="P456" s="215"/>
      <c r="Q456" s="214"/>
      <c r="R456" s="215"/>
      <c r="S456" s="214">
        <v>4.9000000000000004</v>
      </c>
      <c r="T456" s="215"/>
      <c r="U456" s="214"/>
      <c r="V456" s="215"/>
      <c r="W456" s="208">
        <f t="shared" si="33"/>
        <v>4.4999999999999998E-2</v>
      </c>
      <c r="X456" s="209"/>
      <c r="Y456" s="210"/>
      <c r="Z456" s="180">
        <f t="shared" si="34"/>
        <v>0.2205</v>
      </c>
      <c r="AA456" s="181"/>
      <c r="AB456" s="182"/>
      <c r="AC456" s="54"/>
      <c r="AD456" s="55"/>
      <c r="AE456" s="56"/>
      <c r="AF456" s="54"/>
      <c r="AG456" s="55"/>
      <c r="AH456" s="57"/>
    </row>
    <row r="457" spans="1:34" ht="15.75" x14ac:dyDescent="0.25">
      <c r="A457" s="185"/>
      <c r="B457" s="186"/>
      <c r="C457" s="184"/>
      <c r="D457" s="211" t="s">
        <v>723</v>
      </c>
      <c r="E457" s="212"/>
      <c r="F457" s="212"/>
      <c r="G457" s="212"/>
      <c r="H457" s="212"/>
      <c r="I457" s="213"/>
      <c r="J457" s="66"/>
      <c r="K457" s="214">
        <v>0.15</v>
      </c>
      <c r="L457" s="215"/>
      <c r="M457" s="214"/>
      <c r="N457" s="215"/>
      <c r="O457" s="214">
        <v>0.3</v>
      </c>
      <c r="P457" s="215"/>
      <c r="Q457" s="214"/>
      <c r="R457" s="215"/>
      <c r="S457" s="214">
        <v>4.9000000000000004</v>
      </c>
      <c r="T457" s="215"/>
      <c r="U457" s="214"/>
      <c r="V457" s="215"/>
      <c r="W457" s="208">
        <f t="shared" si="33"/>
        <v>4.4999999999999998E-2</v>
      </c>
      <c r="X457" s="209"/>
      <c r="Y457" s="210"/>
      <c r="Z457" s="180">
        <f t="shared" si="34"/>
        <v>0.2205</v>
      </c>
      <c r="AA457" s="181"/>
      <c r="AB457" s="182"/>
      <c r="AC457" s="54"/>
      <c r="AD457" s="55"/>
      <c r="AE457" s="56"/>
      <c r="AF457" s="54"/>
      <c r="AG457" s="55"/>
      <c r="AH457" s="57"/>
    </row>
    <row r="458" spans="1:34" ht="15.75" x14ac:dyDescent="0.25">
      <c r="A458" s="185"/>
      <c r="B458" s="186"/>
      <c r="C458" s="184"/>
      <c r="D458" s="211" t="s">
        <v>724</v>
      </c>
      <c r="E458" s="212"/>
      <c r="F458" s="212"/>
      <c r="G458" s="212"/>
      <c r="H458" s="212"/>
      <c r="I458" s="213"/>
      <c r="J458" s="66"/>
      <c r="K458" s="214">
        <v>0.15</v>
      </c>
      <c r="L458" s="215"/>
      <c r="M458" s="214"/>
      <c r="N458" s="215"/>
      <c r="O458" s="214">
        <v>0.3</v>
      </c>
      <c r="P458" s="215"/>
      <c r="Q458" s="214"/>
      <c r="R458" s="215"/>
      <c r="S458" s="214">
        <v>3.4</v>
      </c>
      <c r="T458" s="215"/>
      <c r="U458" s="214"/>
      <c r="V458" s="215"/>
      <c r="W458" s="208">
        <f t="shared" si="33"/>
        <v>4.4999999999999998E-2</v>
      </c>
      <c r="X458" s="209"/>
      <c r="Y458" s="210"/>
      <c r="Z458" s="180">
        <f t="shared" si="34"/>
        <v>0.153</v>
      </c>
      <c r="AA458" s="181"/>
      <c r="AB458" s="182"/>
      <c r="AC458" s="54"/>
      <c r="AD458" s="55"/>
      <c r="AE458" s="56"/>
      <c r="AF458" s="54"/>
      <c r="AG458" s="55"/>
      <c r="AH458" s="57"/>
    </row>
    <row r="459" spans="1:34" ht="15.75" x14ac:dyDescent="0.25">
      <c r="A459" s="185"/>
      <c r="B459" s="186"/>
      <c r="C459" s="184"/>
      <c r="D459" s="211" t="s">
        <v>725</v>
      </c>
      <c r="E459" s="212"/>
      <c r="F459" s="212"/>
      <c r="G459" s="212"/>
      <c r="H459" s="212"/>
      <c r="I459" s="213"/>
      <c r="J459" s="66"/>
      <c r="K459" s="214">
        <v>0.15</v>
      </c>
      <c r="L459" s="215"/>
      <c r="M459" s="214"/>
      <c r="N459" s="215"/>
      <c r="O459" s="214">
        <v>0.3</v>
      </c>
      <c r="P459" s="215"/>
      <c r="Q459" s="214"/>
      <c r="R459" s="215"/>
      <c r="S459" s="214">
        <v>3.4</v>
      </c>
      <c r="T459" s="215"/>
      <c r="U459" s="183"/>
      <c r="V459" s="184"/>
      <c r="W459" s="208">
        <f t="shared" si="33"/>
        <v>4.4999999999999998E-2</v>
      </c>
      <c r="X459" s="209"/>
      <c r="Y459" s="210"/>
      <c r="Z459" s="180">
        <f t="shared" si="34"/>
        <v>0.153</v>
      </c>
      <c r="AA459" s="181"/>
      <c r="AB459" s="182"/>
      <c r="AC459" s="54"/>
      <c r="AD459" s="55"/>
      <c r="AE459" s="56"/>
      <c r="AF459" s="54"/>
      <c r="AG459" s="55"/>
      <c r="AH459" s="57"/>
    </row>
    <row r="460" spans="1:34" ht="15.75" x14ac:dyDescent="0.25">
      <c r="A460" s="185"/>
      <c r="B460" s="186"/>
      <c r="C460" s="184"/>
      <c r="D460" s="211" t="s">
        <v>726</v>
      </c>
      <c r="E460" s="212"/>
      <c r="F460" s="212"/>
      <c r="G460" s="212"/>
      <c r="H460" s="212"/>
      <c r="I460" s="213"/>
      <c r="J460" s="66"/>
      <c r="K460" s="214">
        <v>0.15</v>
      </c>
      <c r="L460" s="215"/>
      <c r="M460" s="214"/>
      <c r="N460" s="215"/>
      <c r="O460" s="214">
        <v>0.3</v>
      </c>
      <c r="P460" s="215"/>
      <c r="Q460" s="214"/>
      <c r="R460" s="215"/>
      <c r="S460" s="214">
        <v>3.4</v>
      </c>
      <c r="T460" s="215"/>
      <c r="U460" s="214"/>
      <c r="V460" s="215"/>
      <c r="W460" s="208">
        <f t="shared" si="33"/>
        <v>4.4999999999999998E-2</v>
      </c>
      <c r="X460" s="209"/>
      <c r="Y460" s="210"/>
      <c r="Z460" s="180">
        <f t="shared" si="34"/>
        <v>0.153</v>
      </c>
      <c r="AA460" s="181"/>
      <c r="AB460" s="182"/>
      <c r="AC460" s="54"/>
      <c r="AD460" s="55"/>
      <c r="AE460" s="56"/>
      <c r="AF460" s="54"/>
      <c r="AG460" s="55"/>
      <c r="AH460" s="57"/>
    </row>
    <row r="461" spans="1:34" ht="15.75" x14ac:dyDescent="0.25">
      <c r="A461" s="185"/>
      <c r="B461" s="186"/>
      <c r="C461" s="184"/>
      <c r="D461" s="211" t="s">
        <v>727</v>
      </c>
      <c r="E461" s="212"/>
      <c r="F461" s="212"/>
      <c r="G461" s="212"/>
      <c r="H461" s="212"/>
      <c r="I461" s="213"/>
      <c r="J461" s="66"/>
      <c r="K461" s="214">
        <v>0.15</v>
      </c>
      <c r="L461" s="215"/>
      <c r="M461" s="214"/>
      <c r="N461" s="215"/>
      <c r="O461" s="214">
        <v>0.3</v>
      </c>
      <c r="P461" s="215"/>
      <c r="Q461" s="214"/>
      <c r="R461" s="215"/>
      <c r="S461" s="214">
        <v>3.4</v>
      </c>
      <c r="T461" s="215"/>
      <c r="U461" s="214"/>
      <c r="V461" s="215"/>
      <c r="W461" s="208">
        <f t="shared" si="33"/>
        <v>4.4999999999999998E-2</v>
      </c>
      <c r="X461" s="209"/>
      <c r="Y461" s="210"/>
      <c r="Z461" s="180">
        <f t="shared" si="34"/>
        <v>0.153</v>
      </c>
      <c r="AA461" s="181"/>
      <c r="AB461" s="182"/>
      <c r="AC461" s="54"/>
      <c r="AD461" s="55"/>
      <c r="AE461" s="56"/>
      <c r="AF461" s="54"/>
      <c r="AG461" s="55"/>
      <c r="AH461" s="57"/>
    </row>
    <row r="462" spans="1:34" ht="15.75" x14ac:dyDescent="0.25">
      <c r="A462" s="185"/>
      <c r="B462" s="186"/>
      <c r="C462" s="184"/>
      <c r="D462" s="211" t="s">
        <v>728</v>
      </c>
      <c r="E462" s="212"/>
      <c r="F462" s="212"/>
      <c r="G462" s="212"/>
      <c r="H462" s="212"/>
      <c r="I462" s="213"/>
      <c r="J462" s="66"/>
      <c r="K462" s="214">
        <v>0.15</v>
      </c>
      <c r="L462" s="215"/>
      <c r="M462" s="214"/>
      <c r="N462" s="215"/>
      <c r="O462" s="214">
        <v>0.3</v>
      </c>
      <c r="P462" s="215"/>
      <c r="Q462" s="214"/>
      <c r="R462" s="215"/>
      <c r="S462" s="214">
        <v>3.4</v>
      </c>
      <c r="T462" s="215"/>
      <c r="U462" s="214"/>
      <c r="V462" s="215"/>
      <c r="W462" s="208">
        <f t="shared" si="33"/>
        <v>4.4999999999999998E-2</v>
      </c>
      <c r="X462" s="209"/>
      <c r="Y462" s="210"/>
      <c r="Z462" s="180">
        <f t="shared" si="34"/>
        <v>0.153</v>
      </c>
      <c r="AA462" s="181"/>
      <c r="AB462" s="182"/>
      <c r="AC462" s="54"/>
      <c r="AD462" s="55"/>
      <c r="AE462" s="56"/>
      <c r="AF462" s="54"/>
      <c r="AG462" s="55"/>
      <c r="AH462" s="57"/>
    </row>
    <row r="463" spans="1:34" ht="15.75" x14ac:dyDescent="0.25">
      <c r="A463" s="185"/>
      <c r="B463" s="186"/>
      <c r="C463" s="184"/>
      <c r="D463" s="211" t="s">
        <v>729</v>
      </c>
      <c r="E463" s="212"/>
      <c r="F463" s="212"/>
      <c r="G463" s="212"/>
      <c r="H463" s="212"/>
      <c r="I463" s="213"/>
      <c r="J463" s="66"/>
      <c r="K463" s="214">
        <v>0.2</v>
      </c>
      <c r="L463" s="215"/>
      <c r="M463" s="214"/>
      <c r="N463" s="215"/>
      <c r="O463" s="214">
        <v>0.3</v>
      </c>
      <c r="P463" s="215"/>
      <c r="Q463" s="214"/>
      <c r="R463" s="215"/>
      <c r="S463" s="214">
        <v>3.4</v>
      </c>
      <c r="T463" s="215"/>
      <c r="U463" s="214"/>
      <c r="V463" s="215"/>
      <c r="W463" s="208">
        <f t="shared" si="33"/>
        <v>0.06</v>
      </c>
      <c r="X463" s="209"/>
      <c r="Y463" s="210"/>
      <c r="Z463" s="180">
        <f t="shared" si="34"/>
        <v>0.20399999999999999</v>
      </c>
      <c r="AA463" s="181"/>
      <c r="AB463" s="182"/>
      <c r="AC463" s="54"/>
      <c r="AD463" s="55"/>
      <c r="AE463" s="56"/>
      <c r="AF463" s="54"/>
      <c r="AG463" s="55"/>
      <c r="AH463" s="57"/>
    </row>
    <row r="464" spans="1:34" ht="15.75" x14ac:dyDescent="0.25">
      <c r="A464" s="185"/>
      <c r="B464" s="186"/>
      <c r="C464" s="184"/>
      <c r="D464" s="211" t="s">
        <v>730</v>
      </c>
      <c r="E464" s="212"/>
      <c r="F464" s="212"/>
      <c r="G464" s="212"/>
      <c r="H464" s="212"/>
      <c r="I464" s="213"/>
      <c r="J464" s="66"/>
      <c r="K464" s="214">
        <v>0.2</v>
      </c>
      <c r="L464" s="215"/>
      <c r="M464" s="214"/>
      <c r="N464" s="215"/>
      <c r="O464" s="214">
        <v>0.3</v>
      </c>
      <c r="P464" s="215"/>
      <c r="Q464" s="214"/>
      <c r="R464" s="215"/>
      <c r="S464" s="214">
        <v>4.9000000000000004</v>
      </c>
      <c r="T464" s="215"/>
      <c r="U464" s="214"/>
      <c r="V464" s="215"/>
      <c r="W464" s="208">
        <f t="shared" ref="W464:W491" si="35">K464*O464</f>
        <v>0.06</v>
      </c>
      <c r="X464" s="209"/>
      <c r="Y464" s="210"/>
      <c r="Z464" s="180">
        <f t="shared" ref="Z464:Z491" si="36">W464*S464</f>
        <v>0.29399999999999998</v>
      </c>
      <c r="AA464" s="181"/>
      <c r="AB464" s="182"/>
      <c r="AC464" s="54"/>
      <c r="AD464" s="55"/>
      <c r="AE464" s="56"/>
      <c r="AF464" s="54"/>
      <c r="AG464" s="55"/>
      <c r="AH464" s="57"/>
    </row>
    <row r="465" spans="1:34" ht="15.75" x14ac:dyDescent="0.25">
      <c r="A465" s="185"/>
      <c r="B465" s="186"/>
      <c r="C465" s="184"/>
      <c r="D465" s="211" t="s">
        <v>731</v>
      </c>
      <c r="E465" s="212"/>
      <c r="F465" s="212"/>
      <c r="G465" s="212"/>
      <c r="H465" s="212"/>
      <c r="I465" s="213"/>
      <c r="J465" s="66"/>
      <c r="K465" s="214">
        <v>0.15</v>
      </c>
      <c r="L465" s="215"/>
      <c r="M465" s="214"/>
      <c r="N465" s="215"/>
      <c r="O465" s="214">
        <v>0.3</v>
      </c>
      <c r="P465" s="215"/>
      <c r="Q465" s="214"/>
      <c r="R465" s="215"/>
      <c r="S465" s="214">
        <v>4.9000000000000004</v>
      </c>
      <c r="T465" s="215"/>
      <c r="U465" s="214"/>
      <c r="V465" s="215"/>
      <c r="W465" s="208">
        <f t="shared" si="35"/>
        <v>4.4999999999999998E-2</v>
      </c>
      <c r="X465" s="209"/>
      <c r="Y465" s="210"/>
      <c r="Z465" s="180">
        <f t="shared" si="36"/>
        <v>0.2205</v>
      </c>
      <c r="AA465" s="181"/>
      <c r="AB465" s="182"/>
      <c r="AC465" s="54"/>
      <c r="AD465" s="55"/>
      <c r="AE465" s="56"/>
      <c r="AF465" s="54"/>
      <c r="AG465" s="55"/>
      <c r="AH465" s="57"/>
    </row>
    <row r="466" spans="1:34" ht="15.75" x14ac:dyDescent="0.25">
      <c r="A466" s="185"/>
      <c r="B466" s="186"/>
      <c r="C466" s="184"/>
      <c r="D466" s="211" t="s">
        <v>732</v>
      </c>
      <c r="E466" s="212"/>
      <c r="F466" s="212"/>
      <c r="G466" s="212"/>
      <c r="H466" s="212"/>
      <c r="I466" s="213"/>
      <c r="J466" s="66"/>
      <c r="K466" s="214">
        <v>0.15</v>
      </c>
      <c r="L466" s="215"/>
      <c r="M466" s="214"/>
      <c r="N466" s="215"/>
      <c r="O466" s="214">
        <v>0.3</v>
      </c>
      <c r="P466" s="215"/>
      <c r="Q466" s="214"/>
      <c r="R466" s="215"/>
      <c r="S466" s="214">
        <v>4.9000000000000004</v>
      </c>
      <c r="T466" s="215"/>
      <c r="U466" s="214"/>
      <c r="V466" s="215"/>
      <c r="W466" s="208">
        <f t="shared" si="35"/>
        <v>4.4999999999999998E-2</v>
      </c>
      <c r="X466" s="209"/>
      <c r="Y466" s="210"/>
      <c r="Z466" s="180">
        <f t="shared" si="36"/>
        <v>0.2205</v>
      </c>
      <c r="AA466" s="181"/>
      <c r="AB466" s="182"/>
      <c r="AC466" s="54"/>
      <c r="AD466" s="55"/>
      <c r="AE466" s="56"/>
      <c r="AF466" s="54"/>
      <c r="AG466" s="55"/>
      <c r="AH466" s="57"/>
    </row>
    <row r="467" spans="1:34" ht="15.75" x14ac:dyDescent="0.25">
      <c r="A467" s="185"/>
      <c r="B467" s="186"/>
      <c r="C467" s="184"/>
      <c r="D467" s="211" t="s">
        <v>733</v>
      </c>
      <c r="E467" s="212"/>
      <c r="F467" s="212"/>
      <c r="G467" s="212"/>
      <c r="H467" s="212"/>
      <c r="I467" s="213"/>
      <c r="J467" s="66"/>
      <c r="K467" s="214">
        <v>0.15</v>
      </c>
      <c r="L467" s="215"/>
      <c r="M467" s="214"/>
      <c r="N467" s="215"/>
      <c r="O467" s="214">
        <v>0.3</v>
      </c>
      <c r="P467" s="215"/>
      <c r="Q467" s="214"/>
      <c r="R467" s="215"/>
      <c r="S467" s="214">
        <v>3.4</v>
      </c>
      <c r="T467" s="215"/>
      <c r="U467" s="183"/>
      <c r="V467" s="184"/>
      <c r="W467" s="208">
        <f t="shared" si="35"/>
        <v>4.4999999999999998E-2</v>
      </c>
      <c r="X467" s="209"/>
      <c r="Y467" s="210"/>
      <c r="Z467" s="180">
        <f t="shared" si="36"/>
        <v>0.153</v>
      </c>
      <c r="AA467" s="181"/>
      <c r="AB467" s="182"/>
      <c r="AC467" s="54"/>
      <c r="AD467" s="55"/>
      <c r="AE467" s="56"/>
      <c r="AF467" s="54"/>
      <c r="AG467" s="55"/>
      <c r="AH467" s="57"/>
    </row>
    <row r="468" spans="1:34" ht="15.75" x14ac:dyDescent="0.25">
      <c r="A468" s="185"/>
      <c r="B468" s="186"/>
      <c r="C468" s="184"/>
      <c r="D468" s="211" t="s">
        <v>734</v>
      </c>
      <c r="E468" s="212"/>
      <c r="F468" s="212"/>
      <c r="G468" s="212"/>
      <c r="H468" s="212"/>
      <c r="I468" s="213"/>
      <c r="J468" s="66"/>
      <c r="K468" s="214">
        <v>0.15</v>
      </c>
      <c r="L468" s="215"/>
      <c r="M468" s="214"/>
      <c r="N468" s="215"/>
      <c r="O468" s="214">
        <v>0.3</v>
      </c>
      <c r="P468" s="215"/>
      <c r="Q468" s="214"/>
      <c r="R468" s="215"/>
      <c r="S468" s="214">
        <v>3.4</v>
      </c>
      <c r="T468" s="215"/>
      <c r="U468" s="214"/>
      <c r="V468" s="215"/>
      <c r="W468" s="208">
        <f t="shared" si="35"/>
        <v>4.4999999999999998E-2</v>
      </c>
      <c r="X468" s="209"/>
      <c r="Y468" s="210"/>
      <c r="Z468" s="180">
        <f t="shared" si="36"/>
        <v>0.153</v>
      </c>
      <c r="AA468" s="181"/>
      <c r="AB468" s="182"/>
      <c r="AC468" s="54"/>
      <c r="AD468" s="55"/>
      <c r="AE468" s="56"/>
      <c r="AF468" s="54"/>
      <c r="AG468" s="55"/>
      <c r="AH468" s="57"/>
    </row>
    <row r="469" spans="1:34" ht="15.75" x14ac:dyDescent="0.25">
      <c r="A469" s="185"/>
      <c r="B469" s="186"/>
      <c r="C469" s="184"/>
      <c r="D469" s="211" t="s">
        <v>735</v>
      </c>
      <c r="E469" s="212"/>
      <c r="F469" s="212"/>
      <c r="G469" s="212"/>
      <c r="H469" s="212"/>
      <c r="I469" s="213"/>
      <c r="J469" s="66"/>
      <c r="K469" s="214">
        <v>0.15</v>
      </c>
      <c r="L469" s="215"/>
      <c r="M469" s="214"/>
      <c r="N469" s="215"/>
      <c r="O469" s="214">
        <v>0.3</v>
      </c>
      <c r="P469" s="215"/>
      <c r="Q469" s="214"/>
      <c r="R469" s="215"/>
      <c r="S469" s="214">
        <v>4.9000000000000004</v>
      </c>
      <c r="T469" s="215"/>
      <c r="U469" s="214"/>
      <c r="V469" s="215"/>
      <c r="W469" s="208">
        <f t="shared" si="35"/>
        <v>4.4999999999999998E-2</v>
      </c>
      <c r="X469" s="209"/>
      <c r="Y469" s="210"/>
      <c r="Z469" s="180">
        <f t="shared" si="36"/>
        <v>0.2205</v>
      </c>
      <c r="AA469" s="181"/>
      <c r="AB469" s="182"/>
      <c r="AC469" s="54"/>
      <c r="AD469" s="55"/>
      <c r="AE469" s="56"/>
      <c r="AF469" s="54"/>
      <c r="AG469" s="55"/>
      <c r="AH469" s="57"/>
    </row>
    <row r="470" spans="1:34" ht="15.75" x14ac:dyDescent="0.25">
      <c r="A470" s="185"/>
      <c r="B470" s="186"/>
      <c r="C470" s="184"/>
      <c r="D470" s="211" t="s">
        <v>736</v>
      </c>
      <c r="E470" s="212"/>
      <c r="F470" s="212"/>
      <c r="G470" s="212"/>
      <c r="H470" s="212"/>
      <c r="I470" s="213"/>
      <c r="J470" s="66"/>
      <c r="K470" s="214">
        <v>0.15</v>
      </c>
      <c r="L470" s="215"/>
      <c r="M470" s="214"/>
      <c r="N470" s="215"/>
      <c r="O470" s="214">
        <v>0.3</v>
      </c>
      <c r="P470" s="215"/>
      <c r="Q470" s="214"/>
      <c r="R470" s="215"/>
      <c r="S470" s="214">
        <v>4.9000000000000004</v>
      </c>
      <c r="T470" s="215"/>
      <c r="U470" s="214"/>
      <c r="V470" s="215"/>
      <c r="W470" s="208">
        <f t="shared" si="35"/>
        <v>4.4999999999999998E-2</v>
      </c>
      <c r="X470" s="209"/>
      <c r="Y470" s="210"/>
      <c r="Z470" s="180">
        <f t="shared" si="36"/>
        <v>0.2205</v>
      </c>
      <c r="AA470" s="181"/>
      <c r="AB470" s="182"/>
      <c r="AC470" s="54"/>
      <c r="AD470" s="55"/>
      <c r="AE470" s="56"/>
      <c r="AF470" s="54"/>
      <c r="AG470" s="55"/>
      <c r="AH470" s="57"/>
    </row>
    <row r="471" spans="1:34" ht="15.75" x14ac:dyDescent="0.25">
      <c r="A471" s="185"/>
      <c r="B471" s="186"/>
      <c r="C471" s="184"/>
      <c r="D471" s="211" t="s">
        <v>737</v>
      </c>
      <c r="E471" s="212"/>
      <c r="F471" s="212"/>
      <c r="G471" s="212"/>
      <c r="H471" s="212"/>
      <c r="I471" s="213"/>
      <c r="J471" s="66"/>
      <c r="K471" s="214">
        <v>0.15</v>
      </c>
      <c r="L471" s="215"/>
      <c r="M471" s="214"/>
      <c r="N471" s="215"/>
      <c r="O471" s="214">
        <v>0.3</v>
      </c>
      <c r="P471" s="215"/>
      <c r="Q471" s="214"/>
      <c r="R471" s="215"/>
      <c r="S471" s="214">
        <v>3.4</v>
      </c>
      <c r="T471" s="215"/>
      <c r="U471" s="214"/>
      <c r="V471" s="215"/>
      <c r="W471" s="208">
        <f t="shared" si="35"/>
        <v>4.4999999999999998E-2</v>
      </c>
      <c r="X471" s="209"/>
      <c r="Y471" s="210"/>
      <c r="Z471" s="180">
        <f t="shared" si="36"/>
        <v>0.153</v>
      </c>
      <c r="AA471" s="181"/>
      <c r="AB471" s="182"/>
      <c r="AC471" s="54"/>
      <c r="AD471" s="55"/>
      <c r="AE471" s="56"/>
      <c r="AF471" s="54"/>
      <c r="AG471" s="55"/>
      <c r="AH471" s="57"/>
    </row>
    <row r="472" spans="1:34" ht="15.75" x14ac:dyDescent="0.25">
      <c r="A472" s="185"/>
      <c r="B472" s="186"/>
      <c r="C472" s="184"/>
      <c r="D472" s="211" t="s">
        <v>738</v>
      </c>
      <c r="E472" s="212"/>
      <c r="F472" s="212"/>
      <c r="G472" s="212"/>
      <c r="H472" s="212"/>
      <c r="I472" s="213"/>
      <c r="J472" s="66"/>
      <c r="K472" s="214">
        <v>0.15</v>
      </c>
      <c r="L472" s="215"/>
      <c r="M472" s="214"/>
      <c r="N472" s="215"/>
      <c r="O472" s="214">
        <v>0.3</v>
      </c>
      <c r="P472" s="215"/>
      <c r="Q472" s="214"/>
      <c r="R472" s="215"/>
      <c r="S472" s="214">
        <v>3.4</v>
      </c>
      <c r="T472" s="215"/>
      <c r="U472" s="214"/>
      <c r="V472" s="215"/>
      <c r="W472" s="208">
        <f t="shared" si="35"/>
        <v>4.4999999999999998E-2</v>
      </c>
      <c r="X472" s="209"/>
      <c r="Y472" s="210"/>
      <c r="Z472" s="180">
        <f t="shared" si="36"/>
        <v>0.153</v>
      </c>
      <c r="AA472" s="181"/>
      <c r="AB472" s="182"/>
      <c r="AC472" s="54"/>
      <c r="AD472" s="55"/>
      <c r="AE472" s="56"/>
      <c r="AF472" s="54"/>
      <c r="AG472" s="55"/>
      <c r="AH472" s="57"/>
    </row>
    <row r="473" spans="1:34" ht="15.75" x14ac:dyDescent="0.25">
      <c r="A473" s="185"/>
      <c r="B473" s="186"/>
      <c r="C473" s="184"/>
      <c r="D473" s="211" t="s">
        <v>739</v>
      </c>
      <c r="E473" s="212"/>
      <c r="F473" s="212"/>
      <c r="G473" s="212"/>
      <c r="H473" s="212"/>
      <c r="I473" s="213"/>
      <c r="J473" s="66"/>
      <c r="K473" s="214">
        <v>0.15</v>
      </c>
      <c r="L473" s="215"/>
      <c r="M473" s="214"/>
      <c r="N473" s="215"/>
      <c r="O473" s="214">
        <v>0.3</v>
      </c>
      <c r="P473" s="215"/>
      <c r="Q473" s="214"/>
      <c r="R473" s="215"/>
      <c r="S473" s="214">
        <v>3.4</v>
      </c>
      <c r="T473" s="215"/>
      <c r="U473" s="214"/>
      <c r="V473" s="215"/>
      <c r="W473" s="208">
        <f t="shared" si="35"/>
        <v>4.4999999999999998E-2</v>
      </c>
      <c r="X473" s="209"/>
      <c r="Y473" s="210"/>
      <c r="Z473" s="180">
        <f t="shared" si="36"/>
        <v>0.153</v>
      </c>
      <c r="AA473" s="181"/>
      <c r="AB473" s="182"/>
      <c r="AC473" s="54"/>
      <c r="AD473" s="55"/>
      <c r="AE473" s="56"/>
      <c r="AF473" s="54"/>
      <c r="AG473" s="55"/>
      <c r="AH473" s="57"/>
    </row>
    <row r="474" spans="1:34" ht="15.75" x14ac:dyDescent="0.25">
      <c r="A474" s="185"/>
      <c r="B474" s="186"/>
      <c r="C474" s="184"/>
      <c r="D474" s="211" t="s">
        <v>740</v>
      </c>
      <c r="E474" s="212"/>
      <c r="F474" s="212"/>
      <c r="G474" s="212"/>
      <c r="H474" s="212"/>
      <c r="I474" s="213"/>
      <c r="J474" s="66"/>
      <c r="K474" s="214">
        <v>0.15</v>
      </c>
      <c r="L474" s="215"/>
      <c r="M474" s="214"/>
      <c r="N474" s="215"/>
      <c r="O474" s="214">
        <v>0.3</v>
      </c>
      <c r="P474" s="215"/>
      <c r="Q474" s="214"/>
      <c r="R474" s="215"/>
      <c r="S474" s="214">
        <v>3.4</v>
      </c>
      <c r="T474" s="215"/>
      <c r="U474" s="214"/>
      <c r="V474" s="215"/>
      <c r="W474" s="208">
        <f t="shared" si="35"/>
        <v>4.4999999999999998E-2</v>
      </c>
      <c r="X474" s="209"/>
      <c r="Y474" s="210"/>
      <c r="Z474" s="180">
        <f t="shared" si="36"/>
        <v>0.153</v>
      </c>
      <c r="AA474" s="181"/>
      <c r="AB474" s="182"/>
      <c r="AC474" s="54"/>
      <c r="AD474" s="55"/>
      <c r="AE474" s="56"/>
      <c r="AF474" s="54"/>
      <c r="AG474" s="55"/>
      <c r="AH474" s="57"/>
    </row>
    <row r="475" spans="1:34" ht="15.75" x14ac:dyDescent="0.25">
      <c r="A475" s="185"/>
      <c r="B475" s="186"/>
      <c r="C475" s="184"/>
      <c r="D475" s="211" t="s">
        <v>741</v>
      </c>
      <c r="E475" s="212"/>
      <c r="F475" s="212"/>
      <c r="G475" s="212"/>
      <c r="H475" s="212"/>
      <c r="I475" s="213"/>
      <c r="J475" s="66"/>
      <c r="K475" s="214">
        <v>0.15</v>
      </c>
      <c r="L475" s="215"/>
      <c r="M475" s="214"/>
      <c r="N475" s="215"/>
      <c r="O475" s="214">
        <v>0.3</v>
      </c>
      <c r="P475" s="215"/>
      <c r="Q475" s="214"/>
      <c r="R475" s="215"/>
      <c r="S475" s="214">
        <v>3.4</v>
      </c>
      <c r="T475" s="215"/>
      <c r="U475" s="183"/>
      <c r="V475" s="184"/>
      <c r="W475" s="208">
        <f t="shared" si="35"/>
        <v>4.4999999999999998E-2</v>
      </c>
      <c r="X475" s="209"/>
      <c r="Y475" s="210"/>
      <c r="Z475" s="180">
        <f t="shared" si="36"/>
        <v>0.153</v>
      </c>
      <c r="AA475" s="181"/>
      <c r="AB475" s="182"/>
      <c r="AC475" s="54"/>
      <c r="AD475" s="55"/>
      <c r="AE475" s="56"/>
      <c r="AF475" s="54"/>
      <c r="AG475" s="55"/>
      <c r="AH475" s="57"/>
    </row>
    <row r="476" spans="1:34" ht="15.75" x14ac:dyDescent="0.25">
      <c r="A476" s="185"/>
      <c r="B476" s="186"/>
      <c r="C476" s="184"/>
      <c r="D476" s="211" t="s">
        <v>742</v>
      </c>
      <c r="E476" s="212"/>
      <c r="F476" s="212"/>
      <c r="G476" s="212"/>
      <c r="H476" s="212"/>
      <c r="I476" s="213"/>
      <c r="J476" s="66"/>
      <c r="K476" s="214">
        <v>0.15</v>
      </c>
      <c r="L476" s="215"/>
      <c r="M476" s="214"/>
      <c r="N476" s="215"/>
      <c r="O476" s="214">
        <v>0.3</v>
      </c>
      <c r="P476" s="215"/>
      <c r="Q476" s="214"/>
      <c r="R476" s="215"/>
      <c r="S476" s="214">
        <v>4.9000000000000004</v>
      </c>
      <c r="T476" s="215"/>
      <c r="U476" s="214"/>
      <c r="V476" s="215"/>
      <c r="W476" s="208">
        <f t="shared" si="35"/>
        <v>4.4999999999999998E-2</v>
      </c>
      <c r="X476" s="209"/>
      <c r="Y476" s="210"/>
      <c r="Z476" s="180">
        <f t="shared" si="36"/>
        <v>0.2205</v>
      </c>
      <c r="AA476" s="181"/>
      <c r="AB476" s="182"/>
      <c r="AC476" s="54"/>
      <c r="AD476" s="55"/>
      <c r="AE476" s="56"/>
      <c r="AF476" s="54"/>
      <c r="AG476" s="55"/>
      <c r="AH476" s="57"/>
    </row>
    <row r="477" spans="1:34" ht="15.75" x14ac:dyDescent="0.25">
      <c r="A477" s="185"/>
      <c r="B477" s="186"/>
      <c r="C477" s="184"/>
      <c r="D477" s="211" t="s">
        <v>743</v>
      </c>
      <c r="E477" s="212"/>
      <c r="F477" s="212"/>
      <c r="G477" s="212"/>
      <c r="H477" s="212"/>
      <c r="I477" s="213"/>
      <c r="J477" s="66"/>
      <c r="K477" s="214">
        <v>0.15</v>
      </c>
      <c r="L477" s="215"/>
      <c r="M477" s="214"/>
      <c r="N477" s="215"/>
      <c r="O477" s="214">
        <v>0.3</v>
      </c>
      <c r="P477" s="215"/>
      <c r="Q477" s="214"/>
      <c r="R477" s="215"/>
      <c r="S477" s="214">
        <v>3.4</v>
      </c>
      <c r="T477" s="215"/>
      <c r="U477" s="214"/>
      <c r="V477" s="215"/>
      <c r="W477" s="208">
        <f t="shared" si="35"/>
        <v>4.4999999999999998E-2</v>
      </c>
      <c r="X477" s="209"/>
      <c r="Y477" s="210"/>
      <c r="Z477" s="180">
        <f t="shared" si="36"/>
        <v>0.153</v>
      </c>
      <c r="AA477" s="181"/>
      <c r="AB477" s="182"/>
      <c r="AC477" s="54"/>
      <c r="AD477" s="55"/>
      <c r="AE477" s="56"/>
      <c r="AF477" s="54"/>
      <c r="AG477" s="55"/>
      <c r="AH477" s="57"/>
    </row>
    <row r="478" spans="1:34" ht="15.75" x14ac:dyDescent="0.25">
      <c r="A478" s="185"/>
      <c r="B478" s="186"/>
      <c r="C478" s="184"/>
      <c r="D478" s="211" t="s">
        <v>744</v>
      </c>
      <c r="E478" s="212"/>
      <c r="F478" s="212"/>
      <c r="G478" s="212"/>
      <c r="H478" s="212"/>
      <c r="I478" s="213"/>
      <c r="J478" s="66"/>
      <c r="K478" s="214">
        <v>0.15</v>
      </c>
      <c r="L478" s="215"/>
      <c r="M478" s="214"/>
      <c r="N478" s="215"/>
      <c r="O478" s="214">
        <v>0.3</v>
      </c>
      <c r="P478" s="215"/>
      <c r="Q478" s="214"/>
      <c r="R478" s="215"/>
      <c r="S478" s="214">
        <v>3.4</v>
      </c>
      <c r="T478" s="215"/>
      <c r="U478" s="214"/>
      <c r="V478" s="215"/>
      <c r="W478" s="208">
        <f t="shared" si="35"/>
        <v>4.4999999999999998E-2</v>
      </c>
      <c r="X478" s="209"/>
      <c r="Y478" s="210"/>
      <c r="Z478" s="180">
        <f t="shared" si="36"/>
        <v>0.153</v>
      </c>
      <c r="AA478" s="181"/>
      <c r="AB478" s="182"/>
      <c r="AC478" s="54"/>
      <c r="AD478" s="55"/>
      <c r="AE478" s="56"/>
      <c r="AF478" s="54"/>
      <c r="AG478" s="55"/>
      <c r="AH478" s="57"/>
    </row>
    <row r="479" spans="1:34" ht="15.75" x14ac:dyDescent="0.25">
      <c r="A479" s="185"/>
      <c r="B479" s="186"/>
      <c r="C479" s="184"/>
      <c r="D479" s="211" t="s">
        <v>745</v>
      </c>
      <c r="E479" s="212"/>
      <c r="F479" s="212"/>
      <c r="G479" s="212"/>
      <c r="H479" s="212"/>
      <c r="I479" s="213"/>
      <c r="J479" s="66"/>
      <c r="K479" s="214">
        <v>0.15</v>
      </c>
      <c r="L479" s="215"/>
      <c r="M479" s="214"/>
      <c r="N479" s="215"/>
      <c r="O479" s="214">
        <v>0.3</v>
      </c>
      <c r="P479" s="215"/>
      <c r="Q479" s="214"/>
      <c r="R479" s="215"/>
      <c r="S479" s="214">
        <v>3.4</v>
      </c>
      <c r="T479" s="215"/>
      <c r="U479" s="214"/>
      <c r="V479" s="215"/>
      <c r="W479" s="208">
        <f t="shared" si="35"/>
        <v>4.4999999999999998E-2</v>
      </c>
      <c r="X479" s="209"/>
      <c r="Y479" s="210"/>
      <c r="Z479" s="180">
        <f t="shared" si="36"/>
        <v>0.153</v>
      </c>
      <c r="AA479" s="181"/>
      <c r="AB479" s="182"/>
      <c r="AC479" s="54"/>
      <c r="AD479" s="55"/>
      <c r="AE479" s="56"/>
      <c r="AF479" s="54"/>
      <c r="AG479" s="55"/>
      <c r="AH479" s="57"/>
    </row>
    <row r="480" spans="1:34" ht="15.75" x14ac:dyDescent="0.25">
      <c r="A480" s="185"/>
      <c r="B480" s="186"/>
      <c r="C480" s="184"/>
      <c r="D480" s="211" t="s">
        <v>746</v>
      </c>
      <c r="E480" s="212"/>
      <c r="F480" s="212"/>
      <c r="G480" s="212"/>
      <c r="H480" s="212"/>
      <c r="I480" s="213"/>
      <c r="J480" s="66"/>
      <c r="K480" s="214">
        <v>0.15</v>
      </c>
      <c r="L480" s="215"/>
      <c r="M480" s="214"/>
      <c r="N480" s="215"/>
      <c r="O480" s="214">
        <v>0.3</v>
      </c>
      <c r="P480" s="215"/>
      <c r="Q480" s="214"/>
      <c r="R480" s="215"/>
      <c r="S480" s="214">
        <v>4.9000000000000004</v>
      </c>
      <c r="T480" s="215"/>
      <c r="U480" s="214"/>
      <c r="V480" s="215"/>
      <c r="W480" s="208">
        <f t="shared" si="35"/>
        <v>4.4999999999999998E-2</v>
      </c>
      <c r="X480" s="209"/>
      <c r="Y480" s="210"/>
      <c r="Z480" s="180">
        <f t="shared" si="36"/>
        <v>0.2205</v>
      </c>
      <c r="AA480" s="181"/>
      <c r="AB480" s="182"/>
      <c r="AC480" s="54"/>
      <c r="AD480" s="55"/>
      <c r="AE480" s="56"/>
      <c r="AF480" s="54"/>
      <c r="AG480" s="55"/>
      <c r="AH480" s="57"/>
    </row>
    <row r="481" spans="1:34" ht="15.75" x14ac:dyDescent="0.25">
      <c r="A481" s="185"/>
      <c r="B481" s="186"/>
      <c r="C481" s="184"/>
      <c r="D481" s="211" t="s">
        <v>747</v>
      </c>
      <c r="E481" s="212"/>
      <c r="F481" s="212"/>
      <c r="G481" s="212"/>
      <c r="H481" s="212"/>
      <c r="I481" s="213"/>
      <c r="J481" s="66"/>
      <c r="K481" s="214">
        <v>0.15</v>
      </c>
      <c r="L481" s="215"/>
      <c r="M481" s="214"/>
      <c r="N481" s="215"/>
      <c r="O481" s="214">
        <v>0.3</v>
      </c>
      <c r="P481" s="215"/>
      <c r="Q481" s="214"/>
      <c r="R481" s="215"/>
      <c r="S481" s="214">
        <v>4.9000000000000004</v>
      </c>
      <c r="T481" s="215"/>
      <c r="U481" s="214"/>
      <c r="V481" s="215"/>
      <c r="W481" s="208">
        <f t="shared" si="35"/>
        <v>4.4999999999999998E-2</v>
      </c>
      <c r="X481" s="209"/>
      <c r="Y481" s="210"/>
      <c r="Z481" s="180">
        <f t="shared" si="36"/>
        <v>0.2205</v>
      </c>
      <c r="AA481" s="181"/>
      <c r="AB481" s="182"/>
      <c r="AC481" s="54"/>
      <c r="AD481" s="55"/>
      <c r="AE481" s="56"/>
      <c r="AF481" s="54"/>
      <c r="AG481" s="55"/>
      <c r="AH481" s="57"/>
    </row>
    <row r="482" spans="1:34" ht="15.75" x14ac:dyDescent="0.25">
      <c r="A482" s="185"/>
      <c r="B482" s="186"/>
      <c r="C482" s="184"/>
      <c r="D482" s="211" t="s">
        <v>748</v>
      </c>
      <c r="E482" s="212"/>
      <c r="F482" s="212"/>
      <c r="G482" s="212"/>
      <c r="H482" s="212"/>
      <c r="I482" s="213"/>
      <c r="J482" s="66"/>
      <c r="K482" s="214">
        <v>0.15</v>
      </c>
      <c r="L482" s="215"/>
      <c r="M482" s="214"/>
      <c r="N482" s="215"/>
      <c r="O482" s="214">
        <v>0.3</v>
      </c>
      <c r="P482" s="215"/>
      <c r="Q482" s="214"/>
      <c r="R482" s="215"/>
      <c r="S482" s="214">
        <v>4.9000000000000004</v>
      </c>
      <c r="T482" s="215"/>
      <c r="U482" s="214"/>
      <c r="V482" s="215"/>
      <c r="W482" s="208">
        <f t="shared" si="35"/>
        <v>4.4999999999999998E-2</v>
      </c>
      <c r="X482" s="209"/>
      <c r="Y482" s="210"/>
      <c r="Z482" s="180">
        <f t="shared" si="36"/>
        <v>0.2205</v>
      </c>
      <c r="AA482" s="181"/>
      <c r="AB482" s="182"/>
      <c r="AC482" s="54"/>
      <c r="AD482" s="55"/>
      <c r="AE482" s="56"/>
      <c r="AF482" s="54"/>
      <c r="AG482" s="55"/>
      <c r="AH482" s="57"/>
    </row>
    <row r="483" spans="1:34" ht="15.75" x14ac:dyDescent="0.25">
      <c r="A483" s="185"/>
      <c r="B483" s="186"/>
      <c r="C483" s="184"/>
      <c r="D483" s="211" t="s">
        <v>749</v>
      </c>
      <c r="E483" s="212"/>
      <c r="F483" s="212"/>
      <c r="G483" s="212"/>
      <c r="H483" s="212"/>
      <c r="I483" s="213"/>
      <c r="J483" s="66"/>
      <c r="K483" s="214">
        <v>0.15</v>
      </c>
      <c r="L483" s="215"/>
      <c r="M483" s="214"/>
      <c r="N483" s="215"/>
      <c r="O483" s="214">
        <v>0.3</v>
      </c>
      <c r="P483" s="215"/>
      <c r="Q483" s="214"/>
      <c r="R483" s="215"/>
      <c r="S483" s="214">
        <v>4.9000000000000004</v>
      </c>
      <c r="T483" s="215"/>
      <c r="U483" s="183"/>
      <c r="V483" s="184"/>
      <c r="W483" s="208">
        <f t="shared" si="35"/>
        <v>4.4999999999999998E-2</v>
      </c>
      <c r="X483" s="209"/>
      <c r="Y483" s="210"/>
      <c r="Z483" s="180">
        <f t="shared" si="36"/>
        <v>0.2205</v>
      </c>
      <c r="AA483" s="181"/>
      <c r="AB483" s="182"/>
      <c r="AC483" s="54"/>
      <c r="AD483" s="55"/>
      <c r="AE483" s="56"/>
      <c r="AF483" s="54"/>
      <c r="AG483" s="55"/>
      <c r="AH483" s="57"/>
    </row>
    <row r="484" spans="1:34" ht="15.75" x14ac:dyDescent="0.25">
      <c r="A484" s="185"/>
      <c r="B484" s="186"/>
      <c r="C484" s="184"/>
      <c r="D484" s="211" t="s">
        <v>750</v>
      </c>
      <c r="E484" s="212"/>
      <c r="F484" s="212"/>
      <c r="G484" s="212"/>
      <c r="H484" s="212"/>
      <c r="I484" s="213"/>
      <c r="J484" s="66"/>
      <c r="K484" s="214">
        <v>0.15</v>
      </c>
      <c r="L484" s="215"/>
      <c r="M484" s="214"/>
      <c r="N484" s="215"/>
      <c r="O484" s="214">
        <v>0.3</v>
      </c>
      <c r="P484" s="215"/>
      <c r="Q484" s="214"/>
      <c r="R484" s="215"/>
      <c r="S484" s="214">
        <v>4.9000000000000004</v>
      </c>
      <c r="T484" s="215"/>
      <c r="U484" s="214"/>
      <c r="V484" s="215"/>
      <c r="W484" s="208">
        <f t="shared" si="35"/>
        <v>4.4999999999999998E-2</v>
      </c>
      <c r="X484" s="209"/>
      <c r="Y484" s="210"/>
      <c r="Z484" s="180">
        <f t="shared" si="36"/>
        <v>0.2205</v>
      </c>
      <c r="AA484" s="181"/>
      <c r="AB484" s="182"/>
      <c r="AC484" s="54"/>
      <c r="AD484" s="55"/>
      <c r="AE484" s="56"/>
      <c r="AF484" s="54"/>
      <c r="AG484" s="55"/>
      <c r="AH484" s="57"/>
    </row>
    <row r="485" spans="1:34" ht="15.75" x14ac:dyDescent="0.25">
      <c r="A485" s="185"/>
      <c r="B485" s="186"/>
      <c r="C485" s="184"/>
      <c r="D485" s="211" t="s">
        <v>751</v>
      </c>
      <c r="E485" s="212"/>
      <c r="F485" s="212"/>
      <c r="G485" s="212"/>
      <c r="H485" s="212"/>
      <c r="I485" s="213"/>
      <c r="J485" s="66"/>
      <c r="K485" s="214">
        <v>0.15</v>
      </c>
      <c r="L485" s="215"/>
      <c r="M485" s="214"/>
      <c r="N485" s="215"/>
      <c r="O485" s="214">
        <v>0.3</v>
      </c>
      <c r="P485" s="215"/>
      <c r="Q485" s="214"/>
      <c r="R485" s="215"/>
      <c r="S485" s="214">
        <v>4.9000000000000004</v>
      </c>
      <c r="T485" s="215"/>
      <c r="U485" s="214"/>
      <c r="V485" s="215"/>
      <c r="W485" s="208">
        <f t="shared" si="35"/>
        <v>4.4999999999999998E-2</v>
      </c>
      <c r="X485" s="209"/>
      <c r="Y485" s="210"/>
      <c r="Z485" s="180">
        <f t="shared" si="36"/>
        <v>0.2205</v>
      </c>
      <c r="AA485" s="181"/>
      <c r="AB485" s="182"/>
      <c r="AC485" s="54"/>
      <c r="AD485" s="55"/>
      <c r="AE485" s="56"/>
      <c r="AF485" s="54"/>
      <c r="AG485" s="55"/>
      <c r="AH485" s="57"/>
    </row>
    <row r="486" spans="1:34" ht="15.75" x14ac:dyDescent="0.25">
      <c r="A486" s="185"/>
      <c r="B486" s="186"/>
      <c r="C486" s="184"/>
      <c r="D486" s="211" t="s">
        <v>752</v>
      </c>
      <c r="E486" s="212"/>
      <c r="F486" s="212"/>
      <c r="G486" s="212"/>
      <c r="H486" s="212"/>
      <c r="I486" s="213"/>
      <c r="J486" s="66"/>
      <c r="K486" s="214">
        <v>0.2</v>
      </c>
      <c r="L486" s="215"/>
      <c r="M486" s="214"/>
      <c r="N486" s="215"/>
      <c r="O486" s="214">
        <v>0.3</v>
      </c>
      <c r="P486" s="215"/>
      <c r="Q486" s="214"/>
      <c r="R486" s="215"/>
      <c r="S486" s="214">
        <v>4.9000000000000004</v>
      </c>
      <c r="T486" s="215"/>
      <c r="U486" s="214"/>
      <c r="V486" s="215"/>
      <c r="W486" s="208">
        <f t="shared" si="35"/>
        <v>0.06</v>
      </c>
      <c r="X486" s="209"/>
      <c r="Y486" s="210"/>
      <c r="Z486" s="180">
        <f t="shared" si="36"/>
        <v>0.29399999999999998</v>
      </c>
      <c r="AA486" s="181"/>
      <c r="AB486" s="182"/>
      <c r="AC486" s="54"/>
      <c r="AD486" s="55"/>
      <c r="AE486" s="56"/>
      <c r="AF486" s="54"/>
      <c r="AG486" s="55"/>
      <c r="AH486" s="57"/>
    </row>
    <row r="487" spans="1:34" ht="15.75" x14ac:dyDescent="0.25">
      <c r="A487" s="185"/>
      <c r="B487" s="186"/>
      <c r="C487" s="184"/>
      <c r="D487" s="211" t="s">
        <v>753</v>
      </c>
      <c r="E487" s="212"/>
      <c r="F487" s="212"/>
      <c r="G487" s="212"/>
      <c r="H487" s="212"/>
      <c r="I487" s="213"/>
      <c r="J487" s="66"/>
      <c r="K487" s="214">
        <v>0.2</v>
      </c>
      <c r="L487" s="215"/>
      <c r="M487" s="214"/>
      <c r="N487" s="215"/>
      <c r="O487" s="214">
        <v>0.3</v>
      </c>
      <c r="P487" s="215"/>
      <c r="Q487" s="214"/>
      <c r="R487" s="215"/>
      <c r="S487" s="214">
        <v>4.9000000000000004</v>
      </c>
      <c r="T487" s="215"/>
      <c r="U487" s="214"/>
      <c r="V487" s="215"/>
      <c r="W487" s="208">
        <f t="shared" si="35"/>
        <v>0.06</v>
      </c>
      <c r="X487" s="209"/>
      <c r="Y487" s="210"/>
      <c r="Z487" s="180">
        <f t="shared" si="36"/>
        <v>0.29399999999999998</v>
      </c>
      <c r="AA487" s="181"/>
      <c r="AB487" s="182"/>
      <c r="AC487" s="54"/>
      <c r="AD487" s="55"/>
      <c r="AE487" s="56"/>
      <c r="AF487" s="54"/>
      <c r="AG487" s="55"/>
      <c r="AH487" s="57"/>
    </row>
    <row r="488" spans="1:34" ht="15.75" x14ac:dyDescent="0.25">
      <c r="A488" s="185"/>
      <c r="B488" s="186"/>
      <c r="C488" s="184"/>
      <c r="D488" s="211" t="s">
        <v>754</v>
      </c>
      <c r="E488" s="212"/>
      <c r="F488" s="212"/>
      <c r="G488" s="212"/>
      <c r="H488" s="212"/>
      <c r="I488" s="213"/>
      <c r="J488" s="66"/>
      <c r="K488" s="214">
        <v>0.15</v>
      </c>
      <c r="L488" s="215"/>
      <c r="M488" s="214"/>
      <c r="N488" s="215"/>
      <c r="O488" s="214">
        <v>0.3</v>
      </c>
      <c r="P488" s="215"/>
      <c r="Q488" s="214"/>
      <c r="R488" s="215"/>
      <c r="S488" s="214">
        <v>4.9000000000000004</v>
      </c>
      <c r="T488" s="215"/>
      <c r="U488" s="214"/>
      <c r="V488" s="215"/>
      <c r="W488" s="208">
        <f t="shared" si="35"/>
        <v>4.4999999999999998E-2</v>
      </c>
      <c r="X488" s="209"/>
      <c r="Y488" s="210"/>
      <c r="Z488" s="180">
        <f t="shared" si="36"/>
        <v>0.2205</v>
      </c>
      <c r="AA488" s="181"/>
      <c r="AB488" s="182"/>
      <c r="AC488" s="54"/>
      <c r="AD488" s="55"/>
      <c r="AE488" s="56"/>
      <c r="AF488" s="54"/>
      <c r="AG488" s="55"/>
      <c r="AH488" s="57"/>
    </row>
    <row r="489" spans="1:34" ht="15.75" x14ac:dyDescent="0.25">
      <c r="A489" s="185"/>
      <c r="B489" s="186"/>
      <c r="C489" s="184"/>
      <c r="D489" s="211" t="s">
        <v>755</v>
      </c>
      <c r="E489" s="212"/>
      <c r="F489" s="212"/>
      <c r="G489" s="212"/>
      <c r="H489" s="212"/>
      <c r="I489" s="213"/>
      <c r="J489" s="66"/>
      <c r="K489" s="214">
        <v>0.15</v>
      </c>
      <c r="L489" s="215"/>
      <c r="M489" s="214"/>
      <c r="N489" s="215"/>
      <c r="O489" s="214">
        <v>0.3</v>
      </c>
      <c r="P489" s="215"/>
      <c r="Q489" s="214"/>
      <c r="R489" s="215"/>
      <c r="S489" s="214">
        <v>4.9000000000000004</v>
      </c>
      <c r="T489" s="215"/>
      <c r="U489" s="214"/>
      <c r="V489" s="215"/>
      <c r="W489" s="208">
        <f t="shared" si="35"/>
        <v>4.4999999999999998E-2</v>
      </c>
      <c r="X489" s="209"/>
      <c r="Y489" s="210"/>
      <c r="Z489" s="180">
        <f t="shared" si="36"/>
        <v>0.2205</v>
      </c>
      <c r="AA489" s="181"/>
      <c r="AB489" s="182"/>
      <c r="AC489" s="54"/>
      <c r="AD489" s="55"/>
      <c r="AE489" s="56"/>
      <c r="AF489" s="54"/>
      <c r="AG489" s="55"/>
      <c r="AH489" s="57"/>
    </row>
    <row r="490" spans="1:34" ht="15.75" x14ac:dyDescent="0.25">
      <c r="A490" s="185"/>
      <c r="B490" s="186"/>
      <c r="C490" s="184"/>
      <c r="D490" s="211" t="s">
        <v>756</v>
      </c>
      <c r="E490" s="212"/>
      <c r="F490" s="212"/>
      <c r="G490" s="212"/>
      <c r="H490" s="212"/>
      <c r="I490" s="213"/>
      <c r="J490" s="66"/>
      <c r="K490" s="214">
        <v>0.15</v>
      </c>
      <c r="L490" s="215"/>
      <c r="M490" s="214"/>
      <c r="N490" s="215"/>
      <c r="O490" s="214">
        <v>0.3</v>
      </c>
      <c r="P490" s="215"/>
      <c r="Q490" s="214"/>
      <c r="R490" s="215"/>
      <c r="S490" s="214">
        <v>4.9000000000000004</v>
      </c>
      <c r="T490" s="215"/>
      <c r="U490" s="214"/>
      <c r="V490" s="215"/>
      <c r="W490" s="208">
        <f t="shared" si="35"/>
        <v>4.4999999999999998E-2</v>
      </c>
      <c r="X490" s="209"/>
      <c r="Y490" s="210"/>
      <c r="Z490" s="180">
        <f t="shared" si="36"/>
        <v>0.2205</v>
      </c>
      <c r="AA490" s="181"/>
      <c r="AB490" s="182"/>
      <c r="AC490" s="54"/>
      <c r="AD490" s="55"/>
      <c r="AE490" s="56"/>
      <c r="AF490" s="54"/>
      <c r="AG490" s="55"/>
      <c r="AH490" s="57"/>
    </row>
    <row r="491" spans="1:34" ht="15.75" x14ac:dyDescent="0.25">
      <c r="A491" s="185"/>
      <c r="B491" s="186"/>
      <c r="C491" s="184"/>
      <c r="D491" s="211" t="s">
        <v>757</v>
      </c>
      <c r="E491" s="212"/>
      <c r="F491" s="212"/>
      <c r="G491" s="212"/>
      <c r="H491" s="212"/>
      <c r="I491" s="213"/>
      <c r="J491" s="66"/>
      <c r="K491" s="214">
        <v>0.15</v>
      </c>
      <c r="L491" s="215"/>
      <c r="M491" s="214"/>
      <c r="N491" s="215"/>
      <c r="O491" s="214">
        <v>0.3</v>
      </c>
      <c r="P491" s="215"/>
      <c r="Q491" s="214"/>
      <c r="R491" s="215"/>
      <c r="S491" s="214">
        <v>4.9000000000000004</v>
      </c>
      <c r="T491" s="215"/>
      <c r="U491" s="183"/>
      <c r="V491" s="184"/>
      <c r="W491" s="208">
        <f t="shared" si="35"/>
        <v>4.4999999999999998E-2</v>
      </c>
      <c r="X491" s="209"/>
      <c r="Y491" s="210"/>
      <c r="Z491" s="180">
        <f t="shared" si="36"/>
        <v>0.2205</v>
      </c>
      <c r="AA491" s="181"/>
      <c r="AB491" s="182"/>
      <c r="AC491" s="54"/>
      <c r="AD491" s="55"/>
      <c r="AE491" s="56"/>
      <c r="AF491" s="54"/>
      <c r="AG491" s="55"/>
      <c r="AH491" s="57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155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67" t="s">
        <v>611</v>
      </c>
      <c r="B1" s="168"/>
      <c r="C1" s="168"/>
      <c r="D1" s="168"/>
      <c r="E1" s="168"/>
      <c r="F1" s="168"/>
      <c r="G1" s="168"/>
      <c r="H1" s="168"/>
      <c r="I1" s="169"/>
      <c r="J1" s="173" t="s">
        <v>833</v>
      </c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5"/>
    </row>
    <row r="2" spans="1:35" x14ac:dyDescent="0.25">
      <c r="A2" s="167"/>
      <c r="B2" s="168"/>
      <c r="C2" s="168"/>
      <c r="D2" s="168"/>
      <c r="E2" s="168"/>
      <c r="F2" s="168"/>
      <c r="G2" s="168"/>
      <c r="H2" s="168"/>
      <c r="I2" s="169"/>
      <c r="J2" s="173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5"/>
    </row>
    <row r="3" spans="1:35" x14ac:dyDescent="0.25">
      <c r="A3" s="167"/>
      <c r="B3" s="168"/>
      <c r="C3" s="168"/>
      <c r="D3" s="168"/>
      <c r="E3" s="168"/>
      <c r="F3" s="168"/>
      <c r="G3" s="168"/>
      <c r="H3" s="168"/>
      <c r="I3" s="169"/>
      <c r="J3" s="173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5"/>
    </row>
    <row r="4" spans="1:35" x14ac:dyDescent="0.25">
      <c r="A4" s="167"/>
      <c r="B4" s="168"/>
      <c r="C4" s="168"/>
      <c r="D4" s="168"/>
      <c r="E4" s="168"/>
      <c r="F4" s="168"/>
      <c r="G4" s="168"/>
      <c r="H4" s="168"/>
      <c r="I4" s="169"/>
      <c r="J4" s="173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5"/>
    </row>
    <row r="5" spans="1:35" x14ac:dyDescent="0.25">
      <c r="A5" s="167"/>
      <c r="B5" s="168"/>
      <c r="C5" s="168"/>
      <c r="D5" s="168"/>
      <c r="E5" s="168"/>
      <c r="F5" s="168"/>
      <c r="G5" s="168"/>
      <c r="H5" s="168"/>
      <c r="I5" s="169"/>
      <c r="J5" s="177" t="s">
        <v>613</v>
      </c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9"/>
    </row>
    <row r="6" spans="1:35" x14ac:dyDescent="0.25">
      <c r="A6" s="167"/>
      <c r="B6" s="168"/>
      <c r="C6" s="168"/>
      <c r="D6" s="168"/>
      <c r="E6" s="168"/>
      <c r="F6" s="168"/>
      <c r="G6" s="168"/>
      <c r="H6" s="168"/>
      <c r="I6" s="169"/>
      <c r="J6" s="177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9"/>
    </row>
    <row r="7" spans="1:35" x14ac:dyDescent="0.25">
      <c r="A7" s="170"/>
      <c r="B7" s="171"/>
      <c r="C7" s="171"/>
      <c r="D7" s="171"/>
      <c r="E7" s="171"/>
      <c r="F7" s="171"/>
      <c r="G7" s="171"/>
      <c r="H7" s="171"/>
      <c r="I7" s="172"/>
      <c r="J7" s="177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9"/>
    </row>
    <row r="8" spans="1:35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5" x14ac:dyDescent="0.25">
      <c r="A9" s="204" t="s">
        <v>0</v>
      </c>
      <c r="B9" s="205"/>
      <c r="C9" s="205"/>
      <c r="D9" s="206" t="s">
        <v>2</v>
      </c>
      <c r="E9" s="206"/>
      <c r="F9" s="206"/>
      <c r="G9" s="206"/>
      <c r="H9" s="206"/>
      <c r="I9" s="206"/>
      <c r="J9" s="205" t="s">
        <v>625</v>
      </c>
      <c r="K9" s="197" t="s">
        <v>626</v>
      </c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 t="s">
        <v>627</v>
      </c>
      <c r="X9" s="197"/>
      <c r="Y9" s="197"/>
      <c r="Z9" s="197"/>
      <c r="AA9" s="197"/>
      <c r="AB9" s="197"/>
      <c r="AC9" s="197"/>
      <c r="AD9" s="197"/>
      <c r="AE9" s="197"/>
      <c r="AF9" s="205" t="s">
        <v>628</v>
      </c>
      <c r="AG9" s="205"/>
      <c r="AH9" s="207"/>
    </row>
    <row r="10" spans="1:35" x14ac:dyDescent="0.25">
      <c r="A10" s="204"/>
      <c r="B10" s="205"/>
      <c r="C10" s="205"/>
      <c r="D10" s="206"/>
      <c r="E10" s="206"/>
      <c r="F10" s="206"/>
      <c r="G10" s="206"/>
      <c r="H10" s="206"/>
      <c r="I10" s="206"/>
      <c r="J10" s="205"/>
      <c r="K10" s="197" t="s">
        <v>629</v>
      </c>
      <c r="L10" s="197"/>
      <c r="M10" s="197" t="s">
        <v>630</v>
      </c>
      <c r="N10" s="197"/>
      <c r="O10" s="197" t="s">
        <v>631</v>
      </c>
      <c r="P10" s="197"/>
      <c r="Q10" s="197" t="s">
        <v>632</v>
      </c>
      <c r="R10" s="197"/>
      <c r="S10" s="197" t="s">
        <v>633</v>
      </c>
      <c r="T10" s="197"/>
      <c r="U10" s="197" t="s">
        <v>634</v>
      </c>
      <c r="V10" s="197"/>
      <c r="W10" s="197" t="s">
        <v>635</v>
      </c>
      <c r="X10" s="197"/>
      <c r="Y10" s="197"/>
      <c r="Z10" s="197" t="s">
        <v>617</v>
      </c>
      <c r="AA10" s="197"/>
      <c r="AB10" s="197"/>
      <c r="AC10" s="197" t="s">
        <v>636</v>
      </c>
      <c r="AD10" s="197"/>
      <c r="AE10" s="197"/>
      <c r="AF10" s="205"/>
      <c r="AG10" s="205"/>
      <c r="AH10" s="207"/>
    </row>
    <row r="11" spans="1:35" x14ac:dyDescent="0.25">
      <c r="A11" s="204"/>
      <c r="B11" s="205"/>
      <c r="C11" s="205"/>
      <c r="D11" s="206"/>
      <c r="E11" s="206"/>
      <c r="F11" s="206"/>
      <c r="G11" s="206"/>
      <c r="H11" s="206"/>
      <c r="I11" s="206"/>
      <c r="J11" s="205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205"/>
      <c r="AG11" s="205"/>
      <c r="AH11" s="207"/>
    </row>
    <row r="12" spans="1:35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5" ht="15.75" x14ac:dyDescent="0.25">
      <c r="A13" s="198" t="str">
        <f>'MEMORIA BM 08'!A37</f>
        <v>5</v>
      </c>
      <c r="B13" s="199"/>
      <c r="C13" s="200"/>
      <c r="D13" s="201">
        <f>'MEMORIA BM 08'!B37:E37</f>
        <v>0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3"/>
    </row>
    <row r="14" spans="1:35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5" ht="15.75" x14ac:dyDescent="0.25">
      <c r="A15" s="189" t="str">
        <f>'MEMORIA BM 08'!A38</f>
        <v>5.1</v>
      </c>
      <c r="B15" s="190"/>
      <c r="C15" s="191"/>
      <c r="D15" s="192" t="str">
        <f>'MEMORIA BM 08'!B38</f>
        <v>Forma plana para estruturas, em compensado plastificado de 12mm, 07 usos, inclusive escoramento - Revisada 07.2015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SUM(Z16:AB41)</f>
        <v>360.35399999999993</v>
      </c>
      <c r="AD15" s="190"/>
      <c r="AE15" s="191"/>
      <c r="AF15" s="195" t="str">
        <f>'MEMORIA BM 08'!C38</f>
        <v>m2</v>
      </c>
      <c r="AG15" s="190"/>
      <c r="AH15" s="196"/>
      <c r="AI15">
        <v>360.35</v>
      </c>
    </row>
    <row r="16" spans="1:35" ht="15.75" x14ac:dyDescent="0.25">
      <c r="A16" s="185"/>
      <c r="B16" s="186"/>
      <c r="C16" s="184"/>
      <c r="D16" s="216" t="s">
        <v>758</v>
      </c>
      <c r="E16" s="217"/>
      <c r="F16" s="217"/>
      <c r="G16" s="217"/>
      <c r="H16" s="217"/>
      <c r="I16" s="217"/>
      <c r="J16" s="66"/>
      <c r="K16" s="183">
        <v>0.15</v>
      </c>
      <c r="L16" s="184"/>
      <c r="M16" s="183"/>
      <c r="N16" s="184"/>
      <c r="O16" s="183">
        <v>0.3</v>
      </c>
      <c r="P16" s="184"/>
      <c r="Q16" s="183"/>
      <c r="R16" s="184"/>
      <c r="S16" s="183">
        <f>11.89+11.86</f>
        <v>23.75</v>
      </c>
      <c r="T16" s="184"/>
      <c r="U16" s="183"/>
      <c r="V16" s="184"/>
      <c r="W16" s="180">
        <f>K16*O16</f>
        <v>4.4999999999999998E-2</v>
      </c>
      <c r="X16" s="181"/>
      <c r="Y16" s="182"/>
      <c r="Z16" s="180">
        <f>((K16*S16)+(O16*S16*2))</f>
        <v>17.8125</v>
      </c>
      <c r="AA16" s="181"/>
      <c r="AB16" s="182"/>
      <c r="AC16" s="54"/>
      <c r="AD16" s="55"/>
      <c r="AE16" s="56"/>
      <c r="AF16" s="54"/>
      <c r="AG16" s="55"/>
      <c r="AH16" s="57"/>
    </row>
    <row r="17" spans="1:34" ht="15.75" x14ac:dyDescent="0.25">
      <c r="A17" s="75"/>
      <c r="B17" s="76"/>
      <c r="C17" s="74"/>
      <c r="D17" s="216" t="s">
        <v>759</v>
      </c>
      <c r="E17" s="217"/>
      <c r="F17" s="217"/>
      <c r="G17" s="217"/>
      <c r="H17" s="217"/>
      <c r="I17" s="217"/>
      <c r="J17" s="66"/>
      <c r="K17" s="183">
        <v>0.15</v>
      </c>
      <c r="L17" s="184"/>
      <c r="M17" s="183"/>
      <c r="N17" s="184"/>
      <c r="O17" s="183">
        <v>0.3</v>
      </c>
      <c r="P17" s="184"/>
      <c r="Q17" s="183"/>
      <c r="R17" s="184"/>
      <c r="S17" s="183">
        <v>3.39</v>
      </c>
      <c r="T17" s="184"/>
      <c r="U17" s="183"/>
      <c r="V17" s="184"/>
      <c r="W17" s="180">
        <f t="shared" ref="W17:W41" si="0">K17*O17</f>
        <v>4.4999999999999998E-2</v>
      </c>
      <c r="X17" s="181"/>
      <c r="Y17" s="182"/>
      <c r="Z17" s="180">
        <f t="shared" ref="Z17:Z41" si="1">((K17*S17)+(O17*S17*2))</f>
        <v>2.5424999999999995</v>
      </c>
      <c r="AA17" s="181"/>
      <c r="AB17" s="182"/>
      <c r="AC17" s="54"/>
      <c r="AD17" s="55"/>
      <c r="AE17" s="56"/>
      <c r="AF17" s="54"/>
      <c r="AG17" s="55"/>
      <c r="AH17" s="57"/>
    </row>
    <row r="18" spans="1:34" ht="15.75" x14ac:dyDescent="0.25">
      <c r="A18" s="75"/>
      <c r="B18" s="76"/>
      <c r="C18" s="74"/>
      <c r="D18" s="216" t="s">
        <v>760</v>
      </c>
      <c r="E18" s="217"/>
      <c r="F18" s="217"/>
      <c r="G18" s="217"/>
      <c r="H18" s="217"/>
      <c r="I18" s="217"/>
      <c r="J18" s="66"/>
      <c r="K18" s="183">
        <v>0.15</v>
      </c>
      <c r="L18" s="184"/>
      <c r="M18" s="183"/>
      <c r="N18" s="184"/>
      <c r="O18" s="183">
        <v>0.3</v>
      </c>
      <c r="P18" s="184"/>
      <c r="Q18" s="183"/>
      <c r="R18" s="184"/>
      <c r="S18" s="183">
        <v>3.39</v>
      </c>
      <c r="T18" s="184"/>
      <c r="U18" s="183"/>
      <c r="V18" s="184"/>
      <c r="W18" s="180">
        <f t="shared" si="0"/>
        <v>4.4999999999999998E-2</v>
      </c>
      <c r="X18" s="181"/>
      <c r="Y18" s="182"/>
      <c r="Z18" s="180">
        <f t="shared" si="1"/>
        <v>2.5424999999999995</v>
      </c>
      <c r="AA18" s="181"/>
      <c r="AB18" s="182"/>
      <c r="AC18" s="54"/>
      <c r="AD18" s="55"/>
      <c r="AE18" s="56"/>
      <c r="AF18" s="54"/>
      <c r="AG18" s="55"/>
      <c r="AH18" s="57"/>
    </row>
    <row r="19" spans="1:34" ht="15.75" x14ac:dyDescent="0.25">
      <c r="A19" s="75"/>
      <c r="B19" s="76"/>
      <c r="C19" s="74"/>
      <c r="D19" s="216" t="s">
        <v>761</v>
      </c>
      <c r="E19" s="217"/>
      <c r="F19" s="217"/>
      <c r="G19" s="217"/>
      <c r="H19" s="217"/>
      <c r="I19" s="217"/>
      <c r="J19" s="67"/>
      <c r="K19" s="183">
        <v>0.15</v>
      </c>
      <c r="L19" s="184"/>
      <c r="M19" s="183"/>
      <c r="N19" s="184"/>
      <c r="O19" s="183">
        <v>0.3</v>
      </c>
      <c r="P19" s="184"/>
      <c r="Q19" s="183"/>
      <c r="R19" s="184"/>
      <c r="S19" s="183">
        <v>3.26</v>
      </c>
      <c r="T19" s="184"/>
      <c r="U19" s="183"/>
      <c r="V19" s="184"/>
      <c r="W19" s="180">
        <f t="shared" si="0"/>
        <v>4.4999999999999998E-2</v>
      </c>
      <c r="X19" s="181"/>
      <c r="Y19" s="182"/>
      <c r="Z19" s="180">
        <f t="shared" si="1"/>
        <v>2.4449999999999998</v>
      </c>
      <c r="AA19" s="181"/>
      <c r="AB19" s="182"/>
      <c r="AC19" s="54"/>
      <c r="AD19" s="55"/>
      <c r="AE19" s="56"/>
      <c r="AF19" s="54"/>
      <c r="AG19" s="55"/>
      <c r="AH19" s="57"/>
    </row>
    <row r="20" spans="1:34" ht="15.75" x14ac:dyDescent="0.25">
      <c r="A20" s="75"/>
      <c r="B20" s="76"/>
      <c r="C20" s="74"/>
      <c r="D20" s="216" t="s">
        <v>762</v>
      </c>
      <c r="E20" s="217"/>
      <c r="F20" s="217"/>
      <c r="G20" s="217"/>
      <c r="H20" s="217"/>
      <c r="I20" s="217"/>
      <c r="J20" s="66"/>
      <c r="K20" s="183">
        <v>0.15</v>
      </c>
      <c r="L20" s="184"/>
      <c r="M20" s="183"/>
      <c r="N20" s="184"/>
      <c r="O20" s="183">
        <v>0.3</v>
      </c>
      <c r="P20" s="184"/>
      <c r="Q20" s="183"/>
      <c r="R20" s="184"/>
      <c r="S20" s="183">
        <v>6.4</v>
      </c>
      <c r="T20" s="184"/>
      <c r="U20" s="183"/>
      <c r="V20" s="184"/>
      <c r="W20" s="180">
        <f t="shared" si="0"/>
        <v>4.4999999999999998E-2</v>
      </c>
      <c r="X20" s="181"/>
      <c r="Y20" s="182"/>
      <c r="Z20" s="180">
        <f t="shared" si="1"/>
        <v>4.8</v>
      </c>
      <c r="AA20" s="181"/>
      <c r="AB20" s="182"/>
      <c r="AC20" s="54"/>
      <c r="AD20" s="55"/>
      <c r="AE20" s="56"/>
      <c r="AF20" s="54"/>
      <c r="AG20" s="55"/>
      <c r="AH20" s="57"/>
    </row>
    <row r="21" spans="1:34" ht="15.75" x14ac:dyDescent="0.25">
      <c r="A21" s="75"/>
      <c r="B21" s="76"/>
      <c r="C21" s="74"/>
      <c r="D21" s="216" t="s">
        <v>763</v>
      </c>
      <c r="E21" s="217"/>
      <c r="F21" s="217"/>
      <c r="G21" s="217"/>
      <c r="H21" s="217"/>
      <c r="I21" s="217"/>
      <c r="J21" s="66"/>
      <c r="K21" s="183">
        <v>0.15</v>
      </c>
      <c r="L21" s="184"/>
      <c r="M21" s="183"/>
      <c r="N21" s="184"/>
      <c r="O21" s="183">
        <v>0.3</v>
      </c>
      <c r="P21" s="184"/>
      <c r="Q21" s="183"/>
      <c r="R21" s="184"/>
      <c r="S21" s="183">
        <v>2.04</v>
      </c>
      <c r="T21" s="184"/>
      <c r="U21" s="183"/>
      <c r="V21" s="184"/>
      <c r="W21" s="180">
        <f t="shared" si="0"/>
        <v>4.4999999999999998E-2</v>
      </c>
      <c r="X21" s="181"/>
      <c r="Y21" s="182"/>
      <c r="Z21" s="180">
        <f t="shared" si="1"/>
        <v>1.53</v>
      </c>
      <c r="AA21" s="181"/>
      <c r="AB21" s="182"/>
      <c r="AC21" s="54"/>
      <c r="AD21" s="55"/>
      <c r="AE21" s="56"/>
      <c r="AF21" s="54"/>
      <c r="AG21" s="55"/>
      <c r="AH21" s="57"/>
    </row>
    <row r="22" spans="1:34" ht="15.75" x14ac:dyDescent="0.25">
      <c r="A22" s="75"/>
      <c r="B22" s="76"/>
      <c r="C22" s="74"/>
      <c r="D22" s="216" t="s">
        <v>764</v>
      </c>
      <c r="E22" s="217"/>
      <c r="F22" s="217"/>
      <c r="G22" s="217"/>
      <c r="H22" s="217"/>
      <c r="I22" s="217"/>
      <c r="J22" s="66"/>
      <c r="K22" s="183">
        <v>0.15</v>
      </c>
      <c r="L22" s="184"/>
      <c r="M22" s="183"/>
      <c r="N22" s="184"/>
      <c r="O22" s="183">
        <v>0.3</v>
      </c>
      <c r="P22" s="184"/>
      <c r="Q22" s="183"/>
      <c r="R22" s="184"/>
      <c r="S22" s="183">
        <f>11.89+12+12+3.74</f>
        <v>39.630000000000003</v>
      </c>
      <c r="T22" s="184"/>
      <c r="U22" s="183"/>
      <c r="V22" s="184"/>
      <c r="W22" s="180">
        <f t="shared" si="0"/>
        <v>4.4999999999999998E-2</v>
      </c>
      <c r="X22" s="181"/>
      <c r="Y22" s="182"/>
      <c r="Z22" s="180">
        <f t="shared" si="1"/>
        <v>29.722500000000004</v>
      </c>
      <c r="AA22" s="181"/>
      <c r="AB22" s="182"/>
      <c r="AC22" s="54"/>
      <c r="AD22" s="55"/>
      <c r="AE22" s="56"/>
      <c r="AF22" s="54"/>
      <c r="AG22" s="55"/>
      <c r="AH22" s="57"/>
    </row>
    <row r="23" spans="1:34" ht="15.75" x14ac:dyDescent="0.25">
      <c r="A23" s="75"/>
      <c r="B23" s="76"/>
      <c r="C23" s="74"/>
      <c r="D23" s="216" t="s">
        <v>765</v>
      </c>
      <c r="E23" s="217"/>
      <c r="F23" s="217"/>
      <c r="G23" s="217"/>
      <c r="H23" s="217"/>
      <c r="I23" s="217"/>
      <c r="J23" s="66"/>
      <c r="K23" s="183">
        <v>0.15</v>
      </c>
      <c r="L23" s="184"/>
      <c r="M23" s="183"/>
      <c r="N23" s="184"/>
      <c r="O23" s="183">
        <v>0.3</v>
      </c>
      <c r="P23" s="184"/>
      <c r="Q23" s="183"/>
      <c r="R23" s="184"/>
      <c r="S23" s="183">
        <v>6.4</v>
      </c>
      <c r="T23" s="184"/>
      <c r="U23" s="183"/>
      <c r="V23" s="184"/>
      <c r="W23" s="180">
        <f t="shared" si="0"/>
        <v>4.4999999999999998E-2</v>
      </c>
      <c r="X23" s="181"/>
      <c r="Y23" s="182"/>
      <c r="Z23" s="180">
        <f t="shared" si="1"/>
        <v>4.8</v>
      </c>
      <c r="AA23" s="181"/>
      <c r="AB23" s="182"/>
      <c r="AC23" s="54"/>
      <c r="AD23" s="55"/>
      <c r="AE23" s="56"/>
      <c r="AF23" s="54"/>
      <c r="AG23" s="55"/>
      <c r="AH23" s="57"/>
    </row>
    <row r="24" spans="1:34" ht="15.75" x14ac:dyDescent="0.25">
      <c r="A24" s="185"/>
      <c r="B24" s="186"/>
      <c r="C24" s="184"/>
      <c r="D24" s="216" t="s">
        <v>766</v>
      </c>
      <c r="E24" s="217"/>
      <c r="F24" s="217"/>
      <c r="G24" s="217"/>
      <c r="H24" s="217"/>
      <c r="I24" s="217"/>
      <c r="J24" s="66"/>
      <c r="K24" s="183">
        <v>0.15</v>
      </c>
      <c r="L24" s="184"/>
      <c r="M24" s="183"/>
      <c r="N24" s="184"/>
      <c r="O24" s="183">
        <v>0.3</v>
      </c>
      <c r="P24" s="184"/>
      <c r="Q24" s="183"/>
      <c r="R24" s="184"/>
      <c r="S24" s="183">
        <v>1.7</v>
      </c>
      <c r="T24" s="184"/>
      <c r="U24" s="183"/>
      <c r="V24" s="184"/>
      <c r="W24" s="180">
        <f t="shared" si="0"/>
        <v>4.4999999999999998E-2</v>
      </c>
      <c r="X24" s="181"/>
      <c r="Y24" s="182"/>
      <c r="Z24" s="180">
        <f t="shared" si="1"/>
        <v>1.2749999999999999</v>
      </c>
      <c r="AA24" s="181"/>
      <c r="AB24" s="182"/>
      <c r="AC24" s="54"/>
      <c r="AD24" s="55"/>
      <c r="AE24" s="56"/>
      <c r="AF24" s="54"/>
      <c r="AG24" s="55"/>
      <c r="AH24" s="57"/>
    </row>
    <row r="25" spans="1:34" ht="15.75" x14ac:dyDescent="0.25">
      <c r="A25" s="185"/>
      <c r="B25" s="186"/>
      <c r="C25" s="184"/>
      <c r="D25" s="216" t="s">
        <v>767</v>
      </c>
      <c r="E25" s="217"/>
      <c r="F25" s="217"/>
      <c r="G25" s="217"/>
      <c r="H25" s="217"/>
      <c r="I25" s="217"/>
      <c r="J25" s="66"/>
      <c r="K25" s="183">
        <v>0.15</v>
      </c>
      <c r="L25" s="184"/>
      <c r="M25" s="183"/>
      <c r="N25" s="184"/>
      <c r="O25" s="183">
        <v>0.4</v>
      </c>
      <c r="P25" s="184"/>
      <c r="Q25" s="183"/>
      <c r="R25" s="184"/>
      <c r="S25" s="183">
        <f>11.81+8.84+12+6.85</f>
        <v>39.5</v>
      </c>
      <c r="T25" s="184"/>
      <c r="U25" s="183"/>
      <c r="V25" s="184"/>
      <c r="W25" s="180">
        <f t="shared" si="0"/>
        <v>0.06</v>
      </c>
      <c r="X25" s="181"/>
      <c r="Y25" s="182"/>
      <c r="Z25" s="180">
        <f t="shared" si="1"/>
        <v>37.524999999999999</v>
      </c>
      <c r="AA25" s="181"/>
      <c r="AB25" s="182"/>
      <c r="AC25" s="54"/>
      <c r="AD25" s="55"/>
      <c r="AE25" s="56"/>
      <c r="AF25" s="54"/>
      <c r="AG25" s="55"/>
      <c r="AH25" s="57"/>
    </row>
    <row r="26" spans="1:34" ht="15.75" x14ac:dyDescent="0.25">
      <c r="A26" s="185"/>
      <c r="B26" s="186"/>
      <c r="C26" s="184"/>
      <c r="D26" s="216" t="s">
        <v>768</v>
      </c>
      <c r="E26" s="217"/>
      <c r="F26" s="217"/>
      <c r="G26" s="217"/>
      <c r="H26" s="217"/>
      <c r="I26" s="217"/>
      <c r="J26" s="66"/>
      <c r="K26" s="183">
        <v>0.15</v>
      </c>
      <c r="L26" s="184"/>
      <c r="M26" s="183"/>
      <c r="N26" s="184"/>
      <c r="O26" s="183">
        <v>0.3</v>
      </c>
      <c r="P26" s="184"/>
      <c r="Q26" s="183"/>
      <c r="R26" s="184"/>
      <c r="S26" s="183">
        <v>4.24</v>
      </c>
      <c r="T26" s="184"/>
      <c r="U26" s="183"/>
      <c r="V26" s="184"/>
      <c r="W26" s="180">
        <f t="shared" si="0"/>
        <v>4.4999999999999998E-2</v>
      </c>
      <c r="X26" s="181"/>
      <c r="Y26" s="182"/>
      <c r="Z26" s="180">
        <f t="shared" si="1"/>
        <v>3.18</v>
      </c>
      <c r="AA26" s="181"/>
      <c r="AB26" s="182"/>
      <c r="AC26" s="54"/>
      <c r="AD26" s="55"/>
      <c r="AE26" s="56"/>
      <c r="AF26" s="54"/>
      <c r="AG26" s="55"/>
      <c r="AH26" s="57"/>
    </row>
    <row r="27" spans="1:34" ht="15.75" x14ac:dyDescent="0.25">
      <c r="A27" s="185"/>
      <c r="B27" s="186"/>
      <c r="C27" s="184"/>
      <c r="D27" s="216" t="s">
        <v>769</v>
      </c>
      <c r="E27" s="217"/>
      <c r="F27" s="217"/>
      <c r="G27" s="217"/>
      <c r="H27" s="217"/>
      <c r="I27" s="217"/>
      <c r="J27" s="66"/>
      <c r="K27" s="183">
        <v>0.15</v>
      </c>
      <c r="L27" s="184"/>
      <c r="M27" s="183"/>
      <c r="N27" s="184"/>
      <c r="O27" s="183">
        <v>0.3</v>
      </c>
      <c r="P27" s="184"/>
      <c r="Q27" s="183"/>
      <c r="R27" s="184"/>
      <c r="S27" s="183">
        <v>5.64</v>
      </c>
      <c r="T27" s="184"/>
      <c r="U27" s="183"/>
      <c r="V27" s="184"/>
      <c r="W27" s="180">
        <f t="shared" si="0"/>
        <v>4.4999999999999998E-2</v>
      </c>
      <c r="X27" s="181"/>
      <c r="Y27" s="182"/>
      <c r="Z27" s="180">
        <f t="shared" si="1"/>
        <v>4.2299999999999995</v>
      </c>
      <c r="AA27" s="181"/>
      <c r="AB27" s="182"/>
      <c r="AC27" s="54"/>
      <c r="AD27" s="55"/>
      <c r="AE27" s="56"/>
      <c r="AF27" s="54"/>
      <c r="AG27" s="55"/>
      <c r="AH27" s="57"/>
    </row>
    <row r="28" spans="1:34" ht="15.75" x14ac:dyDescent="0.25">
      <c r="A28" s="185"/>
      <c r="B28" s="186"/>
      <c r="C28" s="184"/>
      <c r="D28" s="216" t="s">
        <v>770</v>
      </c>
      <c r="E28" s="217"/>
      <c r="F28" s="217"/>
      <c r="G28" s="217"/>
      <c r="H28" s="217"/>
      <c r="I28" s="217"/>
      <c r="J28" s="66"/>
      <c r="K28" s="183">
        <v>0.15</v>
      </c>
      <c r="L28" s="184"/>
      <c r="M28" s="183"/>
      <c r="N28" s="184"/>
      <c r="O28" s="183">
        <v>0.4</v>
      </c>
      <c r="P28" s="184"/>
      <c r="Q28" s="183"/>
      <c r="R28" s="184"/>
      <c r="S28" s="183">
        <f>11.81+9.24+12+6.41</f>
        <v>39.459999999999994</v>
      </c>
      <c r="T28" s="184"/>
      <c r="U28" s="183"/>
      <c r="V28" s="184"/>
      <c r="W28" s="180">
        <f t="shared" si="0"/>
        <v>0.06</v>
      </c>
      <c r="X28" s="181"/>
      <c r="Y28" s="182"/>
      <c r="Z28" s="180">
        <f t="shared" si="1"/>
        <v>37.486999999999995</v>
      </c>
      <c r="AA28" s="181"/>
      <c r="AB28" s="182"/>
      <c r="AC28" s="54"/>
      <c r="AD28" s="55"/>
      <c r="AE28" s="56"/>
      <c r="AF28" s="54"/>
      <c r="AG28" s="55"/>
      <c r="AH28" s="57"/>
    </row>
    <row r="29" spans="1:34" ht="15.75" x14ac:dyDescent="0.25">
      <c r="A29" s="185"/>
      <c r="B29" s="186"/>
      <c r="C29" s="184"/>
      <c r="D29" s="211" t="s">
        <v>771</v>
      </c>
      <c r="E29" s="212"/>
      <c r="F29" s="212"/>
      <c r="G29" s="212"/>
      <c r="H29" s="212"/>
      <c r="I29" s="213"/>
      <c r="J29" s="66"/>
      <c r="K29" s="183">
        <v>0.15</v>
      </c>
      <c r="L29" s="184"/>
      <c r="M29" s="183"/>
      <c r="N29" s="184"/>
      <c r="O29" s="183">
        <v>0.4</v>
      </c>
      <c r="P29" s="184"/>
      <c r="Q29" s="183"/>
      <c r="R29" s="184"/>
      <c r="S29" s="183">
        <f>10.61</f>
        <v>10.61</v>
      </c>
      <c r="T29" s="184"/>
      <c r="U29" s="183"/>
      <c r="V29" s="184"/>
      <c r="W29" s="180">
        <f t="shared" si="0"/>
        <v>0.06</v>
      </c>
      <c r="X29" s="181"/>
      <c r="Y29" s="182"/>
      <c r="Z29" s="180">
        <f t="shared" si="1"/>
        <v>10.079499999999999</v>
      </c>
      <c r="AA29" s="181"/>
      <c r="AB29" s="182"/>
      <c r="AC29" s="54"/>
      <c r="AD29" s="55"/>
      <c r="AE29" s="56"/>
      <c r="AF29" s="54"/>
      <c r="AG29" s="55"/>
      <c r="AH29" s="57"/>
    </row>
    <row r="30" spans="1:34" ht="15.75" x14ac:dyDescent="0.25">
      <c r="A30" s="185"/>
      <c r="B30" s="186"/>
      <c r="C30" s="184"/>
      <c r="D30" s="211" t="s">
        <v>772</v>
      </c>
      <c r="E30" s="212"/>
      <c r="F30" s="212"/>
      <c r="G30" s="212"/>
      <c r="H30" s="212"/>
      <c r="I30" s="213"/>
      <c r="J30" s="66"/>
      <c r="K30" s="183">
        <v>0.15</v>
      </c>
      <c r="L30" s="184"/>
      <c r="M30" s="183"/>
      <c r="N30" s="184"/>
      <c r="O30" s="183">
        <v>0.3</v>
      </c>
      <c r="P30" s="184"/>
      <c r="Q30" s="183"/>
      <c r="R30" s="184"/>
      <c r="S30" s="183">
        <f>11.89+12+12+3.96</f>
        <v>39.85</v>
      </c>
      <c r="T30" s="184"/>
      <c r="U30" s="183"/>
      <c r="V30" s="184"/>
      <c r="W30" s="180">
        <f t="shared" si="0"/>
        <v>4.4999999999999998E-2</v>
      </c>
      <c r="X30" s="181"/>
      <c r="Y30" s="182"/>
      <c r="Z30" s="180">
        <f t="shared" si="1"/>
        <v>29.887499999999999</v>
      </c>
      <c r="AA30" s="181"/>
      <c r="AB30" s="182"/>
      <c r="AC30" s="54"/>
      <c r="AD30" s="55"/>
      <c r="AE30" s="56"/>
      <c r="AF30" s="54"/>
      <c r="AG30" s="55"/>
      <c r="AH30" s="57"/>
    </row>
    <row r="31" spans="1:34" ht="15.75" x14ac:dyDescent="0.25">
      <c r="A31" s="185"/>
      <c r="B31" s="186"/>
      <c r="C31" s="184"/>
      <c r="D31" s="211" t="s">
        <v>773</v>
      </c>
      <c r="E31" s="212"/>
      <c r="F31" s="212"/>
      <c r="G31" s="212"/>
      <c r="H31" s="212"/>
      <c r="I31" s="213"/>
      <c r="J31" s="66"/>
      <c r="K31" s="183">
        <v>0.15</v>
      </c>
      <c r="L31" s="184"/>
      <c r="M31" s="183"/>
      <c r="N31" s="184"/>
      <c r="O31" s="183">
        <v>0.3</v>
      </c>
      <c r="P31" s="184"/>
      <c r="Q31" s="183"/>
      <c r="R31" s="184"/>
      <c r="S31" s="183">
        <v>10.62</v>
      </c>
      <c r="T31" s="184"/>
      <c r="U31" s="183"/>
      <c r="V31" s="184"/>
      <c r="W31" s="180">
        <f t="shared" si="0"/>
        <v>4.4999999999999998E-2</v>
      </c>
      <c r="X31" s="181"/>
      <c r="Y31" s="182"/>
      <c r="Z31" s="180">
        <f t="shared" si="1"/>
        <v>7.964999999999999</v>
      </c>
      <c r="AA31" s="181"/>
      <c r="AB31" s="182"/>
      <c r="AC31" s="54"/>
      <c r="AD31" s="55"/>
      <c r="AE31" s="56"/>
      <c r="AF31" s="54"/>
      <c r="AG31" s="55"/>
      <c r="AH31" s="57"/>
    </row>
    <row r="32" spans="1:34" ht="15.75" x14ac:dyDescent="0.25">
      <c r="A32" s="185"/>
      <c r="B32" s="186"/>
      <c r="C32" s="184"/>
      <c r="D32" s="211" t="s">
        <v>774</v>
      </c>
      <c r="E32" s="212"/>
      <c r="F32" s="212"/>
      <c r="G32" s="212"/>
      <c r="H32" s="212"/>
      <c r="I32" s="213"/>
      <c r="J32" s="66"/>
      <c r="K32" s="183">
        <v>0.15</v>
      </c>
      <c r="L32" s="184"/>
      <c r="M32" s="183"/>
      <c r="N32" s="184"/>
      <c r="O32" s="183">
        <v>0.3</v>
      </c>
      <c r="P32" s="184"/>
      <c r="Q32" s="183"/>
      <c r="R32" s="184"/>
      <c r="S32" s="183">
        <f>12+7.43</f>
        <v>19.43</v>
      </c>
      <c r="T32" s="184"/>
      <c r="U32" s="183"/>
      <c r="V32" s="184"/>
      <c r="W32" s="180">
        <f t="shared" si="0"/>
        <v>4.4999999999999998E-2</v>
      </c>
      <c r="X32" s="181"/>
      <c r="Y32" s="182"/>
      <c r="Z32" s="180">
        <f t="shared" si="1"/>
        <v>14.5725</v>
      </c>
      <c r="AA32" s="181"/>
      <c r="AB32" s="182"/>
      <c r="AC32" s="54"/>
      <c r="AD32" s="55"/>
      <c r="AE32" s="56"/>
      <c r="AF32" s="54"/>
      <c r="AG32" s="55"/>
      <c r="AH32" s="57"/>
    </row>
    <row r="33" spans="1:35" ht="15.75" x14ac:dyDescent="0.25">
      <c r="A33" s="185"/>
      <c r="B33" s="186"/>
      <c r="C33" s="184"/>
      <c r="D33" s="211" t="s">
        <v>775</v>
      </c>
      <c r="E33" s="212"/>
      <c r="F33" s="212"/>
      <c r="G33" s="212"/>
      <c r="H33" s="212"/>
      <c r="I33" s="213"/>
      <c r="J33" s="66"/>
      <c r="K33" s="183">
        <v>0.15</v>
      </c>
      <c r="L33" s="184"/>
      <c r="M33" s="183"/>
      <c r="N33" s="184"/>
      <c r="O33" s="183">
        <v>0.3</v>
      </c>
      <c r="P33" s="184"/>
      <c r="Q33" s="183"/>
      <c r="R33" s="184"/>
      <c r="S33" s="183">
        <f>12+12+8.05</f>
        <v>32.049999999999997</v>
      </c>
      <c r="T33" s="184"/>
      <c r="U33" s="183"/>
      <c r="V33" s="184"/>
      <c r="W33" s="180">
        <f t="shared" si="0"/>
        <v>4.4999999999999998E-2</v>
      </c>
      <c r="X33" s="181"/>
      <c r="Y33" s="182"/>
      <c r="Z33" s="180">
        <f t="shared" si="1"/>
        <v>24.037499999999994</v>
      </c>
      <c r="AA33" s="181"/>
      <c r="AB33" s="182"/>
      <c r="AC33" s="54"/>
      <c r="AD33" s="55"/>
      <c r="AE33" s="56"/>
      <c r="AF33" s="54"/>
      <c r="AG33" s="55"/>
      <c r="AH33" s="57"/>
    </row>
    <row r="34" spans="1:35" ht="15.75" x14ac:dyDescent="0.25">
      <c r="A34" s="185"/>
      <c r="B34" s="186"/>
      <c r="C34" s="184"/>
      <c r="D34" s="211" t="s">
        <v>776</v>
      </c>
      <c r="E34" s="212"/>
      <c r="F34" s="212"/>
      <c r="G34" s="212"/>
      <c r="H34" s="212"/>
      <c r="I34" s="213"/>
      <c r="J34" s="66"/>
      <c r="K34" s="183">
        <v>0.15</v>
      </c>
      <c r="L34" s="184"/>
      <c r="M34" s="183"/>
      <c r="N34" s="184"/>
      <c r="O34" s="183">
        <v>0.3</v>
      </c>
      <c r="P34" s="184"/>
      <c r="Q34" s="183"/>
      <c r="R34" s="184"/>
      <c r="S34" s="183">
        <f>12+7.24</f>
        <v>19.240000000000002</v>
      </c>
      <c r="T34" s="184"/>
      <c r="U34" s="183"/>
      <c r="V34" s="184"/>
      <c r="W34" s="180">
        <f t="shared" si="0"/>
        <v>4.4999999999999998E-2</v>
      </c>
      <c r="X34" s="181"/>
      <c r="Y34" s="182"/>
      <c r="Z34" s="180">
        <f t="shared" si="1"/>
        <v>14.43</v>
      </c>
      <c r="AA34" s="181"/>
      <c r="AB34" s="182"/>
      <c r="AC34" s="54"/>
      <c r="AD34" s="55"/>
      <c r="AE34" s="56"/>
      <c r="AF34" s="54"/>
      <c r="AG34" s="55"/>
      <c r="AH34" s="57"/>
    </row>
    <row r="35" spans="1:35" ht="15.75" x14ac:dyDescent="0.25">
      <c r="A35" s="185"/>
      <c r="B35" s="186"/>
      <c r="C35" s="184"/>
      <c r="D35" s="211" t="s">
        <v>777</v>
      </c>
      <c r="E35" s="212"/>
      <c r="F35" s="212"/>
      <c r="G35" s="212"/>
      <c r="H35" s="212"/>
      <c r="I35" s="213"/>
      <c r="J35" s="66"/>
      <c r="K35" s="183">
        <v>0.15</v>
      </c>
      <c r="L35" s="184"/>
      <c r="M35" s="183"/>
      <c r="N35" s="184"/>
      <c r="O35" s="183">
        <v>0.3</v>
      </c>
      <c r="P35" s="184"/>
      <c r="Q35" s="183"/>
      <c r="R35" s="184"/>
      <c r="S35" s="183">
        <f>12+12+8.27</f>
        <v>32.269999999999996</v>
      </c>
      <c r="T35" s="184"/>
      <c r="U35" s="183"/>
      <c r="V35" s="184"/>
      <c r="W35" s="180">
        <f t="shared" si="0"/>
        <v>4.4999999999999998E-2</v>
      </c>
      <c r="X35" s="181"/>
      <c r="Y35" s="182"/>
      <c r="Z35" s="180">
        <f t="shared" si="1"/>
        <v>24.202499999999997</v>
      </c>
      <c r="AA35" s="181"/>
      <c r="AB35" s="182"/>
      <c r="AC35" s="54"/>
      <c r="AD35" s="55"/>
      <c r="AE35" s="56"/>
      <c r="AF35" s="54"/>
      <c r="AG35" s="55"/>
      <c r="AH35" s="57"/>
    </row>
    <row r="36" spans="1:35" ht="15.75" x14ac:dyDescent="0.25">
      <c r="A36" s="185"/>
      <c r="B36" s="186"/>
      <c r="C36" s="184"/>
      <c r="D36" s="211" t="s">
        <v>778</v>
      </c>
      <c r="E36" s="212"/>
      <c r="F36" s="212"/>
      <c r="G36" s="212"/>
      <c r="H36" s="212"/>
      <c r="I36" s="213"/>
      <c r="J36" s="66"/>
      <c r="K36" s="183">
        <v>0.15</v>
      </c>
      <c r="L36" s="184"/>
      <c r="M36" s="183"/>
      <c r="N36" s="184"/>
      <c r="O36" s="183">
        <v>0.3</v>
      </c>
      <c r="P36" s="184"/>
      <c r="Q36" s="183"/>
      <c r="R36" s="184"/>
      <c r="S36" s="183">
        <f>9.74</f>
        <v>9.74</v>
      </c>
      <c r="T36" s="184"/>
      <c r="U36" s="183"/>
      <c r="V36" s="184"/>
      <c r="W36" s="180">
        <f t="shared" si="0"/>
        <v>4.4999999999999998E-2</v>
      </c>
      <c r="X36" s="181"/>
      <c r="Y36" s="182"/>
      <c r="Z36" s="180">
        <f t="shared" si="1"/>
        <v>7.3050000000000006</v>
      </c>
      <c r="AA36" s="181"/>
      <c r="AB36" s="182"/>
      <c r="AC36" s="54"/>
      <c r="AD36" s="55"/>
      <c r="AE36" s="56"/>
      <c r="AF36" s="54"/>
      <c r="AG36" s="55"/>
      <c r="AH36" s="57"/>
    </row>
    <row r="37" spans="1:35" ht="15.75" x14ac:dyDescent="0.25">
      <c r="A37" s="185"/>
      <c r="B37" s="186"/>
      <c r="C37" s="184"/>
      <c r="D37" s="211" t="s">
        <v>779</v>
      </c>
      <c r="E37" s="212"/>
      <c r="F37" s="212"/>
      <c r="G37" s="212"/>
      <c r="H37" s="212"/>
      <c r="I37" s="213"/>
      <c r="J37" s="66"/>
      <c r="K37" s="183">
        <v>0.15</v>
      </c>
      <c r="L37" s="184"/>
      <c r="M37" s="183"/>
      <c r="N37" s="184"/>
      <c r="O37" s="183">
        <v>0.3</v>
      </c>
      <c r="P37" s="184"/>
      <c r="Q37" s="183"/>
      <c r="R37" s="184"/>
      <c r="S37" s="183">
        <v>1.7</v>
      </c>
      <c r="T37" s="184"/>
      <c r="U37" s="183"/>
      <c r="V37" s="184"/>
      <c r="W37" s="180">
        <f t="shared" si="0"/>
        <v>4.4999999999999998E-2</v>
      </c>
      <c r="X37" s="181"/>
      <c r="Y37" s="182"/>
      <c r="Z37" s="180">
        <f t="shared" si="1"/>
        <v>1.2749999999999999</v>
      </c>
      <c r="AA37" s="181"/>
      <c r="AB37" s="182"/>
      <c r="AC37" s="54"/>
      <c r="AD37" s="55"/>
      <c r="AE37" s="56"/>
      <c r="AF37" s="54"/>
      <c r="AG37" s="55"/>
      <c r="AH37" s="57"/>
    </row>
    <row r="38" spans="1:35" ht="15.75" x14ac:dyDescent="0.25">
      <c r="A38" s="185"/>
      <c r="B38" s="186"/>
      <c r="C38" s="184"/>
      <c r="D38" s="211" t="s">
        <v>780</v>
      </c>
      <c r="E38" s="212"/>
      <c r="F38" s="212"/>
      <c r="G38" s="212"/>
      <c r="H38" s="212"/>
      <c r="I38" s="213"/>
      <c r="J38" s="66"/>
      <c r="K38" s="183">
        <v>0.15</v>
      </c>
      <c r="L38" s="184"/>
      <c r="M38" s="183"/>
      <c r="N38" s="184"/>
      <c r="O38" s="183">
        <v>0.3</v>
      </c>
      <c r="P38" s="184"/>
      <c r="Q38" s="183"/>
      <c r="R38" s="184"/>
      <c r="S38" s="183">
        <v>10.61</v>
      </c>
      <c r="T38" s="184"/>
      <c r="U38" s="183"/>
      <c r="V38" s="184"/>
      <c r="W38" s="180">
        <f t="shared" si="0"/>
        <v>4.4999999999999998E-2</v>
      </c>
      <c r="X38" s="181"/>
      <c r="Y38" s="182"/>
      <c r="Z38" s="180">
        <f t="shared" si="1"/>
        <v>7.9574999999999996</v>
      </c>
      <c r="AA38" s="181"/>
      <c r="AB38" s="182"/>
      <c r="AC38" s="54"/>
      <c r="AD38" s="55"/>
      <c r="AE38" s="56"/>
      <c r="AF38" s="54"/>
      <c r="AG38" s="55"/>
      <c r="AH38" s="57"/>
    </row>
    <row r="39" spans="1:35" ht="15.75" x14ac:dyDescent="0.25">
      <c r="A39" s="185"/>
      <c r="B39" s="186"/>
      <c r="C39" s="184"/>
      <c r="D39" s="211" t="s">
        <v>781</v>
      </c>
      <c r="E39" s="212"/>
      <c r="F39" s="212"/>
      <c r="G39" s="212"/>
      <c r="H39" s="212"/>
      <c r="I39" s="213"/>
      <c r="J39" s="66"/>
      <c r="K39" s="183">
        <v>0.15</v>
      </c>
      <c r="L39" s="184"/>
      <c r="M39" s="183"/>
      <c r="N39" s="184"/>
      <c r="O39" s="183">
        <v>0.3</v>
      </c>
      <c r="P39" s="184"/>
      <c r="Q39" s="183"/>
      <c r="R39" s="184"/>
      <c r="S39" s="183">
        <f>12+7.53</f>
        <v>19.53</v>
      </c>
      <c r="T39" s="184"/>
      <c r="U39" s="183"/>
      <c r="V39" s="184"/>
      <c r="W39" s="180">
        <f t="shared" si="0"/>
        <v>4.4999999999999998E-2</v>
      </c>
      <c r="X39" s="181"/>
      <c r="Y39" s="182"/>
      <c r="Z39" s="180">
        <f t="shared" si="1"/>
        <v>14.647500000000001</v>
      </c>
      <c r="AA39" s="181"/>
      <c r="AB39" s="182"/>
      <c r="AC39" s="54"/>
      <c r="AD39" s="55"/>
      <c r="AE39" s="56"/>
      <c r="AF39" s="54"/>
      <c r="AG39" s="55"/>
      <c r="AH39" s="57"/>
    </row>
    <row r="40" spans="1:35" ht="15.75" x14ac:dyDescent="0.25">
      <c r="A40" s="185"/>
      <c r="B40" s="186"/>
      <c r="C40" s="184"/>
      <c r="D40" s="211" t="s">
        <v>782</v>
      </c>
      <c r="E40" s="212"/>
      <c r="F40" s="212"/>
      <c r="G40" s="212"/>
      <c r="H40" s="212"/>
      <c r="I40" s="213"/>
      <c r="J40" s="66"/>
      <c r="K40" s="183">
        <v>0.15</v>
      </c>
      <c r="L40" s="184"/>
      <c r="M40" s="183"/>
      <c r="N40" s="184"/>
      <c r="O40" s="183">
        <v>0.4</v>
      </c>
      <c r="P40" s="184"/>
      <c r="Q40" s="183"/>
      <c r="R40" s="184"/>
      <c r="S40" s="183">
        <f>12+12+8.39</f>
        <v>32.39</v>
      </c>
      <c r="T40" s="184"/>
      <c r="U40" s="183"/>
      <c r="V40" s="184"/>
      <c r="W40" s="180">
        <f t="shared" si="0"/>
        <v>0.06</v>
      </c>
      <c r="X40" s="181"/>
      <c r="Y40" s="182"/>
      <c r="Z40" s="180">
        <f t="shared" si="1"/>
        <v>30.770500000000002</v>
      </c>
      <c r="AA40" s="181"/>
      <c r="AB40" s="182"/>
      <c r="AC40" s="54"/>
      <c r="AD40" s="55"/>
      <c r="AE40" s="56"/>
      <c r="AF40" s="54"/>
      <c r="AG40" s="55"/>
      <c r="AH40" s="57"/>
    </row>
    <row r="41" spans="1:35" ht="15.75" x14ac:dyDescent="0.25">
      <c r="A41" s="185"/>
      <c r="B41" s="186"/>
      <c r="C41" s="184"/>
      <c r="D41" s="211" t="s">
        <v>783</v>
      </c>
      <c r="E41" s="212"/>
      <c r="F41" s="212"/>
      <c r="G41" s="212"/>
      <c r="H41" s="212"/>
      <c r="I41" s="213"/>
      <c r="J41" s="66"/>
      <c r="K41" s="183">
        <v>0.15</v>
      </c>
      <c r="L41" s="184"/>
      <c r="M41" s="183"/>
      <c r="N41" s="184"/>
      <c r="O41" s="183">
        <v>0.4</v>
      </c>
      <c r="P41" s="184"/>
      <c r="Q41" s="183"/>
      <c r="R41" s="184"/>
      <c r="S41" s="183">
        <f>11.85+10.69+2.02</f>
        <v>24.56</v>
      </c>
      <c r="T41" s="184"/>
      <c r="U41" s="183"/>
      <c r="V41" s="184"/>
      <c r="W41" s="180">
        <f t="shared" si="0"/>
        <v>0.06</v>
      </c>
      <c r="X41" s="181"/>
      <c r="Y41" s="182"/>
      <c r="Z41" s="180">
        <f t="shared" si="1"/>
        <v>23.332000000000001</v>
      </c>
      <c r="AA41" s="181"/>
      <c r="AB41" s="182"/>
      <c r="AC41" s="54"/>
      <c r="AD41" s="55"/>
      <c r="AE41" s="56"/>
      <c r="AF41" s="54"/>
      <c r="AG41" s="55"/>
      <c r="AH41" s="57"/>
    </row>
    <row r="42" spans="1:35" ht="15.75" customHeight="1" x14ac:dyDescent="0.25">
      <c r="A42" s="189" t="str">
        <f>'MEMORIA BM 08'!A39</f>
        <v>5.2</v>
      </c>
      <c r="B42" s="190"/>
      <c r="C42" s="191"/>
      <c r="D42" s="218" t="str">
        <f>'MEMORIA BM 08'!B39</f>
        <v>ARMAÇÃO DE PILAR OU VIGA DE UMA ESTRUTURA CONVENCIONAL DE CONCRETO ARMADO EM UMA EDIFICAÇÃO TÉRREA OU SOBRADO UTILIZANDO AÇO CA-50 DE 6,3 MM - MONTAGEM. AF_12/2015</v>
      </c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20"/>
      <c r="AC42" s="195">
        <f>SUM(Z43:AB44)</f>
        <v>8.0359999999999996</v>
      </c>
      <c r="AD42" s="190"/>
      <c r="AE42" s="191"/>
      <c r="AF42" s="195" t="str">
        <f>'MEMORIA BM 08'!C39</f>
        <v>KG</v>
      </c>
      <c r="AG42" s="190"/>
      <c r="AH42" s="196"/>
      <c r="AI42">
        <v>8.0399999999999991</v>
      </c>
    </row>
    <row r="43" spans="1:35" ht="15.75" x14ac:dyDescent="0.25">
      <c r="A43" s="185"/>
      <c r="B43" s="186"/>
      <c r="C43" s="184"/>
      <c r="D43" s="216" t="s">
        <v>767</v>
      </c>
      <c r="E43" s="217"/>
      <c r="F43" s="217"/>
      <c r="G43" s="217"/>
      <c r="H43" s="217"/>
      <c r="I43" s="217"/>
      <c r="J43" s="77"/>
      <c r="K43" s="214">
        <f>16*0.98</f>
        <v>15.68</v>
      </c>
      <c r="L43" s="215"/>
      <c r="M43" s="214"/>
      <c r="N43" s="215"/>
      <c r="O43" s="214">
        <v>1</v>
      </c>
      <c r="P43" s="215"/>
      <c r="Q43" s="214"/>
      <c r="R43" s="215"/>
      <c r="S43" s="214"/>
      <c r="T43" s="215"/>
      <c r="U43" s="214"/>
      <c r="V43" s="215"/>
      <c r="W43" s="208">
        <f>K43*O43</f>
        <v>15.68</v>
      </c>
      <c r="X43" s="209"/>
      <c r="Y43" s="210"/>
      <c r="Z43" s="208">
        <f>W43*0.245</f>
        <v>3.8415999999999997</v>
      </c>
      <c r="AA43" s="209"/>
      <c r="AB43" s="210"/>
      <c r="AC43" s="54"/>
      <c r="AD43" s="55"/>
      <c r="AE43" s="56"/>
      <c r="AF43" s="54"/>
      <c r="AG43" s="55"/>
      <c r="AH43" s="57"/>
    </row>
    <row r="44" spans="1:35" ht="15.75" x14ac:dyDescent="0.25">
      <c r="A44" s="185"/>
      <c r="B44" s="186"/>
      <c r="C44" s="184"/>
      <c r="D44" s="211" t="s">
        <v>771</v>
      </c>
      <c r="E44" s="212"/>
      <c r="F44" s="212"/>
      <c r="G44" s="212"/>
      <c r="H44" s="212"/>
      <c r="I44" s="213"/>
      <c r="J44" s="77"/>
      <c r="K44" s="214">
        <f>2*2*4.28</f>
        <v>17.12</v>
      </c>
      <c r="L44" s="215"/>
      <c r="M44" s="214"/>
      <c r="N44" s="215"/>
      <c r="O44" s="183">
        <v>1</v>
      </c>
      <c r="P44" s="184"/>
      <c r="Q44" s="214"/>
      <c r="R44" s="215"/>
      <c r="S44" s="214"/>
      <c r="T44" s="215"/>
      <c r="U44" s="214"/>
      <c r="V44" s="215"/>
      <c r="W44" s="208">
        <f>K44*O44</f>
        <v>17.12</v>
      </c>
      <c r="X44" s="209"/>
      <c r="Y44" s="210"/>
      <c r="Z44" s="208">
        <f>W44*0.245</f>
        <v>4.1943999999999999</v>
      </c>
      <c r="AA44" s="209"/>
      <c r="AB44" s="210"/>
      <c r="AC44" s="54"/>
      <c r="AD44" s="55"/>
      <c r="AE44" s="56"/>
      <c r="AF44" s="54"/>
      <c r="AG44" s="55"/>
      <c r="AH44" s="57"/>
    </row>
    <row r="45" spans="1:35" ht="41.25" customHeight="1" x14ac:dyDescent="0.25">
      <c r="A45" s="189" t="str">
        <f>'MEMORIA BM 08'!A40</f>
        <v>5.3</v>
      </c>
      <c r="B45" s="190"/>
      <c r="C45" s="191"/>
      <c r="D45" s="218" t="str">
        <f>'MEMORIA BM 08'!B40</f>
        <v>ARMAÇÃO DE PILAR OU VIGA DE UMA ESTRUTURA CONVENCIONAL DE CONCRETO ARMADO EM UMA EDIFICAÇÃO TÉRREA OU SOBRADO UTILIZANDO AÇO CA-50 DE 10,0 MM - MONTAGEM. AF_12/2015</v>
      </c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20"/>
      <c r="AC45" s="195">
        <f>SUM(Z46:AB71)</f>
        <v>1149.18101</v>
      </c>
      <c r="AD45" s="190"/>
      <c r="AE45" s="191"/>
      <c r="AF45" s="195" t="s">
        <v>361</v>
      </c>
      <c r="AG45" s="190"/>
      <c r="AH45" s="196"/>
      <c r="AI45">
        <v>1149.18</v>
      </c>
    </row>
    <row r="46" spans="1:35" ht="15.75" x14ac:dyDescent="0.25">
      <c r="A46" s="185"/>
      <c r="B46" s="186"/>
      <c r="C46" s="184"/>
      <c r="D46" s="216" t="s">
        <v>758</v>
      </c>
      <c r="E46" s="217"/>
      <c r="F46" s="217"/>
      <c r="G46" s="217"/>
      <c r="H46" s="217"/>
      <c r="I46" s="217"/>
      <c r="J46" s="66"/>
      <c r="K46" s="214">
        <f>((2*11.57)+(2*4.26)+(2*11.9)+(2*11.96)+1.65+1.45+(2*11.99))</f>
        <v>106.46000000000001</v>
      </c>
      <c r="L46" s="215"/>
      <c r="M46" s="214"/>
      <c r="N46" s="215"/>
      <c r="O46" s="214">
        <v>1</v>
      </c>
      <c r="P46" s="215"/>
      <c r="Q46" s="214"/>
      <c r="R46" s="215"/>
      <c r="S46" s="214"/>
      <c r="T46" s="215"/>
      <c r="U46" s="214"/>
      <c r="V46" s="215"/>
      <c r="W46" s="208">
        <f t="shared" ref="W46:W71" si="2">K46*O46</f>
        <v>106.46000000000001</v>
      </c>
      <c r="X46" s="209"/>
      <c r="Y46" s="210"/>
      <c r="Z46" s="208">
        <f>W46*0.617</f>
        <v>65.685820000000007</v>
      </c>
      <c r="AA46" s="209"/>
      <c r="AB46" s="210"/>
      <c r="AC46" s="54"/>
      <c r="AD46" s="55"/>
      <c r="AE46" s="56"/>
      <c r="AF46" s="54"/>
      <c r="AG46" s="55"/>
      <c r="AH46" s="57"/>
    </row>
    <row r="47" spans="1:35" ht="15.75" x14ac:dyDescent="0.25">
      <c r="A47" s="185"/>
      <c r="B47" s="186"/>
      <c r="C47" s="184"/>
      <c r="D47" s="216" t="s">
        <v>759</v>
      </c>
      <c r="E47" s="217"/>
      <c r="F47" s="217"/>
      <c r="G47" s="217"/>
      <c r="H47" s="217"/>
      <c r="I47" s="217"/>
      <c r="J47" s="66"/>
      <c r="K47" s="214">
        <f>((2*3.58)+(2*3.6))</f>
        <v>14.36</v>
      </c>
      <c r="L47" s="215"/>
      <c r="M47" s="214"/>
      <c r="N47" s="215"/>
      <c r="O47" s="214">
        <v>1</v>
      </c>
      <c r="P47" s="215"/>
      <c r="Q47" s="214"/>
      <c r="R47" s="215"/>
      <c r="S47" s="214"/>
      <c r="T47" s="215"/>
      <c r="U47" s="214"/>
      <c r="V47" s="215"/>
      <c r="W47" s="208">
        <f t="shared" si="2"/>
        <v>14.36</v>
      </c>
      <c r="X47" s="209"/>
      <c r="Y47" s="210"/>
      <c r="Z47" s="208">
        <f t="shared" ref="Z47:Z71" si="3">W47*0.617</f>
        <v>8.8601200000000002</v>
      </c>
      <c r="AA47" s="209"/>
      <c r="AB47" s="210"/>
      <c r="AC47" s="54"/>
      <c r="AD47" s="55"/>
      <c r="AE47" s="56"/>
      <c r="AF47" s="54"/>
      <c r="AG47" s="55"/>
      <c r="AH47" s="57"/>
    </row>
    <row r="48" spans="1:35" ht="15.75" x14ac:dyDescent="0.25">
      <c r="A48" s="185"/>
      <c r="B48" s="186"/>
      <c r="C48" s="184"/>
      <c r="D48" s="216" t="s">
        <v>760</v>
      </c>
      <c r="E48" s="217"/>
      <c r="F48" s="217"/>
      <c r="G48" s="217"/>
      <c r="H48" s="217"/>
      <c r="I48" s="217"/>
      <c r="J48" s="66"/>
      <c r="K48" s="214">
        <f>((2*3.39)+(2*3.51))</f>
        <v>13.8</v>
      </c>
      <c r="L48" s="215"/>
      <c r="M48" s="214"/>
      <c r="N48" s="215"/>
      <c r="O48" s="214">
        <v>1</v>
      </c>
      <c r="P48" s="215"/>
      <c r="Q48" s="214"/>
      <c r="R48" s="215"/>
      <c r="S48" s="214"/>
      <c r="T48" s="215"/>
      <c r="U48" s="214"/>
      <c r="V48" s="215"/>
      <c r="W48" s="208">
        <f t="shared" si="2"/>
        <v>13.8</v>
      </c>
      <c r="X48" s="209"/>
      <c r="Y48" s="210"/>
      <c r="Z48" s="208">
        <f t="shared" si="3"/>
        <v>8.5145999999999997</v>
      </c>
      <c r="AA48" s="209"/>
      <c r="AB48" s="210"/>
      <c r="AC48" s="54"/>
      <c r="AD48" s="55"/>
      <c r="AE48" s="56"/>
      <c r="AF48" s="54"/>
      <c r="AG48" s="55"/>
      <c r="AH48" s="57"/>
    </row>
    <row r="49" spans="1:34" ht="15.75" x14ac:dyDescent="0.25">
      <c r="A49" s="185"/>
      <c r="B49" s="186"/>
      <c r="C49" s="184"/>
      <c r="D49" s="216" t="s">
        <v>761</v>
      </c>
      <c r="E49" s="217"/>
      <c r="F49" s="217"/>
      <c r="G49" s="217"/>
      <c r="H49" s="217"/>
      <c r="I49" s="217"/>
      <c r="J49" s="66"/>
      <c r="K49" s="214">
        <f>((2*3.26)+(2*3.49))</f>
        <v>13.5</v>
      </c>
      <c r="L49" s="215"/>
      <c r="M49" s="214"/>
      <c r="N49" s="215"/>
      <c r="O49" s="214">
        <v>1</v>
      </c>
      <c r="P49" s="215"/>
      <c r="Q49" s="214"/>
      <c r="R49" s="215"/>
      <c r="S49" s="214"/>
      <c r="T49" s="215"/>
      <c r="U49" s="214"/>
      <c r="V49" s="215"/>
      <c r="W49" s="208">
        <f t="shared" si="2"/>
        <v>13.5</v>
      </c>
      <c r="X49" s="209"/>
      <c r="Y49" s="210"/>
      <c r="Z49" s="208">
        <f t="shared" si="3"/>
        <v>8.3294999999999995</v>
      </c>
      <c r="AA49" s="209"/>
      <c r="AB49" s="210"/>
      <c r="AC49" s="54"/>
      <c r="AD49" s="55"/>
      <c r="AE49" s="56"/>
      <c r="AF49" s="54"/>
      <c r="AG49" s="55"/>
      <c r="AH49" s="57"/>
    </row>
    <row r="50" spans="1:34" ht="15.75" x14ac:dyDescent="0.25">
      <c r="A50" s="185"/>
      <c r="B50" s="186"/>
      <c r="C50" s="184"/>
      <c r="D50" s="216" t="s">
        <v>762</v>
      </c>
      <c r="E50" s="217"/>
      <c r="F50" s="217"/>
      <c r="G50" s="217"/>
      <c r="H50" s="217"/>
      <c r="I50" s="217"/>
      <c r="J50" s="66"/>
      <c r="K50" s="214">
        <f>((2*6.4)+(2*6.63))</f>
        <v>26.060000000000002</v>
      </c>
      <c r="L50" s="215"/>
      <c r="M50" s="214"/>
      <c r="N50" s="215"/>
      <c r="O50" s="214">
        <v>1</v>
      </c>
      <c r="P50" s="215"/>
      <c r="Q50" s="183"/>
      <c r="R50" s="184"/>
      <c r="S50" s="183"/>
      <c r="T50" s="184"/>
      <c r="U50" s="183"/>
      <c r="V50" s="184"/>
      <c r="W50" s="208">
        <f t="shared" si="2"/>
        <v>26.060000000000002</v>
      </c>
      <c r="X50" s="209"/>
      <c r="Y50" s="210"/>
      <c r="Z50" s="208">
        <f t="shared" si="3"/>
        <v>16.07902</v>
      </c>
      <c r="AA50" s="209"/>
      <c r="AB50" s="210"/>
      <c r="AC50" s="54"/>
      <c r="AD50" s="55"/>
      <c r="AE50" s="56"/>
      <c r="AF50" s="54"/>
      <c r="AG50" s="55"/>
      <c r="AH50" s="57"/>
    </row>
    <row r="51" spans="1:34" ht="15.75" x14ac:dyDescent="0.25">
      <c r="A51" s="185"/>
      <c r="B51" s="186"/>
      <c r="C51" s="184"/>
      <c r="D51" s="216" t="s">
        <v>763</v>
      </c>
      <c r="E51" s="217"/>
      <c r="F51" s="217"/>
      <c r="G51" s="217"/>
      <c r="H51" s="217"/>
      <c r="I51" s="217"/>
      <c r="J51" s="66"/>
      <c r="K51" s="214">
        <f>((2*2.14)+(2*2.37))</f>
        <v>9.02</v>
      </c>
      <c r="L51" s="215"/>
      <c r="M51" s="214"/>
      <c r="N51" s="215"/>
      <c r="O51" s="214">
        <v>1</v>
      </c>
      <c r="P51" s="215"/>
      <c r="Q51" s="214"/>
      <c r="R51" s="215"/>
      <c r="S51" s="214"/>
      <c r="T51" s="215"/>
      <c r="U51" s="214"/>
      <c r="V51" s="215"/>
      <c r="W51" s="208">
        <f t="shared" si="2"/>
        <v>9.02</v>
      </c>
      <c r="X51" s="209"/>
      <c r="Y51" s="210"/>
      <c r="Z51" s="208">
        <f t="shared" si="3"/>
        <v>5.56534</v>
      </c>
      <c r="AA51" s="209"/>
      <c r="AB51" s="210"/>
      <c r="AC51" s="54"/>
      <c r="AD51" s="55"/>
      <c r="AE51" s="56"/>
      <c r="AF51" s="54"/>
      <c r="AG51" s="55"/>
      <c r="AH51" s="57"/>
    </row>
    <row r="52" spans="1:34" ht="15.75" x14ac:dyDescent="0.25">
      <c r="A52" s="185"/>
      <c r="B52" s="186"/>
      <c r="C52" s="184"/>
      <c r="D52" s="216" t="s">
        <v>764</v>
      </c>
      <c r="E52" s="217"/>
      <c r="F52" s="217"/>
      <c r="G52" s="217"/>
      <c r="H52" s="217"/>
      <c r="I52" s="217"/>
      <c r="J52" s="66"/>
      <c r="K52" s="214">
        <f>((2*11.57)+(2*11.18)+(2*4.26)+(2*9.38)+(2*5.89)+(2*3.84)+(2*12)+1.65+1.55+(2*12)+(2*11.99))</f>
        <v>167.42</v>
      </c>
      <c r="L52" s="215"/>
      <c r="M52" s="214"/>
      <c r="N52" s="215"/>
      <c r="O52" s="214">
        <v>1</v>
      </c>
      <c r="P52" s="215"/>
      <c r="Q52" s="214"/>
      <c r="R52" s="215"/>
      <c r="S52" s="214"/>
      <c r="T52" s="215"/>
      <c r="U52" s="214"/>
      <c r="V52" s="215"/>
      <c r="W52" s="208">
        <f t="shared" si="2"/>
        <v>167.42</v>
      </c>
      <c r="X52" s="209"/>
      <c r="Y52" s="210"/>
      <c r="Z52" s="208">
        <f t="shared" si="3"/>
        <v>103.29813999999999</v>
      </c>
      <c r="AA52" s="209"/>
      <c r="AB52" s="210"/>
      <c r="AC52" s="54"/>
      <c r="AD52" s="55"/>
      <c r="AE52" s="56"/>
      <c r="AF52" s="54"/>
      <c r="AG52" s="55"/>
      <c r="AH52" s="57"/>
    </row>
    <row r="53" spans="1:34" ht="15.75" x14ac:dyDescent="0.25">
      <c r="A53" s="185"/>
      <c r="B53" s="186"/>
      <c r="C53" s="184"/>
      <c r="D53" s="216" t="s">
        <v>765</v>
      </c>
      <c r="E53" s="217"/>
      <c r="F53" s="217"/>
      <c r="G53" s="217"/>
      <c r="H53" s="217"/>
      <c r="I53" s="217"/>
      <c r="J53" s="66"/>
      <c r="K53" s="214">
        <f>((2*6.4)+(2*6.63))</f>
        <v>26.060000000000002</v>
      </c>
      <c r="L53" s="215"/>
      <c r="M53" s="214"/>
      <c r="N53" s="215"/>
      <c r="O53" s="214">
        <v>1</v>
      </c>
      <c r="P53" s="215"/>
      <c r="Q53" s="214"/>
      <c r="R53" s="215"/>
      <c r="S53" s="214"/>
      <c r="T53" s="215"/>
      <c r="U53" s="214"/>
      <c r="V53" s="215"/>
      <c r="W53" s="208">
        <f t="shared" si="2"/>
        <v>26.060000000000002</v>
      </c>
      <c r="X53" s="209"/>
      <c r="Y53" s="210"/>
      <c r="Z53" s="208">
        <f t="shared" si="3"/>
        <v>16.07902</v>
      </c>
      <c r="AA53" s="209"/>
      <c r="AB53" s="210"/>
      <c r="AC53" s="54"/>
      <c r="AD53" s="55"/>
      <c r="AE53" s="56"/>
      <c r="AF53" s="54"/>
      <c r="AG53" s="55"/>
      <c r="AH53" s="57"/>
    </row>
    <row r="54" spans="1:34" ht="15.75" x14ac:dyDescent="0.25">
      <c r="A54" s="185"/>
      <c r="B54" s="186"/>
      <c r="C54" s="184"/>
      <c r="D54" s="216" t="s">
        <v>766</v>
      </c>
      <c r="E54" s="217"/>
      <c r="F54" s="217"/>
      <c r="G54" s="217"/>
      <c r="H54" s="217"/>
      <c r="I54" s="217"/>
      <c r="J54" s="66"/>
      <c r="K54" s="214">
        <f>((2*1.78)+(2*2.11))</f>
        <v>7.7799999999999994</v>
      </c>
      <c r="L54" s="215"/>
      <c r="M54" s="214"/>
      <c r="N54" s="215"/>
      <c r="O54" s="214">
        <v>1</v>
      </c>
      <c r="P54" s="215"/>
      <c r="Q54" s="214"/>
      <c r="R54" s="215"/>
      <c r="S54" s="214"/>
      <c r="T54" s="215"/>
      <c r="U54" s="214"/>
      <c r="V54" s="215"/>
      <c r="W54" s="208">
        <f t="shared" si="2"/>
        <v>7.7799999999999994</v>
      </c>
      <c r="X54" s="209"/>
      <c r="Y54" s="210"/>
      <c r="Z54" s="208">
        <f t="shared" si="3"/>
        <v>4.8002599999999997</v>
      </c>
      <c r="AA54" s="209"/>
      <c r="AB54" s="210"/>
      <c r="AC54" s="54"/>
      <c r="AD54" s="55"/>
      <c r="AE54" s="56"/>
      <c r="AF54" s="54"/>
      <c r="AG54" s="55"/>
      <c r="AH54" s="57"/>
    </row>
    <row r="55" spans="1:34" ht="15.75" x14ac:dyDescent="0.25">
      <c r="A55" s="185"/>
      <c r="B55" s="186"/>
      <c r="C55" s="184"/>
      <c r="D55" s="216" t="s">
        <v>767</v>
      </c>
      <c r="E55" s="217"/>
      <c r="F55" s="217"/>
      <c r="G55" s="217"/>
      <c r="H55" s="217"/>
      <c r="I55" s="217"/>
      <c r="J55" s="66"/>
      <c r="K55" s="214">
        <f>((2*11.57)+(2*10.95)+(2*4.26)+(2*4.26)+(2*10.85)+(2*4.67)+2.72+(2*6.85)+7.37+2.85+24+(2*2.95)+1.85+(2*8.84)+(2*11.98))</f>
        <v>193.15</v>
      </c>
      <c r="L55" s="215"/>
      <c r="M55" s="214"/>
      <c r="N55" s="215"/>
      <c r="O55" s="214">
        <v>1</v>
      </c>
      <c r="P55" s="215"/>
      <c r="Q55" s="214"/>
      <c r="R55" s="215"/>
      <c r="S55" s="214"/>
      <c r="T55" s="215"/>
      <c r="U55" s="214"/>
      <c r="V55" s="215"/>
      <c r="W55" s="208">
        <f t="shared" si="2"/>
        <v>193.15</v>
      </c>
      <c r="X55" s="209"/>
      <c r="Y55" s="210"/>
      <c r="Z55" s="208">
        <f t="shared" si="3"/>
        <v>119.17355000000001</v>
      </c>
      <c r="AA55" s="209"/>
      <c r="AB55" s="210"/>
      <c r="AC55" s="54"/>
      <c r="AD55" s="55"/>
      <c r="AE55" s="56"/>
      <c r="AF55" s="54"/>
      <c r="AG55" s="55"/>
      <c r="AH55" s="57"/>
    </row>
    <row r="56" spans="1:34" ht="15.75" x14ac:dyDescent="0.25">
      <c r="A56" s="185"/>
      <c r="B56" s="186"/>
      <c r="C56" s="184"/>
      <c r="D56" s="216" t="s">
        <v>768</v>
      </c>
      <c r="E56" s="217"/>
      <c r="F56" s="217"/>
      <c r="G56" s="217"/>
      <c r="H56" s="217"/>
      <c r="I56" s="217"/>
      <c r="J56" s="66"/>
      <c r="K56" s="214">
        <f>((2*4.24)+(2*4.51))</f>
        <v>17.5</v>
      </c>
      <c r="L56" s="215"/>
      <c r="M56" s="214"/>
      <c r="N56" s="215"/>
      <c r="O56" s="214">
        <v>1</v>
      </c>
      <c r="P56" s="215"/>
      <c r="Q56" s="214"/>
      <c r="R56" s="215"/>
      <c r="S56" s="214"/>
      <c r="T56" s="215"/>
      <c r="U56" s="214"/>
      <c r="V56" s="215"/>
      <c r="W56" s="208">
        <f t="shared" si="2"/>
        <v>17.5</v>
      </c>
      <c r="X56" s="209"/>
      <c r="Y56" s="210"/>
      <c r="Z56" s="208">
        <f t="shared" si="3"/>
        <v>10.797499999999999</v>
      </c>
      <c r="AA56" s="209"/>
      <c r="AB56" s="210"/>
      <c r="AC56" s="54"/>
      <c r="AD56" s="55"/>
      <c r="AE56" s="56"/>
      <c r="AF56" s="54"/>
      <c r="AG56" s="55"/>
      <c r="AH56" s="57"/>
    </row>
    <row r="57" spans="1:34" ht="15.75" x14ac:dyDescent="0.25">
      <c r="A57" s="185"/>
      <c r="B57" s="186"/>
      <c r="C57" s="184"/>
      <c r="D57" s="216" t="s">
        <v>769</v>
      </c>
      <c r="E57" s="217"/>
      <c r="F57" s="217"/>
      <c r="G57" s="217"/>
      <c r="H57" s="217"/>
      <c r="I57" s="217"/>
      <c r="J57" s="66"/>
      <c r="K57" s="214">
        <f>((2*5.74)+(2*5.97))</f>
        <v>23.42</v>
      </c>
      <c r="L57" s="215"/>
      <c r="M57" s="214"/>
      <c r="N57" s="215"/>
      <c r="O57" s="214">
        <v>1</v>
      </c>
      <c r="P57" s="215"/>
      <c r="Q57" s="214"/>
      <c r="R57" s="215"/>
      <c r="S57" s="214"/>
      <c r="T57" s="215"/>
      <c r="U57" s="214"/>
      <c r="V57" s="215"/>
      <c r="W57" s="208">
        <f t="shared" si="2"/>
        <v>23.42</v>
      </c>
      <c r="X57" s="209"/>
      <c r="Y57" s="210"/>
      <c r="Z57" s="208">
        <f t="shared" si="3"/>
        <v>14.450140000000001</v>
      </c>
      <c r="AA57" s="209"/>
      <c r="AB57" s="210"/>
      <c r="AC57" s="54"/>
      <c r="AD57" s="55"/>
      <c r="AE57" s="56"/>
      <c r="AF57" s="54"/>
      <c r="AG57" s="55"/>
      <c r="AH57" s="57"/>
    </row>
    <row r="58" spans="1:34" ht="15.75" x14ac:dyDescent="0.25">
      <c r="A58" s="185"/>
      <c r="B58" s="186"/>
      <c r="C58" s="184"/>
      <c r="D58" s="216" t="s">
        <v>770</v>
      </c>
      <c r="E58" s="217"/>
      <c r="F58" s="217"/>
      <c r="G58" s="217"/>
      <c r="H58" s="217"/>
      <c r="I58" s="217"/>
      <c r="J58" s="66"/>
      <c r="K58" s="183">
        <f>((2*11.57)+(2*10.95)+(2*4.2)+(2*4.2)+2.73+(2*11.37)+(2*6.41)+24+6.73+6.78+2.65+2+(2*9.24)+(2*11.98))</f>
        <v>184.73</v>
      </c>
      <c r="L58" s="184"/>
      <c r="M58" s="183"/>
      <c r="N58" s="184"/>
      <c r="O58" s="183">
        <v>1</v>
      </c>
      <c r="P58" s="184"/>
      <c r="Q58" s="183"/>
      <c r="R58" s="184"/>
      <c r="S58" s="183"/>
      <c r="T58" s="184"/>
      <c r="U58" s="183"/>
      <c r="V58" s="184"/>
      <c r="W58" s="208">
        <f t="shared" si="2"/>
        <v>184.73</v>
      </c>
      <c r="X58" s="209"/>
      <c r="Y58" s="210"/>
      <c r="Z58" s="208">
        <f t="shared" si="3"/>
        <v>113.97841</v>
      </c>
      <c r="AA58" s="209"/>
      <c r="AB58" s="210"/>
      <c r="AC58" s="54"/>
      <c r="AD58" s="55"/>
      <c r="AE58" s="56"/>
      <c r="AF58" s="54"/>
      <c r="AG58" s="55"/>
      <c r="AH58" s="57"/>
    </row>
    <row r="59" spans="1:34" ht="15.75" x14ac:dyDescent="0.25">
      <c r="A59" s="185"/>
      <c r="B59" s="186"/>
      <c r="C59" s="184"/>
      <c r="D59" s="211" t="s">
        <v>771</v>
      </c>
      <c r="E59" s="212"/>
      <c r="F59" s="212"/>
      <c r="G59" s="212"/>
      <c r="H59" s="212"/>
      <c r="I59" s="213"/>
      <c r="J59" s="66"/>
      <c r="K59" s="214">
        <f>((2*10.71)+(2*11.12)+3.43+3.66+7.71)</f>
        <v>58.46</v>
      </c>
      <c r="L59" s="215"/>
      <c r="M59" s="214"/>
      <c r="N59" s="215"/>
      <c r="O59" s="183">
        <v>1</v>
      </c>
      <c r="P59" s="184"/>
      <c r="Q59" s="214"/>
      <c r="R59" s="215"/>
      <c r="S59" s="214"/>
      <c r="T59" s="215"/>
      <c r="U59" s="214"/>
      <c r="V59" s="215"/>
      <c r="W59" s="208">
        <f t="shared" si="2"/>
        <v>58.46</v>
      </c>
      <c r="X59" s="209"/>
      <c r="Y59" s="210"/>
      <c r="Z59" s="208">
        <f t="shared" si="3"/>
        <v>36.06982</v>
      </c>
      <c r="AA59" s="209"/>
      <c r="AB59" s="210"/>
      <c r="AC59" s="54"/>
      <c r="AD59" s="55"/>
      <c r="AE59" s="56"/>
      <c r="AF59" s="54"/>
      <c r="AG59" s="55"/>
      <c r="AH59" s="57"/>
    </row>
    <row r="60" spans="1:34" ht="15.75" x14ac:dyDescent="0.25">
      <c r="A60" s="185"/>
      <c r="B60" s="186"/>
      <c r="C60" s="184"/>
      <c r="D60" s="211" t="s">
        <v>772</v>
      </c>
      <c r="E60" s="212"/>
      <c r="F60" s="212"/>
      <c r="G60" s="212"/>
      <c r="H60" s="212"/>
      <c r="I60" s="213"/>
      <c r="J60" s="66"/>
      <c r="K60" s="214">
        <f>((2*11.57)+(2*11.13)+(2*4.2)+(2*9.98)+(2*5.82)+(2*3.96)+(2*12)+1.4+6.35+1.45+24+(2*11.99))</f>
        <v>174.5</v>
      </c>
      <c r="L60" s="215"/>
      <c r="M60" s="214"/>
      <c r="N60" s="215"/>
      <c r="O60" s="183">
        <v>1</v>
      </c>
      <c r="P60" s="184"/>
      <c r="Q60" s="214"/>
      <c r="R60" s="215"/>
      <c r="S60" s="214"/>
      <c r="T60" s="215"/>
      <c r="U60" s="214"/>
      <c r="V60" s="215"/>
      <c r="W60" s="208">
        <f t="shared" si="2"/>
        <v>174.5</v>
      </c>
      <c r="X60" s="209"/>
      <c r="Y60" s="210"/>
      <c r="Z60" s="208">
        <f t="shared" si="3"/>
        <v>107.6665</v>
      </c>
      <c r="AA60" s="209"/>
      <c r="AB60" s="210"/>
      <c r="AC60" s="54"/>
      <c r="AD60" s="55"/>
      <c r="AE60" s="56"/>
      <c r="AF60" s="54"/>
      <c r="AG60" s="55"/>
      <c r="AH60" s="57"/>
    </row>
    <row r="61" spans="1:34" ht="15.75" x14ac:dyDescent="0.25">
      <c r="A61" s="185"/>
      <c r="B61" s="186"/>
      <c r="C61" s="184"/>
      <c r="D61" s="211" t="s">
        <v>773</v>
      </c>
      <c r="E61" s="212"/>
      <c r="F61" s="212"/>
      <c r="G61" s="212"/>
      <c r="H61" s="212"/>
      <c r="I61" s="213"/>
      <c r="J61" s="66"/>
      <c r="K61" s="214">
        <f>((2*10.72)+(2*4.26)+2.09+6.15+(2*10.74))</f>
        <v>59.679999999999993</v>
      </c>
      <c r="L61" s="215"/>
      <c r="M61" s="214"/>
      <c r="N61" s="215"/>
      <c r="O61" s="214">
        <v>1</v>
      </c>
      <c r="P61" s="215"/>
      <c r="Q61" s="214"/>
      <c r="R61" s="215"/>
      <c r="S61" s="214"/>
      <c r="T61" s="215"/>
      <c r="U61" s="214"/>
      <c r="V61" s="215"/>
      <c r="W61" s="208">
        <f t="shared" si="2"/>
        <v>59.679999999999993</v>
      </c>
      <c r="X61" s="209"/>
      <c r="Y61" s="210"/>
      <c r="Z61" s="208">
        <f t="shared" si="3"/>
        <v>36.822559999999996</v>
      </c>
      <c r="AA61" s="209"/>
      <c r="AB61" s="210"/>
      <c r="AC61" s="54"/>
      <c r="AD61" s="55"/>
      <c r="AE61" s="56"/>
      <c r="AF61" s="54"/>
      <c r="AG61" s="55"/>
      <c r="AH61" s="57"/>
    </row>
    <row r="62" spans="1:34" ht="15.75" x14ac:dyDescent="0.25">
      <c r="A62" s="185"/>
      <c r="B62" s="186"/>
      <c r="C62" s="184"/>
      <c r="D62" s="211" t="s">
        <v>774</v>
      </c>
      <c r="E62" s="212"/>
      <c r="F62" s="212"/>
      <c r="G62" s="212"/>
      <c r="H62" s="212"/>
      <c r="I62" s="213"/>
      <c r="J62" s="66"/>
      <c r="K62" s="214">
        <f>((2*10.6)+(2*8.43)+(2*7.43)+24)</f>
        <v>76.92</v>
      </c>
      <c r="L62" s="215"/>
      <c r="M62" s="214"/>
      <c r="N62" s="215"/>
      <c r="O62" s="183">
        <v>1</v>
      </c>
      <c r="P62" s="184"/>
      <c r="Q62" s="214"/>
      <c r="R62" s="215"/>
      <c r="S62" s="214"/>
      <c r="T62" s="215"/>
      <c r="U62" s="214"/>
      <c r="V62" s="215"/>
      <c r="W62" s="208">
        <f t="shared" si="2"/>
        <v>76.92</v>
      </c>
      <c r="X62" s="209"/>
      <c r="Y62" s="210"/>
      <c r="Z62" s="208">
        <f t="shared" si="3"/>
        <v>47.45964</v>
      </c>
      <c r="AA62" s="209"/>
      <c r="AB62" s="210"/>
      <c r="AC62" s="54"/>
      <c r="AD62" s="55"/>
      <c r="AE62" s="56"/>
      <c r="AF62" s="54"/>
      <c r="AG62" s="55"/>
      <c r="AH62" s="57"/>
    </row>
    <row r="63" spans="1:34" ht="15.75" x14ac:dyDescent="0.25">
      <c r="A63" s="185"/>
      <c r="B63" s="186"/>
      <c r="C63" s="184"/>
      <c r="D63" s="211" t="s">
        <v>775</v>
      </c>
      <c r="E63" s="212"/>
      <c r="F63" s="212"/>
      <c r="G63" s="212"/>
      <c r="H63" s="212"/>
      <c r="I63" s="213"/>
      <c r="J63" s="66"/>
      <c r="K63" s="214">
        <f>((2*10.57)+(2*10.71)+(2*9.72)+(2*8.05)+(2*12)+(2*12))</f>
        <v>126.1</v>
      </c>
      <c r="L63" s="215"/>
      <c r="M63" s="214"/>
      <c r="N63" s="215"/>
      <c r="O63" s="214">
        <v>1</v>
      </c>
      <c r="P63" s="215"/>
      <c r="Q63" s="214"/>
      <c r="R63" s="215"/>
      <c r="S63" s="214"/>
      <c r="T63" s="215"/>
      <c r="U63" s="214"/>
      <c r="V63" s="215"/>
      <c r="W63" s="208">
        <f t="shared" si="2"/>
        <v>126.1</v>
      </c>
      <c r="X63" s="209"/>
      <c r="Y63" s="210"/>
      <c r="Z63" s="208">
        <f t="shared" si="3"/>
        <v>77.803699999999992</v>
      </c>
      <c r="AA63" s="209"/>
      <c r="AB63" s="210"/>
      <c r="AC63" s="54"/>
      <c r="AD63" s="55"/>
      <c r="AE63" s="56"/>
      <c r="AF63" s="54"/>
      <c r="AG63" s="55"/>
      <c r="AH63" s="57"/>
    </row>
    <row r="64" spans="1:34" ht="15.75" x14ac:dyDescent="0.25">
      <c r="A64" s="185"/>
      <c r="B64" s="186"/>
      <c r="C64" s="184"/>
      <c r="D64" s="211" t="s">
        <v>776</v>
      </c>
      <c r="E64" s="212"/>
      <c r="F64" s="212"/>
      <c r="G64" s="212"/>
      <c r="H64" s="212"/>
      <c r="I64" s="213"/>
      <c r="J64" s="66"/>
      <c r="K64" s="214">
        <f>((2*10.57)+(2*8.07)+(2*7.24)+(2*12))</f>
        <v>75.760000000000005</v>
      </c>
      <c r="L64" s="215"/>
      <c r="M64" s="214"/>
      <c r="N64" s="215"/>
      <c r="O64" s="214">
        <v>1</v>
      </c>
      <c r="P64" s="215"/>
      <c r="Q64" s="214"/>
      <c r="R64" s="215"/>
      <c r="S64" s="214"/>
      <c r="T64" s="215"/>
      <c r="U64" s="214"/>
      <c r="V64" s="215"/>
      <c r="W64" s="208">
        <f t="shared" si="2"/>
        <v>75.760000000000005</v>
      </c>
      <c r="X64" s="209"/>
      <c r="Y64" s="210"/>
      <c r="Z64" s="208">
        <f t="shared" si="3"/>
        <v>46.743920000000003</v>
      </c>
      <c r="AA64" s="209"/>
      <c r="AB64" s="210"/>
      <c r="AC64" s="54"/>
      <c r="AD64" s="55"/>
      <c r="AE64" s="56"/>
      <c r="AF64" s="54"/>
      <c r="AG64" s="55"/>
      <c r="AH64" s="57"/>
    </row>
    <row r="65" spans="1:35" ht="15.75" x14ac:dyDescent="0.25">
      <c r="A65" s="185"/>
      <c r="B65" s="186"/>
      <c r="C65" s="184"/>
      <c r="D65" s="211" t="s">
        <v>777</v>
      </c>
      <c r="E65" s="212"/>
      <c r="F65" s="212"/>
      <c r="G65" s="212"/>
      <c r="H65" s="212"/>
      <c r="I65" s="213"/>
      <c r="J65" s="66"/>
      <c r="K65" s="214">
        <f>((2*10.57)+(2*11.08)+(2*9.57)+(2*8.27)+1.65+(2*12)+(2*12))</f>
        <v>128.63</v>
      </c>
      <c r="L65" s="215"/>
      <c r="M65" s="214"/>
      <c r="N65" s="215"/>
      <c r="O65" s="214">
        <v>1</v>
      </c>
      <c r="P65" s="215"/>
      <c r="Q65" s="214"/>
      <c r="R65" s="215"/>
      <c r="S65" s="214"/>
      <c r="T65" s="215"/>
      <c r="U65" s="214"/>
      <c r="V65" s="215"/>
      <c r="W65" s="208">
        <f t="shared" si="2"/>
        <v>128.63</v>
      </c>
      <c r="X65" s="209"/>
      <c r="Y65" s="210"/>
      <c r="Z65" s="208">
        <f t="shared" si="3"/>
        <v>79.364710000000002</v>
      </c>
      <c r="AA65" s="209"/>
      <c r="AB65" s="210"/>
      <c r="AC65" s="54"/>
      <c r="AD65" s="55"/>
      <c r="AE65" s="56"/>
      <c r="AF65" s="54"/>
      <c r="AG65" s="55"/>
      <c r="AH65" s="57"/>
    </row>
    <row r="66" spans="1:35" ht="15.75" x14ac:dyDescent="0.25">
      <c r="A66" s="185"/>
      <c r="B66" s="186"/>
      <c r="C66" s="184"/>
      <c r="D66" s="211" t="s">
        <v>778</v>
      </c>
      <c r="E66" s="212"/>
      <c r="F66" s="212"/>
      <c r="G66" s="212"/>
      <c r="H66" s="212"/>
      <c r="I66" s="213"/>
      <c r="J66" s="66"/>
      <c r="K66" s="183">
        <f>((2*9.74)+(2*9.74))</f>
        <v>38.96</v>
      </c>
      <c r="L66" s="184"/>
      <c r="M66" s="183"/>
      <c r="N66" s="184"/>
      <c r="O66" s="214">
        <v>1</v>
      </c>
      <c r="P66" s="215"/>
      <c r="Q66" s="183"/>
      <c r="R66" s="184"/>
      <c r="S66" s="183"/>
      <c r="T66" s="184"/>
      <c r="U66" s="183"/>
      <c r="V66" s="184"/>
      <c r="W66" s="208">
        <f t="shared" si="2"/>
        <v>38.96</v>
      </c>
      <c r="X66" s="209"/>
      <c r="Y66" s="210"/>
      <c r="Z66" s="208">
        <f t="shared" si="3"/>
        <v>24.038319999999999</v>
      </c>
      <c r="AA66" s="209"/>
      <c r="AB66" s="210"/>
      <c r="AC66" s="54"/>
      <c r="AD66" s="55"/>
      <c r="AE66" s="56"/>
      <c r="AF66" s="54"/>
      <c r="AG66" s="55"/>
      <c r="AH66" s="57"/>
    </row>
    <row r="67" spans="1:35" ht="15.75" x14ac:dyDescent="0.25">
      <c r="A67" s="185"/>
      <c r="B67" s="186"/>
      <c r="C67" s="184"/>
      <c r="D67" s="211" t="s">
        <v>779</v>
      </c>
      <c r="E67" s="212"/>
      <c r="F67" s="212"/>
      <c r="G67" s="212"/>
      <c r="H67" s="212"/>
      <c r="I67" s="213"/>
      <c r="J67" s="66"/>
      <c r="K67" s="214">
        <f>1.78+1.78+2.12+2.12</f>
        <v>7.8</v>
      </c>
      <c r="L67" s="215"/>
      <c r="M67" s="214"/>
      <c r="N67" s="215"/>
      <c r="O67" s="214">
        <v>1</v>
      </c>
      <c r="P67" s="215"/>
      <c r="Q67" s="214"/>
      <c r="R67" s="215"/>
      <c r="S67" s="214"/>
      <c r="T67" s="215"/>
      <c r="U67" s="214"/>
      <c r="V67" s="215"/>
      <c r="W67" s="208">
        <f t="shared" si="2"/>
        <v>7.8</v>
      </c>
      <c r="X67" s="209"/>
      <c r="Y67" s="210"/>
      <c r="Z67" s="208">
        <f t="shared" si="3"/>
        <v>4.8125999999999998</v>
      </c>
      <c r="AA67" s="209"/>
      <c r="AB67" s="210"/>
      <c r="AC67" s="54"/>
      <c r="AD67" s="55"/>
      <c r="AE67" s="56"/>
      <c r="AF67" s="54"/>
      <c r="AG67" s="55"/>
      <c r="AH67" s="57"/>
    </row>
    <row r="68" spans="1:35" ht="15.75" x14ac:dyDescent="0.25">
      <c r="A68" s="185"/>
      <c r="B68" s="186"/>
      <c r="C68" s="184"/>
      <c r="D68" s="211" t="s">
        <v>780</v>
      </c>
      <c r="E68" s="212"/>
      <c r="F68" s="212"/>
      <c r="G68" s="212"/>
      <c r="H68" s="212"/>
      <c r="I68" s="213"/>
      <c r="J68" s="66"/>
      <c r="K68" s="214">
        <f>10.61+10.61+10.83+10.83</f>
        <v>42.879999999999995</v>
      </c>
      <c r="L68" s="215"/>
      <c r="M68" s="214"/>
      <c r="N68" s="215"/>
      <c r="O68" s="214">
        <v>1</v>
      </c>
      <c r="P68" s="215"/>
      <c r="Q68" s="214"/>
      <c r="R68" s="215"/>
      <c r="S68" s="214"/>
      <c r="T68" s="215"/>
      <c r="U68" s="214"/>
      <c r="V68" s="215"/>
      <c r="W68" s="208">
        <f t="shared" si="2"/>
        <v>42.879999999999995</v>
      </c>
      <c r="X68" s="209"/>
      <c r="Y68" s="210"/>
      <c r="Z68" s="208">
        <f t="shared" si="3"/>
        <v>26.456959999999995</v>
      </c>
      <c r="AA68" s="209"/>
      <c r="AB68" s="210"/>
      <c r="AC68" s="54"/>
      <c r="AD68" s="55"/>
      <c r="AE68" s="56"/>
      <c r="AF68" s="54"/>
      <c r="AG68" s="55"/>
      <c r="AH68" s="57"/>
    </row>
    <row r="69" spans="1:35" ht="15.75" x14ac:dyDescent="0.25">
      <c r="A69" s="185"/>
      <c r="B69" s="186"/>
      <c r="C69" s="184"/>
      <c r="D69" s="211" t="s">
        <v>781</v>
      </c>
      <c r="E69" s="212"/>
      <c r="F69" s="212"/>
      <c r="G69" s="212"/>
      <c r="H69" s="212"/>
      <c r="I69" s="213"/>
      <c r="J69" s="66"/>
      <c r="K69" s="214">
        <f>10.66+10.66+8.47+8.47+4.26+4.26+7.53+7.53+12+12</f>
        <v>85.84</v>
      </c>
      <c r="L69" s="215"/>
      <c r="M69" s="214"/>
      <c r="N69" s="215"/>
      <c r="O69" s="214">
        <v>1</v>
      </c>
      <c r="P69" s="215"/>
      <c r="Q69" s="214"/>
      <c r="R69" s="215"/>
      <c r="S69" s="214"/>
      <c r="T69" s="215"/>
      <c r="U69" s="214"/>
      <c r="V69" s="215"/>
      <c r="W69" s="208">
        <f t="shared" si="2"/>
        <v>85.84</v>
      </c>
      <c r="X69" s="209"/>
      <c r="Y69" s="210"/>
      <c r="Z69" s="208">
        <f t="shared" si="3"/>
        <v>52.963280000000005</v>
      </c>
      <c r="AA69" s="209"/>
      <c r="AB69" s="210"/>
      <c r="AC69" s="54"/>
      <c r="AD69" s="55"/>
      <c r="AE69" s="56"/>
      <c r="AF69" s="54"/>
      <c r="AG69" s="55"/>
      <c r="AH69" s="57"/>
    </row>
    <row r="70" spans="1:35" ht="15.75" x14ac:dyDescent="0.25">
      <c r="A70" s="185"/>
      <c r="B70" s="186"/>
      <c r="C70" s="184"/>
      <c r="D70" s="211" t="s">
        <v>782</v>
      </c>
      <c r="E70" s="212"/>
      <c r="F70" s="212"/>
      <c r="G70" s="212"/>
      <c r="H70" s="212"/>
      <c r="I70" s="213"/>
      <c r="J70" s="66"/>
      <c r="K70" s="214">
        <f>8.07+8.07+10.04+10.04+9.72+9.72+8.56+8.56+12+12+1.8+1.8+4.47+5.02+12+12</f>
        <v>133.87</v>
      </c>
      <c r="L70" s="215"/>
      <c r="M70" s="214"/>
      <c r="N70" s="215"/>
      <c r="O70" s="214">
        <v>1</v>
      </c>
      <c r="P70" s="215"/>
      <c r="Q70" s="214"/>
      <c r="R70" s="215"/>
      <c r="S70" s="214"/>
      <c r="T70" s="215"/>
      <c r="U70" s="214"/>
      <c r="V70" s="215"/>
      <c r="W70" s="208">
        <f t="shared" si="2"/>
        <v>133.87</v>
      </c>
      <c r="X70" s="209"/>
      <c r="Y70" s="210"/>
      <c r="Z70" s="208">
        <f t="shared" si="3"/>
        <v>82.597790000000003</v>
      </c>
      <c r="AA70" s="209"/>
      <c r="AB70" s="210"/>
      <c r="AC70" s="54"/>
      <c r="AD70" s="55"/>
      <c r="AE70" s="56"/>
      <c r="AF70" s="54"/>
      <c r="AG70" s="55"/>
      <c r="AH70" s="57"/>
    </row>
    <row r="71" spans="1:35" ht="15.75" x14ac:dyDescent="0.25">
      <c r="A71" s="185"/>
      <c r="B71" s="186"/>
      <c r="C71" s="184"/>
      <c r="D71" s="211" t="s">
        <v>783</v>
      </c>
      <c r="E71" s="212"/>
      <c r="F71" s="212"/>
      <c r="G71" s="212"/>
      <c r="H71" s="212"/>
      <c r="I71" s="213"/>
      <c r="J71" s="66"/>
      <c r="K71" s="214">
        <f>10.82+10.82+4.26+4.26+1.91+1.91+1.59+7.15+7.15</f>
        <v>49.86999999999999</v>
      </c>
      <c r="L71" s="215"/>
      <c r="M71" s="214"/>
      <c r="N71" s="215"/>
      <c r="O71" s="214">
        <v>1</v>
      </c>
      <c r="P71" s="215"/>
      <c r="Q71" s="214"/>
      <c r="R71" s="215"/>
      <c r="S71" s="214"/>
      <c r="T71" s="215"/>
      <c r="U71" s="214"/>
      <c r="V71" s="215"/>
      <c r="W71" s="208">
        <f t="shared" si="2"/>
        <v>49.86999999999999</v>
      </c>
      <c r="X71" s="209"/>
      <c r="Y71" s="210"/>
      <c r="Z71" s="208">
        <f t="shared" si="3"/>
        <v>30.769789999999993</v>
      </c>
      <c r="AA71" s="209"/>
      <c r="AB71" s="210"/>
      <c r="AC71" s="54"/>
      <c r="AD71" s="55"/>
      <c r="AE71" s="56"/>
      <c r="AF71" s="54"/>
      <c r="AG71" s="55"/>
      <c r="AH71" s="57"/>
    </row>
    <row r="72" spans="1:35" ht="15.75" x14ac:dyDescent="0.25">
      <c r="A72" s="189" t="str">
        <f>'MEMORIA BM 08'!A41</f>
        <v>5.4</v>
      </c>
      <c r="B72" s="190"/>
      <c r="C72" s="191"/>
      <c r="D72" s="218" t="str">
        <f>'MEMORIA BM 08'!B41</f>
        <v>ARMAÇÃO DE PILAR OU VIGA DE UMA ESTRUTURA CONVENCIONAL DE CONCRETO ARMADO EM UMA EDIFICAÇÃO TÉRREA OU SOBRADO UTILIZANDO AÇO CA-50 DE 12,5 MM - MONTAGEM. AF_12/2015</v>
      </c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20"/>
      <c r="AC72" s="195">
        <f>SUM(Z73:AB74)</f>
        <v>84.426209999999983</v>
      </c>
      <c r="AD72" s="190"/>
      <c r="AE72" s="191"/>
      <c r="AF72" s="195" t="s">
        <v>361</v>
      </c>
      <c r="AG72" s="190"/>
      <c r="AH72" s="196"/>
      <c r="AI72">
        <v>84.43</v>
      </c>
    </row>
    <row r="73" spans="1:35" ht="15.75" x14ac:dyDescent="0.25">
      <c r="A73" s="185"/>
      <c r="B73" s="186"/>
      <c r="C73" s="184"/>
      <c r="D73" s="211" t="s">
        <v>782</v>
      </c>
      <c r="E73" s="212"/>
      <c r="F73" s="212"/>
      <c r="G73" s="212"/>
      <c r="H73" s="212"/>
      <c r="I73" s="213"/>
      <c r="J73" s="66"/>
      <c r="K73" s="183">
        <f>3.7+3.7+2.09</f>
        <v>9.49</v>
      </c>
      <c r="L73" s="184"/>
      <c r="M73" s="183"/>
      <c r="N73" s="184"/>
      <c r="O73" s="214">
        <v>1</v>
      </c>
      <c r="P73" s="215"/>
      <c r="Q73" s="183"/>
      <c r="R73" s="184"/>
      <c r="S73" s="183"/>
      <c r="T73" s="184"/>
      <c r="U73" s="183"/>
      <c r="V73" s="184"/>
      <c r="W73" s="208">
        <f>K73*O73</f>
        <v>9.49</v>
      </c>
      <c r="X73" s="209"/>
      <c r="Y73" s="210"/>
      <c r="Z73" s="208">
        <f>W73*0.963</f>
        <v>9.1388700000000007</v>
      </c>
      <c r="AA73" s="209"/>
      <c r="AB73" s="210"/>
      <c r="AC73" s="54"/>
      <c r="AD73" s="55"/>
      <c r="AE73" s="56"/>
      <c r="AF73" s="54"/>
      <c r="AG73" s="55"/>
      <c r="AH73" s="57"/>
    </row>
    <row r="74" spans="1:35" ht="15.75" x14ac:dyDescent="0.25">
      <c r="A74" s="185"/>
      <c r="B74" s="186"/>
      <c r="C74" s="184"/>
      <c r="D74" s="211" t="s">
        <v>783</v>
      </c>
      <c r="E74" s="212"/>
      <c r="F74" s="212"/>
      <c r="G74" s="212"/>
      <c r="H74" s="212"/>
      <c r="I74" s="213"/>
      <c r="J74" s="66"/>
      <c r="K74" s="214">
        <f>2.9+2.9+3.82+4.39+4.39+2.13+2.13+10.69+10.69+11.97+11.97+3.25+2.8+2.2+1.95</f>
        <v>78.179999999999993</v>
      </c>
      <c r="L74" s="215"/>
      <c r="M74" s="214"/>
      <c r="N74" s="215"/>
      <c r="O74" s="214">
        <v>1</v>
      </c>
      <c r="P74" s="215"/>
      <c r="Q74" s="214"/>
      <c r="R74" s="215"/>
      <c r="S74" s="214"/>
      <c r="T74" s="215"/>
      <c r="U74" s="214"/>
      <c r="V74" s="215"/>
      <c r="W74" s="208">
        <f>K74*O74</f>
        <v>78.179999999999993</v>
      </c>
      <c r="X74" s="209"/>
      <c r="Y74" s="210"/>
      <c r="Z74" s="208">
        <f>W74*0.963</f>
        <v>75.287339999999986</v>
      </c>
      <c r="AA74" s="209"/>
      <c r="AB74" s="210"/>
      <c r="AC74" s="54"/>
      <c r="AD74" s="55"/>
      <c r="AE74" s="56"/>
      <c r="AF74" s="54"/>
      <c r="AG74" s="55"/>
      <c r="AH74" s="57"/>
    </row>
    <row r="75" spans="1:35" ht="15.75" x14ac:dyDescent="0.25">
      <c r="A75" s="189" t="str">
        <f>'MEMORIA BM 08'!A42</f>
        <v>5.5</v>
      </c>
      <c r="B75" s="190"/>
      <c r="C75" s="191"/>
      <c r="D75" s="218" t="str">
        <f>'MEMORIA BM 08'!B42</f>
        <v>ARMAÇÃO DE PILAR OU VIGA DE UMA ESTRUTURA CONVENCIONAL DE CONCRETO ARMADO EM UMA EDIFICAÇÃO TÉRREA OU SOBRADO UTILIZANDO AÇO CA-60 DE 5,0 MM - MONTAGEM. AF_12/2015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20"/>
      <c r="AC75" s="195">
        <f>SUM(Z76:AB101)</f>
        <v>440.12122000000005</v>
      </c>
      <c r="AD75" s="190"/>
      <c r="AE75" s="191"/>
      <c r="AF75" s="195" t="str">
        <f>'MEMORIA BM 08'!C42</f>
        <v>KG</v>
      </c>
      <c r="AG75" s="190"/>
      <c r="AH75" s="196"/>
      <c r="AI75">
        <v>440.12</v>
      </c>
    </row>
    <row r="76" spans="1:35" ht="15.75" x14ac:dyDescent="0.25">
      <c r="A76" s="185"/>
      <c r="B76" s="186"/>
      <c r="C76" s="184"/>
      <c r="D76" s="216" t="s">
        <v>758</v>
      </c>
      <c r="E76" s="217"/>
      <c r="F76" s="217"/>
      <c r="G76" s="217"/>
      <c r="H76" s="217"/>
      <c r="I76" s="217"/>
      <c r="J76" s="66"/>
      <c r="K76" s="214">
        <f>183*0.77</f>
        <v>140.91</v>
      </c>
      <c r="L76" s="215"/>
      <c r="M76" s="214"/>
      <c r="N76" s="215"/>
      <c r="O76" s="214">
        <v>1</v>
      </c>
      <c r="P76" s="215"/>
      <c r="Q76" s="214"/>
      <c r="R76" s="215"/>
      <c r="S76" s="214"/>
      <c r="T76" s="215"/>
      <c r="U76" s="214"/>
      <c r="V76" s="215"/>
      <c r="W76" s="208">
        <f t="shared" ref="W76:W101" si="4">K76*O76</f>
        <v>140.91</v>
      </c>
      <c r="X76" s="209"/>
      <c r="Y76" s="210"/>
      <c r="Z76" s="208">
        <f>W76*0.154</f>
        <v>21.700139999999998</v>
      </c>
      <c r="AA76" s="209"/>
      <c r="AB76" s="210"/>
      <c r="AC76" s="54"/>
      <c r="AD76" s="55"/>
      <c r="AE76" s="56"/>
      <c r="AF76" s="54"/>
      <c r="AG76" s="55"/>
      <c r="AH76" s="57"/>
    </row>
    <row r="77" spans="1:35" ht="15.75" x14ac:dyDescent="0.25">
      <c r="A77" s="185"/>
      <c r="B77" s="186"/>
      <c r="C77" s="184"/>
      <c r="D77" s="216" t="s">
        <v>759</v>
      </c>
      <c r="E77" s="217"/>
      <c r="F77" s="217"/>
      <c r="G77" s="217"/>
      <c r="H77" s="217"/>
      <c r="I77" s="217"/>
      <c r="J77" s="66"/>
      <c r="K77" s="214">
        <f>26*0.77</f>
        <v>20.02</v>
      </c>
      <c r="L77" s="215"/>
      <c r="M77" s="214"/>
      <c r="N77" s="215"/>
      <c r="O77" s="214">
        <v>1</v>
      </c>
      <c r="P77" s="215"/>
      <c r="Q77" s="214"/>
      <c r="R77" s="215"/>
      <c r="S77" s="214"/>
      <c r="T77" s="215"/>
      <c r="U77" s="214"/>
      <c r="V77" s="215"/>
      <c r="W77" s="208">
        <f t="shared" si="4"/>
        <v>20.02</v>
      </c>
      <c r="X77" s="209"/>
      <c r="Y77" s="210"/>
      <c r="Z77" s="208">
        <f t="shared" ref="Z77:Z101" si="5">W77*0.154</f>
        <v>3.0830799999999998</v>
      </c>
      <c r="AA77" s="209"/>
      <c r="AB77" s="210"/>
      <c r="AC77" s="54"/>
      <c r="AD77" s="55"/>
      <c r="AE77" s="56"/>
      <c r="AF77" s="54"/>
      <c r="AG77" s="55"/>
      <c r="AH77" s="57"/>
    </row>
    <row r="78" spans="1:35" ht="15.75" x14ac:dyDescent="0.25">
      <c r="A78" s="185"/>
      <c r="B78" s="186"/>
      <c r="C78" s="184"/>
      <c r="D78" s="216" t="s">
        <v>760</v>
      </c>
      <c r="E78" s="217"/>
      <c r="F78" s="217"/>
      <c r="G78" s="217"/>
      <c r="H78" s="217"/>
      <c r="I78" s="217"/>
      <c r="J78" s="66"/>
      <c r="K78" s="214">
        <f>25*0.77</f>
        <v>19.25</v>
      </c>
      <c r="L78" s="215"/>
      <c r="M78" s="214"/>
      <c r="N78" s="215"/>
      <c r="O78" s="214">
        <v>1</v>
      </c>
      <c r="P78" s="215"/>
      <c r="Q78" s="214"/>
      <c r="R78" s="215"/>
      <c r="S78" s="214"/>
      <c r="T78" s="215"/>
      <c r="U78" s="214"/>
      <c r="V78" s="215"/>
      <c r="W78" s="208">
        <f t="shared" si="4"/>
        <v>19.25</v>
      </c>
      <c r="X78" s="209"/>
      <c r="Y78" s="210"/>
      <c r="Z78" s="208">
        <f t="shared" si="5"/>
        <v>2.9645000000000001</v>
      </c>
      <c r="AA78" s="209"/>
      <c r="AB78" s="210"/>
      <c r="AC78" s="54"/>
      <c r="AD78" s="55"/>
      <c r="AE78" s="56"/>
      <c r="AF78" s="54"/>
      <c r="AG78" s="55"/>
      <c r="AH78" s="57"/>
    </row>
    <row r="79" spans="1:35" ht="15.75" x14ac:dyDescent="0.25">
      <c r="A79" s="185"/>
      <c r="B79" s="186"/>
      <c r="C79" s="184"/>
      <c r="D79" s="216" t="s">
        <v>761</v>
      </c>
      <c r="E79" s="217"/>
      <c r="F79" s="217"/>
      <c r="G79" s="217"/>
      <c r="H79" s="217"/>
      <c r="I79" s="217"/>
      <c r="J79" s="66"/>
      <c r="K79" s="214">
        <f>26*0.77</f>
        <v>20.02</v>
      </c>
      <c r="L79" s="215"/>
      <c r="M79" s="214"/>
      <c r="N79" s="215"/>
      <c r="O79" s="214">
        <v>1</v>
      </c>
      <c r="P79" s="215"/>
      <c r="Q79" s="214"/>
      <c r="R79" s="215"/>
      <c r="S79" s="214"/>
      <c r="T79" s="215"/>
      <c r="U79" s="214"/>
      <c r="V79" s="215"/>
      <c r="W79" s="208">
        <f t="shared" si="4"/>
        <v>20.02</v>
      </c>
      <c r="X79" s="209"/>
      <c r="Y79" s="210"/>
      <c r="Z79" s="208">
        <f t="shared" si="5"/>
        <v>3.0830799999999998</v>
      </c>
      <c r="AA79" s="209"/>
      <c r="AB79" s="210"/>
      <c r="AC79" s="54"/>
      <c r="AD79" s="55"/>
      <c r="AE79" s="56"/>
      <c r="AF79" s="54"/>
      <c r="AG79" s="55"/>
      <c r="AH79" s="57"/>
    </row>
    <row r="80" spans="1:35" ht="15.75" x14ac:dyDescent="0.25">
      <c r="A80" s="185"/>
      <c r="B80" s="186"/>
      <c r="C80" s="184"/>
      <c r="D80" s="216" t="s">
        <v>762</v>
      </c>
      <c r="E80" s="217"/>
      <c r="F80" s="217"/>
      <c r="G80" s="217"/>
      <c r="H80" s="217"/>
      <c r="I80" s="217"/>
      <c r="J80" s="66"/>
      <c r="K80" s="214">
        <f>51*0.77</f>
        <v>39.270000000000003</v>
      </c>
      <c r="L80" s="215"/>
      <c r="M80" s="214"/>
      <c r="N80" s="215"/>
      <c r="O80" s="214">
        <v>1</v>
      </c>
      <c r="P80" s="215"/>
      <c r="Q80" s="183"/>
      <c r="R80" s="184"/>
      <c r="S80" s="183"/>
      <c r="T80" s="184"/>
      <c r="U80" s="183"/>
      <c r="V80" s="184"/>
      <c r="W80" s="208">
        <f t="shared" si="4"/>
        <v>39.270000000000003</v>
      </c>
      <c r="X80" s="209"/>
      <c r="Y80" s="210"/>
      <c r="Z80" s="208">
        <f t="shared" si="5"/>
        <v>6.0475800000000008</v>
      </c>
      <c r="AA80" s="209"/>
      <c r="AB80" s="210"/>
      <c r="AC80" s="54"/>
      <c r="AD80" s="55"/>
      <c r="AE80" s="56"/>
      <c r="AF80" s="54"/>
      <c r="AG80" s="55"/>
      <c r="AH80" s="57"/>
    </row>
    <row r="81" spans="1:34" ht="15.75" x14ac:dyDescent="0.25">
      <c r="A81" s="185"/>
      <c r="B81" s="186"/>
      <c r="C81" s="184"/>
      <c r="D81" s="216" t="s">
        <v>763</v>
      </c>
      <c r="E81" s="217"/>
      <c r="F81" s="217"/>
      <c r="G81" s="217"/>
      <c r="H81" s="217"/>
      <c r="I81" s="217"/>
      <c r="J81" s="66"/>
      <c r="K81" s="214">
        <f>14*0.77</f>
        <v>10.780000000000001</v>
      </c>
      <c r="L81" s="215"/>
      <c r="M81" s="214"/>
      <c r="N81" s="215"/>
      <c r="O81" s="214">
        <v>1</v>
      </c>
      <c r="P81" s="215"/>
      <c r="Q81" s="214"/>
      <c r="R81" s="215"/>
      <c r="S81" s="214"/>
      <c r="T81" s="215"/>
      <c r="U81" s="214"/>
      <c r="V81" s="215"/>
      <c r="W81" s="208">
        <f t="shared" si="4"/>
        <v>10.780000000000001</v>
      </c>
      <c r="X81" s="209"/>
      <c r="Y81" s="210"/>
      <c r="Z81" s="208">
        <f t="shared" si="5"/>
        <v>1.6601200000000003</v>
      </c>
      <c r="AA81" s="209"/>
      <c r="AB81" s="210"/>
      <c r="AC81" s="54"/>
      <c r="AD81" s="55"/>
      <c r="AE81" s="56"/>
      <c r="AF81" s="54"/>
      <c r="AG81" s="55"/>
      <c r="AH81" s="57"/>
    </row>
    <row r="82" spans="1:34" ht="15.75" x14ac:dyDescent="0.25">
      <c r="A82" s="185"/>
      <c r="B82" s="186"/>
      <c r="C82" s="184"/>
      <c r="D82" s="216" t="s">
        <v>764</v>
      </c>
      <c r="E82" s="217"/>
      <c r="F82" s="217"/>
      <c r="G82" s="217"/>
      <c r="H82" s="217"/>
      <c r="I82" s="217"/>
      <c r="J82" s="66"/>
      <c r="K82" s="214">
        <f>308*0.77</f>
        <v>237.16</v>
      </c>
      <c r="L82" s="215"/>
      <c r="M82" s="214"/>
      <c r="N82" s="215"/>
      <c r="O82" s="214">
        <v>1</v>
      </c>
      <c r="P82" s="215"/>
      <c r="Q82" s="214"/>
      <c r="R82" s="215"/>
      <c r="S82" s="214"/>
      <c r="T82" s="215"/>
      <c r="U82" s="214"/>
      <c r="V82" s="215"/>
      <c r="W82" s="208">
        <f t="shared" si="4"/>
        <v>237.16</v>
      </c>
      <c r="X82" s="209"/>
      <c r="Y82" s="210"/>
      <c r="Z82" s="208">
        <f t="shared" si="5"/>
        <v>36.522639999999996</v>
      </c>
      <c r="AA82" s="209"/>
      <c r="AB82" s="210"/>
      <c r="AC82" s="54"/>
      <c r="AD82" s="55"/>
      <c r="AE82" s="56"/>
      <c r="AF82" s="54"/>
      <c r="AG82" s="55"/>
      <c r="AH82" s="57"/>
    </row>
    <row r="83" spans="1:34" ht="15.75" x14ac:dyDescent="0.25">
      <c r="A83" s="185"/>
      <c r="B83" s="186"/>
      <c r="C83" s="184"/>
      <c r="D83" s="216" t="s">
        <v>765</v>
      </c>
      <c r="E83" s="217"/>
      <c r="F83" s="217"/>
      <c r="G83" s="217"/>
      <c r="H83" s="217"/>
      <c r="I83" s="217"/>
      <c r="J83" s="66"/>
      <c r="K83" s="214">
        <f>52*0.77</f>
        <v>40.04</v>
      </c>
      <c r="L83" s="215"/>
      <c r="M83" s="214"/>
      <c r="N83" s="215"/>
      <c r="O83" s="214">
        <v>1</v>
      </c>
      <c r="P83" s="215"/>
      <c r="Q83" s="214"/>
      <c r="R83" s="215"/>
      <c r="S83" s="214"/>
      <c r="T83" s="215"/>
      <c r="U83" s="214"/>
      <c r="V83" s="215"/>
      <c r="W83" s="208">
        <f t="shared" si="4"/>
        <v>40.04</v>
      </c>
      <c r="X83" s="209"/>
      <c r="Y83" s="210"/>
      <c r="Z83" s="208">
        <f t="shared" si="5"/>
        <v>6.1661599999999996</v>
      </c>
      <c r="AA83" s="209"/>
      <c r="AB83" s="210"/>
      <c r="AC83" s="54"/>
      <c r="AD83" s="55"/>
      <c r="AE83" s="56"/>
      <c r="AF83" s="54"/>
      <c r="AG83" s="55"/>
      <c r="AH83" s="57"/>
    </row>
    <row r="84" spans="1:34" ht="15.75" x14ac:dyDescent="0.25">
      <c r="A84" s="185"/>
      <c r="B84" s="186"/>
      <c r="C84" s="184"/>
      <c r="D84" s="216" t="s">
        <v>766</v>
      </c>
      <c r="E84" s="217"/>
      <c r="F84" s="217"/>
      <c r="G84" s="217"/>
      <c r="H84" s="217"/>
      <c r="I84" s="217"/>
      <c r="J84" s="66"/>
      <c r="K84" s="214">
        <f>13*0.77</f>
        <v>10.01</v>
      </c>
      <c r="L84" s="215"/>
      <c r="M84" s="214"/>
      <c r="N84" s="215"/>
      <c r="O84" s="214">
        <v>1</v>
      </c>
      <c r="P84" s="215"/>
      <c r="Q84" s="214"/>
      <c r="R84" s="215"/>
      <c r="S84" s="214"/>
      <c r="T84" s="215"/>
      <c r="U84" s="214"/>
      <c r="V84" s="215"/>
      <c r="W84" s="208">
        <f t="shared" si="4"/>
        <v>10.01</v>
      </c>
      <c r="X84" s="209"/>
      <c r="Y84" s="210"/>
      <c r="Z84" s="208">
        <f t="shared" si="5"/>
        <v>1.5415399999999999</v>
      </c>
      <c r="AA84" s="209"/>
      <c r="AB84" s="210"/>
      <c r="AC84" s="54"/>
      <c r="AD84" s="55"/>
      <c r="AE84" s="56"/>
      <c r="AF84" s="54"/>
      <c r="AG84" s="55"/>
      <c r="AH84" s="57"/>
    </row>
    <row r="85" spans="1:34" ht="15.75" x14ac:dyDescent="0.25">
      <c r="A85" s="185"/>
      <c r="B85" s="186"/>
      <c r="C85" s="184"/>
      <c r="D85" s="216" t="s">
        <v>767</v>
      </c>
      <c r="E85" s="217"/>
      <c r="F85" s="217"/>
      <c r="G85" s="217"/>
      <c r="H85" s="217"/>
      <c r="I85" s="217"/>
      <c r="J85" s="66"/>
      <c r="K85" s="214">
        <f>295*0.97</f>
        <v>286.14999999999998</v>
      </c>
      <c r="L85" s="215"/>
      <c r="M85" s="214"/>
      <c r="N85" s="215"/>
      <c r="O85" s="214">
        <v>1</v>
      </c>
      <c r="P85" s="215"/>
      <c r="Q85" s="214"/>
      <c r="R85" s="215"/>
      <c r="S85" s="214"/>
      <c r="T85" s="215"/>
      <c r="U85" s="214"/>
      <c r="V85" s="215"/>
      <c r="W85" s="208">
        <f t="shared" si="4"/>
        <v>286.14999999999998</v>
      </c>
      <c r="X85" s="209"/>
      <c r="Y85" s="210"/>
      <c r="Z85" s="208">
        <f t="shared" si="5"/>
        <v>44.067099999999996</v>
      </c>
      <c r="AA85" s="209"/>
      <c r="AB85" s="210"/>
      <c r="AC85" s="54"/>
      <c r="AD85" s="55"/>
      <c r="AE85" s="56"/>
      <c r="AF85" s="54"/>
      <c r="AG85" s="55"/>
      <c r="AH85" s="57"/>
    </row>
    <row r="86" spans="1:34" ht="15.75" x14ac:dyDescent="0.25">
      <c r="A86" s="185"/>
      <c r="B86" s="186"/>
      <c r="C86" s="184"/>
      <c r="D86" s="216" t="s">
        <v>768</v>
      </c>
      <c r="E86" s="217"/>
      <c r="F86" s="217"/>
      <c r="G86" s="217"/>
      <c r="H86" s="217"/>
      <c r="I86" s="217"/>
      <c r="J86" s="66"/>
      <c r="K86" s="214">
        <f>34*0.77</f>
        <v>26.18</v>
      </c>
      <c r="L86" s="215"/>
      <c r="M86" s="214"/>
      <c r="N86" s="215"/>
      <c r="O86" s="214">
        <v>1</v>
      </c>
      <c r="P86" s="215"/>
      <c r="Q86" s="214"/>
      <c r="R86" s="215"/>
      <c r="S86" s="214"/>
      <c r="T86" s="215"/>
      <c r="U86" s="214"/>
      <c r="V86" s="215"/>
      <c r="W86" s="208">
        <f t="shared" si="4"/>
        <v>26.18</v>
      </c>
      <c r="X86" s="209"/>
      <c r="Y86" s="210"/>
      <c r="Z86" s="208">
        <f t="shared" si="5"/>
        <v>4.03172</v>
      </c>
      <c r="AA86" s="209"/>
      <c r="AB86" s="210"/>
      <c r="AC86" s="54"/>
      <c r="AD86" s="55"/>
      <c r="AE86" s="56"/>
      <c r="AF86" s="54"/>
      <c r="AG86" s="55"/>
      <c r="AH86" s="57"/>
    </row>
    <row r="87" spans="1:34" ht="15.75" x14ac:dyDescent="0.25">
      <c r="A87" s="185"/>
      <c r="B87" s="186"/>
      <c r="C87" s="184"/>
      <c r="D87" s="216" t="s">
        <v>769</v>
      </c>
      <c r="E87" s="217"/>
      <c r="F87" s="217"/>
      <c r="G87" s="217"/>
      <c r="H87" s="217"/>
      <c r="I87" s="217"/>
      <c r="J87" s="66"/>
      <c r="K87" s="214">
        <f>44*0.77</f>
        <v>33.880000000000003</v>
      </c>
      <c r="L87" s="215"/>
      <c r="M87" s="214"/>
      <c r="N87" s="215"/>
      <c r="O87" s="214">
        <v>1</v>
      </c>
      <c r="P87" s="215"/>
      <c r="Q87" s="214"/>
      <c r="R87" s="215"/>
      <c r="S87" s="214"/>
      <c r="T87" s="215"/>
      <c r="U87" s="214"/>
      <c r="V87" s="215"/>
      <c r="W87" s="208">
        <f t="shared" si="4"/>
        <v>33.880000000000003</v>
      </c>
      <c r="X87" s="209"/>
      <c r="Y87" s="210"/>
      <c r="Z87" s="208">
        <f t="shared" si="5"/>
        <v>5.2175200000000004</v>
      </c>
      <c r="AA87" s="209"/>
      <c r="AB87" s="210"/>
      <c r="AC87" s="54"/>
      <c r="AD87" s="55"/>
      <c r="AE87" s="56"/>
      <c r="AF87" s="54"/>
      <c r="AG87" s="55"/>
      <c r="AH87" s="57"/>
    </row>
    <row r="88" spans="1:34" ht="15.75" x14ac:dyDescent="0.25">
      <c r="A88" s="185"/>
      <c r="B88" s="186"/>
      <c r="C88" s="184"/>
      <c r="D88" s="216" t="s">
        <v>770</v>
      </c>
      <c r="E88" s="217"/>
      <c r="F88" s="217"/>
      <c r="G88" s="217"/>
      <c r="H88" s="217"/>
      <c r="I88" s="217"/>
      <c r="J88" s="66"/>
      <c r="K88" s="183">
        <f>321*0.97</f>
        <v>311.37</v>
      </c>
      <c r="L88" s="184"/>
      <c r="M88" s="183"/>
      <c r="N88" s="184"/>
      <c r="O88" s="214">
        <v>1</v>
      </c>
      <c r="P88" s="215"/>
      <c r="Q88" s="183"/>
      <c r="R88" s="184"/>
      <c r="S88" s="183"/>
      <c r="T88" s="184"/>
      <c r="U88" s="183"/>
      <c r="V88" s="184"/>
      <c r="W88" s="208">
        <f t="shared" si="4"/>
        <v>311.37</v>
      </c>
      <c r="X88" s="209"/>
      <c r="Y88" s="210"/>
      <c r="Z88" s="208">
        <f t="shared" si="5"/>
        <v>47.950980000000001</v>
      </c>
      <c r="AA88" s="209"/>
      <c r="AB88" s="210"/>
      <c r="AC88" s="54"/>
      <c r="AD88" s="55"/>
      <c r="AE88" s="56"/>
      <c r="AF88" s="54"/>
      <c r="AG88" s="55"/>
      <c r="AH88" s="57"/>
    </row>
    <row r="89" spans="1:34" ht="15.75" x14ac:dyDescent="0.25">
      <c r="A89" s="185"/>
      <c r="B89" s="186"/>
      <c r="C89" s="184"/>
      <c r="D89" s="211" t="s">
        <v>771</v>
      </c>
      <c r="E89" s="212"/>
      <c r="F89" s="212"/>
      <c r="G89" s="212"/>
      <c r="H89" s="212"/>
      <c r="I89" s="213"/>
      <c r="J89" s="66"/>
      <c r="K89" s="214">
        <f>83*0.97</f>
        <v>80.509999999999991</v>
      </c>
      <c r="L89" s="215"/>
      <c r="M89" s="214"/>
      <c r="N89" s="215"/>
      <c r="O89" s="214">
        <v>1</v>
      </c>
      <c r="P89" s="215"/>
      <c r="Q89" s="214"/>
      <c r="R89" s="215"/>
      <c r="S89" s="214"/>
      <c r="T89" s="215"/>
      <c r="U89" s="214"/>
      <c r="V89" s="215"/>
      <c r="W89" s="208">
        <f t="shared" si="4"/>
        <v>80.509999999999991</v>
      </c>
      <c r="X89" s="209"/>
      <c r="Y89" s="210"/>
      <c r="Z89" s="208">
        <f t="shared" si="5"/>
        <v>12.398539999999999</v>
      </c>
      <c r="AA89" s="209"/>
      <c r="AB89" s="210"/>
      <c r="AC89" s="54"/>
      <c r="AD89" s="55"/>
      <c r="AE89" s="56"/>
      <c r="AF89" s="54"/>
      <c r="AG89" s="55"/>
      <c r="AH89" s="57"/>
    </row>
    <row r="90" spans="1:34" ht="15.75" x14ac:dyDescent="0.25">
      <c r="A90" s="185"/>
      <c r="B90" s="186"/>
      <c r="C90" s="184"/>
      <c r="D90" s="211" t="s">
        <v>772</v>
      </c>
      <c r="E90" s="212"/>
      <c r="F90" s="212"/>
      <c r="G90" s="212"/>
      <c r="H90" s="212"/>
      <c r="I90" s="213"/>
      <c r="J90" s="66"/>
      <c r="K90" s="214">
        <f>302*0.77</f>
        <v>232.54</v>
      </c>
      <c r="L90" s="215"/>
      <c r="M90" s="214"/>
      <c r="N90" s="215"/>
      <c r="O90" s="214">
        <v>1</v>
      </c>
      <c r="P90" s="215"/>
      <c r="Q90" s="214"/>
      <c r="R90" s="215"/>
      <c r="S90" s="214"/>
      <c r="T90" s="215"/>
      <c r="U90" s="214"/>
      <c r="V90" s="215"/>
      <c r="W90" s="208">
        <f t="shared" si="4"/>
        <v>232.54</v>
      </c>
      <c r="X90" s="209"/>
      <c r="Y90" s="210"/>
      <c r="Z90" s="208">
        <f t="shared" si="5"/>
        <v>35.811160000000001</v>
      </c>
      <c r="AA90" s="209"/>
      <c r="AB90" s="210"/>
      <c r="AC90" s="54"/>
      <c r="AD90" s="55"/>
      <c r="AE90" s="56"/>
      <c r="AF90" s="54"/>
      <c r="AG90" s="55"/>
      <c r="AH90" s="57"/>
    </row>
    <row r="91" spans="1:34" ht="15.75" x14ac:dyDescent="0.25">
      <c r="A91" s="185"/>
      <c r="B91" s="186"/>
      <c r="C91" s="184"/>
      <c r="D91" s="211" t="s">
        <v>773</v>
      </c>
      <c r="E91" s="212"/>
      <c r="F91" s="212"/>
      <c r="G91" s="212"/>
      <c r="H91" s="212"/>
      <c r="I91" s="213"/>
      <c r="J91" s="66"/>
      <c r="K91" s="214">
        <f>82*0.77</f>
        <v>63.14</v>
      </c>
      <c r="L91" s="215"/>
      <c r="M91" s="214"/>
      <c r="N91" s="215"/>
      <c r="O91" s="214">
        <v>1</v>
      </c>
      <c r="P91" s="215"/>
      <c r="Q91" s="214"/>
      <c r="R91" s="215"/>
      <c r="S91" s="214"/>
      <c r="T91" s="215"/>
      <c r="U91" s="214"/>
      <c r="V91" s="215"/>
      <c r="W91" s="208">
        <f t="shared" si="4"/>
        <v>63.14</v>
      </c>
      <c r="X91" s="209"/>
      <c r="Y91" s="210"/>
      <c r="Z91" s="208">
        <f t="shared" si="5"/>
        <v>9.7235599999999991</v>
      </c>
      <c r="AA91" s="209"/>
      <c r="AB91" s="210"/>
      <c r="AC91" s="54"/>
      <c r="AD91" s="55"/>
      <c r="AE91" s="56"/>
      <c r="AF91" s="54"/>
      <c r="AG91" s="55"/>
      <c r="AH91" s="57"/>
    </row>
    <row r="92" spans="1:34" ht="15.75" x14ac:dyDescent="0.25">
      <c r="A92" s="185"/>
      <c r="B92" s="186"/>
      <c r="C92" s="184"/>
      <c r="D92" s="211" t="s">
        <v>774</v>
      </c>
      <c r="E92" s="212"/>
      <c r="F92" s="212"/>
      <c r="G92" s="212"/>
      <c r="H92" s="212"/>
      <c r="I92" s="213"/>
      <c r="J92" s="66"/>
      <c r="K92" s="214">
        <f>146*0.77</f>
        <v>112.42</v>
      </c>
      <c r="L92" s="215"/>
      <c r="M92" s="214"/>
      <c r="N92" s="215"/>
      <c r="O92" s="214">
        <v>1</v>
      </c>
      <c r="P92" s="215"/>
      <c r="Q92" s="214"/>
      <c r="R92" s="215"/>
      <c r="S92" s="214"/>
      <c r="T92" s="215"/>
      <c r="U92" s="214"/>
      <c r="V92" s="215"/>
      <c r="W92" s="208">
        <f t="shared" si="4"/>
        <v>112.42</v>
      </c>
      <c r="X92" s="209"/>
      <c r="Y92" s="210"/>
      <c r="Z92" s="208">
        <f t="shared" si="5"/>
        <v>17.31268</v>
      </c>
      <c r="AA92" s="209"/>
      <c r="AB92" s="210"/>
      <c r="AC92" s="54"/>
      <c r="AD92" s="55"/>
      <c r="AE92" s="56"/>
      <c r="AF92" s="54"/>
      <c r="AG92" s="55"/>
      <c r="AH92" s="57"/>
    </row>
    <row r="93" spans="1:34" ht="15.75" x14ac:dyDescent="0.25">
      <c r="A93" s="185"/>
      <c r="B93" s="186"/>
      <c r="C93" s="184"/>
      <c r="D93" s="211" t="s">
        <v>775</v>
      </c>
      <c r="E93" s="212"/>
      <c r="F93" s="212"/>
      <c r="G93" s="212"/>
      <c r="H93" s="212"/>
      <c r="I93" s="213"/>
      <c r="J93" s="66"/>
      <c r="K93" s="214">
        <f>240*0.77</f>
        <v>184.8</v>
      </c>
      <c r="L93" s="215"/>
      <c r="M93" s="214"/>
      <c r="N93" s="215"/>
      <c r="O93" s="214">
        <v>1</v>
      </c>
      <c r="P93" s="215"/>
      <c r="Q93" s="214"/>
      <c r="R93" s="215"/>
      <c r="S93" s="214"/>
      <c r="T93" s="215"/>
      <c r="U93" s="214"/>
      <c r="V93" s="215"/>
      <c r="W93" s="208">
        <f t="shared" si="4"/>
        <v>184.8</v>
      </c>
      <c r="X93" s="209"/>
      <c r="Y93" s="210"/>
      <c r="Z93" s="208">
        <f t="shared" si="5"/>
        <v>28.459200000000003</v>
      </c>
      <c r="AA93" s="209"/>
      <c r="AB93" s="210"/>
      <c r="AC93" s="54"/>
      <c r="AD93" s="55"/>
      <c r="AE93" s="56"/>
      <c r="AF93" s="54"/>
      <c r="AG93" s="55"/>
      <c r="AH93" s="57"/>
    </row>
    <row r="94" spans="1:34" ht="15.75" x14ac:dyDescent="0.25">
      <c r="A94" s="185"/>
      <c r="B94" s="186"/>
      <c r="C94" s="184"/>
      <c r="D94" s="211" t="s">
        <v>776</v>
      </c>
      <c r="E94" s="212"/>
      <c r="F94" s="212"/>
      <c r="G94" s="212"/>
      <c r="H94" s="212"/>
      <c r="I94" s="213"/>
      <c r="J94" s="66"/>
      <c r="K94" s="214">
        <f>144*0.77</f>
        <v>110.88</v>
      </c>
      <c r="L94" s="215"/>
      <c r="M94" s="214"/>
      <c r="N94" s="215"/>
      <c r="O94" s="214">
        <v>1</v>
      </c>
      <c r="P94" s="215"/>
      <c r="Q94" s="214"/>
      <c r="R94" s="215"/>
      <c r="S94" s="214"/>
      <c r="T94" s="215"/>
      <c r="U94" s="214"/>
      <c r="V94" s="215"/>
      <c r="W94" s="208">
        <f t="shared" si="4"/>
        <v>110.88</v>
      </c>
      <c r="X94" s="209"/>
      <c r="Y94" s="210"/>
      <c r="Z94" s="208">
        <f t="shared" si="5"/>
        <v>17.075519999999997</v>
      </c>
      <c r="AA94" s="209"/>
      <c r="AB94" s="210"/>
      <c r="AC94" s="54"/>
      <c r="AD94" s="55"/>
      <c r="AE94" s="56"/>
      <c r="AF94" s="54"/>
      <c r="AG94" s="55"/>
      <c r="AH94" s="57"/>
    </row>
    <row r="95" spans="1:34" ht="15.75" x14ac:dyDescent="0.25">
      <c r="A95" s="185"/>
      <c r="B95" s="186"/>
      <c r="C95" s="184"/>
      <c r="D95" s="211" t="s">
        <v>777</v>
      </c>
      <c r="E95" s="212"/>
      <c r="F95" s="212"/>
      <c r="G95" s="212"/>
      <c r="H95" s="212"/>
      <c r="I95" s="213"/>
      <c r="J95" s="66"/>
      <c r="K95" s="214">
        <f>241*0.77</f>
        <v>185.57</v>
      </c>
      <c r="L95" s="215"/>
      <c r="M95" s="214"/>
      <c r="N95" s="215"/>
      <c r="O95" s="214">
        <v>1</v>
      </c>
      <c r="P95" s="215"/>
      <c r="Q95" s="214"/>
      <c r="R95" s="215"/>
      <c r="S95" s="214"/>
      <c r="T95" s="215"/>
      <c r="U95" s="214"/>
      <c r="V95" s="215"/>
      <c r="W95" s="208">
        <f t="shared" si="4"/>
        <v>185.57</v>
      </c>
      <c r="X95" s="209"/>
      <c r="Y95" s="210"/>
      <c r="Z95" s="208">
        <f t="shared" si="5"/>
        <v>28.577779999999997</v>
      </c>
      <c r="AA95" s="209"/>
      <c r="AB95" s="210"/>
      <c r="AC95" s="54"/>
      <c r="AD95" s="55"/>
      <c r="AE95" s="56"/>
      <c r="AF95" s="54"/>
      <c r="AG95" s="55"/>
      <c r="AH95" s="57"/>
    </row>
    <row r="96" spans="1:34" ht="15.75" x14ac:dyDescent="0.25">
      <c r="A96" s="185"/>
      <c r="B96" s="186"/>
      <c r="C96" s="184"/>
      <c r="D96" s="211" t="s">
        <v>778</v>
      </c>
      <c r="E96" s="212"/>
      <c r="F96" s="212"/>
      <c r="G96" s="212"/>
      <c r="H96" s="212"/>
      <c r="I96" s="213"/>
      <c r="J96" s="66"/>
      <c r="K96" s="183">
        <f>72*0.77</f>
        <v>55.44</v>
      </c>
      <c r="L96" s="184"/>
      <c r="M96" s="183"/>
      <c r="N96" s="184"/>
      <c r="O96" s="214">
        <v>1</v>
      </c>
      <c r="P96" s="215"/>
      <c r="Q96" s="183"/>
      <c r="R96" s="184"/>
      <c r="S96" s="183"/>
      <c r="T96" s="184"/>
      <c r="U96" s="183"/>
      <c r="V96" s="184"/>
      <c r="W96" s="208">
        <f t="shared" si="4"/>
        <v>55.44</v>
      </c>
      <c r="X96" s="209"/>
      <c r="Y96" s="210"/>
      <c r="Z96" s="208">
        <f t="shared" si="5"/>
        <v>8.5377599999999987</v>
      </c>
      <c r="AA96" s="209"/>
      <c r="AB96" s="210"/>
      <c r="AC96" s="54"/>
      <c r="AD96" s="55"/>
      <c r="AE96" s="56"/>
      <c r="AF96" s="54"/>
      <c r="AG96" s="55"/>
      <c r="AH96" s="57"/>
    </row>
    <row r="97" spans="1:35" ht="15.75" x14ac:dyDescent="0.25">
      <c r="A97" s="185"/>
      <c r="B97" s="186"/>
      <c r="C97" s="184"/>
      <c r="D97" s="211" t="s">
        <v>779</v>
      </c>
      <c r="E97" s="212"/>
      <c r="F97" s="212"/>
      <c r="G97" s="212"/>
      <c r="H97" s="212"/>
      <c r="I97" s="213"/>
      <c r="J97" s="66"/>
      <c r="K97" s="214">
        <f>13*0.77</f>
        <v>10.01</v>
      </c>
      <c r="L97" s="215"/>
      <c r="M97" s="214"/>
      <c r="N97" s="215"/>
      <c r="O97" s="214">
        <v>1</v>
      </c>
      <c r="P97" s="215"/>
      <c r="Q97" s="214"/>
      <c r="R97" s="215"/>
      <c r="S97" s="214"/>
      <c r="T97" s="215"/>
      <c r="U97" s="214"/>
      <c r="V97" s="215"/>
      <c r="W97" s="208">
        <f t="shared" si="4"/>
        <v>10.01</v>
      </c>
      <c r="X97" s="209"/>
      <c r="Y97" s="210"/>
      <c r="Z97" s="208">
        <f t="shared" si="5"/>
        <v>1.5415399999999999</v>
      </c>
      <c r="AA97" s="209"/>
      <c r="AB97" s="210"/>
      <c r="AC97" s="54"/>
      <c r="AD97" s="55"/>
      <c r="AE97" s="56"/>
      <c r="AF97" s="54"/>
      <c r="AG97" s="55"/>
      <c r="AH97" s="57"/>
    </row>
    <row r="98" spans="1:35" ht="15.75" x14ac:dyDescent="0.25">
      <c r="A98" s="185"/>
      <c r="B98" s="186"/>
      <c r="C98" s="184"/>
      <c r="D98" s="211" t="s">
        <v>780</v>
      </c>
      <c r="E98" s="212"/>
      <c r="F98" s="212"/>
      <c r="G98" s="212"/>
      <c r="H98" s="212"/>
      <c r="I98" s="213"/>
      <c r="J98" s="66"/>
      <c r="K98" s="214">
        <f>81*0.77</f>
        <v>62.370000000000005</v>
      </c>
      <c r="L98" s="215"/>
      <c r="M98" s="214"/>
      <c r="N98" s="215"/>
      <c r="O98" s="214">
        <v>1</v>
      </c>
      <c r="P98" s="215"/>
      <c r="Q98" s="214"/>
      <c r="R98" s="215"/>
      <c r="S98" s="214"/>
      <c r="T98" s="215"/>
      <c r="U98" s="214"/>
      <c r="V98" s="215"/>
      <c r="W98" s="208">
        <f t="shared" si="4"/>
        <v>62.370000000000005</v>
      </c>
      <c r="X98" s="209"/>
      <c r="Y98" s="210"/>
      <c r="Z98" s="208">
        <f t="shared" si="5"/>
        <v>9.6049800000000012</v>
      </c>
      <c r="AA98" s="209"/>
      <c r="AB98" s="210"/>
      <c r="AC98" s="54"/>
      <c r="AD98" s="55"/>
      <c r="AE98" s="56"/>
      <c r="AF98" s="54"/>
      <c r="AG98" s="55"/>
      <c r="AH98" s="57"/>
    </row>
    <row r="99" spans="1:35" ht="15.75" x14ac:dyDescent="0.25">
      <c r="A99" s="185"/>
      <c r="B99" s="186"/>
      <c r="C99" s="184"/>
      <c r="D99" s="211" t="s">
        <v>781</v>
      </c>
      <c r="E99" s="212"/>
      <c r="F99" s="212"/>
      <c r="G99" s="212"/>
      <c r="H99" s="212"/>
      <c r="I99" s="213"/>
      <c r="J99" s="66"/>
      <c r="K99" s="214">
        <f>147*0.77</f>
        <v>113.19</v>
      </c>
      <c r="L99" s="215"/>
      <c r="M99" s="214"/>
      <c r="N99" s="215"/>
      <c r="O99" s="214">
        <v>1</v>
      </c>
      <c r="P99" s="215"/>
      <c r="Q99" s="214"/>
      <c r="R99" s="215"/>
      <c r="S99" s="214"/>
      <c r="T99" s="215"/>
      <c r="U99" s="214"/>
      <c r="V99" s="215"/>
      <c r="W99" s="208">
        <f t="shared" si="4"/>
        <v>113.19</v>
      </c>
      <c r="X99" s="209"/>
      <c r="Y99" s="210"/>
      <c r="Z99" s="208">
        <f t="shared" si="5"/>
        <v>17.431259999999998</v>
      </c>
      <c r="AA99" s="209"/>
      <c r="AB99" s="210"/>
      <c r="AC99" s="54"/>
      <c r="AD99" s="55"/>
      <c r="AE99" s="56"/>
      <c r="AF99" s="54"/>
      <c r="AG99" s="55"/>
      <c r="AH99" s="57"/>
    </row>
    <row r="100" spans="1:35" ht="15.75" x14ac:dyDescent="0.25">
      <c r="A100" s="185"/>
      <c r="B100" s="186"/>
      <c r="C100" s="184"/>
      <c r="D100" s="211" t="s">
        <v>782</v>
      </c>
      <c r="E100" s="212"/>
      <c r="F100" s="212"/>
      <c r="G100" s="212"/>
      <c r="H100" s="212"/>
      <c r="I100" s="213"/>
      <c r="J100" s="66"/>
      <c r="K100" s="214">
        <f>233*0.97</f>
        <v>226.01</v>
      </c>
      <c r="L100" s="215"/>
      <c r="M100" s="214"/>
      <c r="N100" s="215"/>
      <c r="O100" s="214">
        <v>1</v>
      </c>
      <c r="P100" s="215"/>
      <c r="Q100" s="214"/>
      <c r="R100" s="215"/>
      <c r="S100" s="214"/>
      <c r="T100" s="215"/>
      <c r="U100" s="214"/>
      <c r="V100" s="215"/>
      <c r="W100" s="208">
        <f t="shared" si="4"/>
        <v>226.01</v>
      </c>
      <c r="X100" s="209"/>
      <c r="Y100" s="210"/>
      <c r="Z100" s="208">
        <f t="shared" si="5"/>
        <v>34.805540000000001</v>
      </c>
      <c r="AA100" s="209"/>
      <c r="AB100" s="210"/>
      <c r="AC100" s="54"/>
      <c r="AD100" s="55"/>
      <c r="AE100" s="56"/>
      <c r="AF100" s="54"/>
      <c r="AG100" s="55"/>
      <c r="AH100" s="57"/>
    </row>
    <row r="101" spans="1:35" ht="15.75" x14ac:dyDescent="0.25">
      <c r="A101" s="185"/>
      <c r="B101" s="186"/>
      <c r="C101" s="184"/>
      <c r="D101" s="211" t="s">
        <v>783</v>
      </c>
      <c r="E101" s="212"/>
      <c r="F101" s="212"/>
      <c r="G101" s="212"/>
      <c r="H101" s="212"/>
      <c r="I101" s="213"/>
      <c r="J101" s="66"/>
      <c r="K101" s="214">
        <f>233*0.97</f>
        <v>226.01</v>
      </c>
      <c r="L101" s="215"/>
      <c r="M101" s="214"/>
      <c r="N101" s="215"/>
      <c r="O101" s="214">
        <v>1</v>
      </c>
      <c r="P101" s="215"/>
      <c r="Q101" s="214"/>
      <c r="R101" s="215"/>
      <c r="S101" s="214"/>
      <c r="T101" s="215"/>
      <c r="U101" s="214"/>
      <c r="V101" s="215"/>
      <c r="W101" s="208">
        <f t="shared" si="4"/>
        <v>226.01</v>
      </c>
      <c r="X101" s="209"/>
      <c r="Y101" s="210"/>
      <c r="Z101" s="208">
        <f t="shared" si="5"/>
        <v>34.805540000000001</v>
      </c>
      <c r="AA101" s="209"/>
      <c r="AB101" s="210"/>
      <c r="AC101" s="54"/>
      <c r="AD101" s="55"/>
      <c r="AE101" s="56"/>
      <c r="AF101" s="54"/>
      <c r="AG101" s="55"/>
      <c r="AH101" s="57"/>
    </row>
    <row r="102" spans="1:35" ht="15.75" x14ac:dyDescent="0.25">
      <c r="A102" s="189" t="str">
        <f>'MEMORIA BM 08'!A43</f>
        <v>5.6</v>
      </c>
      <c r="B102" s="190"/>
      <c r="C102" s="191"/>
      <c r="D102" s="218" t="str">
        <f>'MEMORIA BM 08'!B43</f>
        <v>CONCRETO FCK = 25MPA, TRAÇO 1:2,3:2,7 (EM MASSA SECA DE CIMENTO/ AREIA MÉDIA/ BRITA 1) - PREPARO MECÂNICO COM BETONEIRA 600 L. AF_05/2021</v>
      </c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20"/>
      <c r="AC102" s="195">
        <f>SUM(Z103:AB128)</f>
        <v>20.8111</v>
      </c>
      <c r="AD102" s="190"/>
      <c r="AE102" s="191"/>
      <c r="AF102" s="195" t="str">
        <f>'MEMORIA BM 08'!C43</f>
        <v>M3</v>
      </c>
      <c r="AG102" s="190"/>
      <c r="AH102" s="196"/>
      <c r="AI102">
        <v>20.81</v>
      </c>
    </row>
    <row r="103" spans="1:35" ht="15.75" x14ac:dyDescent="0.25">
      <c r="A103" s="185"/>
      <c r="B103" s="186"/>
      <c r="C103" s="184"/>
      <c r="D103" s="216" t="s">
        <v>758</v>
      </c>
      <c r="E103" s="217"/>
      <c r="F103" s="217"/>
      <c r="G103" s="217"/>
      <c r="H103" s="217"/>
      <c r="I103" s="217"/>
      <c r="J103" s="66"/>
      <c r="K103" s="214">
        <v>0.15</v>
      </c>
      <c r="L103" s="215"/>
      <c r="M103" s="214"/>
      <c r="N103" s="215"/>
      <c r="O103" s="214">
        <v>0.3</v>
      </c>
      <c r="P103" s="215"/>
      <c r="Q103" s="214"/>
      <c r="R103" s="215"/>
      <c r="S103" s="183">
        <f>11.89+11.86</f>
        <v>23.75</v>
      </c>
      <c r="T103" s="184"/>
      <c r="U103" s="214"/>
      <c r="V103" s="215"/>
      <c r="W103" s="180">
        <f>K103*O103</f>
        <v>4.4999999999999998E-2</v>
      </c>
      <c r="X103" s="181"/>
      <c r="Y103" s="182"/>
      <c r="Z103" s="180">
        <f>W103*S103</f>
        <v>1.0687499999999999</v>
      </c>
      <c r="AA103" s="181"/>
      <c r="AB103" s="182"/>
      <c r="AC103" s="54"/>
      <c r="AD103" s="55"/>
      <c r="AE103" s="56"/>
      <c r="AF103" s="54"/>
      <c r="AG103" s="55"/>
      <c r="AH103" s="57"/>
    </row>
    <row r="104" spans="1:35" ht="15.75" x14ac:dyDescent="0.25">
      <c r="A104" s="185"/>
      <c r="B104" s="186"/>
      <c r="C104" s="184"/>
      <c r="D104" s="216" t="s">
        <v>759</v>
      </c>
      <c r="E104" s="217"/>
      <c r="F104" s="217"/>
      <c r="G104" s="217"/>
      <c r="H104" s="217"/>
      <c r="I104" s="217"/>
      <c r="J104" s="66"/>
      <c r="K104" s="214">
        <v>0.2</v>
      </c>
      <c r="L104" s="215"/>
      <c r="M104" s="214"/>
      <c r="N104" s="215"/>
      <c r="O104" s="214">
        <v>0.3</v>
      </c>
      <c r="P104" s="215"/>
      <c r="Q104" s="214"/>
      <c r="R104" s="215"/>
      <c r="S104" s="183">
        <v>3.39</v>
      </c>
      <c r="T104" s="184"/>
      <c r="U104" s="214"/>
      <c r="V104" s="215"/>
      <c r="W104" s="208">
        <f t="shared" ref="W104:W128" si="6">K104*O104</f>
        <v>0.06</v>
      </c>
      <c r="X104" s="209"/>
      <c r="Y104" s="210"/>
      <c r="Z104" s="180">
        <f t="shared" ref="Z104:Z128" si="7">W104*S104</f>
        <v>0.2034</v>
      </c>
      <c r="AA104" s="181"/>
      <c r="AB104" s="182"/>
      <c r="AC104" s="54"/>
      <c r="AD104" s="55"/>
      <c r="AE104" s="56"/>
      <c r="AF104" s="54"/>
      <c r="AG104" s="55"/>
      <c r="AH104" s="57"/>
    </row>
    <row r="105" spans="1:35" ht="15.75" x14ac:dyDescent="0.25">
      <c r="A105" s="185"/>
      <c r="B105" s="186"/>
      <c r="C105" s="184"/>
      <c r="D105" s="216" t="s">
        <v>760</v>
      </c>
      <c r="E105" s="217"/>
      <c r="F105" s="217"/>
      <c r="G105" s="217"/>
      <c r="H105" s="217"/>
      <c r="I105" s="217"/>
      <c r="J105" s="66"/>
      <c r="K105" s="214">
        <v>0.2</v>
      </c>
      <c r="L105" s="215"/>
      <c r="M105" s="214"/>
      <c r="N105" s="215"/>
      <c r="O105" s="214">
        <v>0.3</v>
      </c>
      <c r="P105" s="215"/>
      <c r="Q105" s="214"/>
      <c r="R105" s="215"/>
      <c r="S105" s="183">
        <v>3.39</v>
      </c>
      <c r="T105" s="184"/>
      <c r="U105" s="214"/>
      <c r="V105" s="215"/>
      <c r="W105" s="208">
        <f t="shared" si="6"/>
        <v>0.06</v>
      </c>
      <c r="X105" s="209"/>
      <c r="Y105" s="210"/>
      <c r="Z105" s="180">
        <f t="shared" si="7"/>
        <v>0.2034</v>
      </c>
      <c r="AA105" s="181"/>
      <c r="AB105" s="182"/>
      <c r="AC105" s="54"/>
      <c r="AD105" s="55"/>
      <c r="AE105" s="56"/>
      <c r="AF105" s="54"/>
      <c r="AG105" s="55"/>
      <c r="AH105" s="57"/>
    </row>
    <row r="106" spans="1:35" ht="15.75" x14ac:dyDescent="0.25">
      <c r="A106" s="185"/>
      <c r="B106" s="186"/>
      <c r="C106" s="184"/>
      <c r="D106" s="216" t="s">
        <v>761</v>
      </c>
      <c r="E106" s="217"/>
      <c r="F106" s="217"/>
      <c r="G106" s="217"/>
      <c r="H106" s="217"/>
      <c r="I106" s="217"/>
      <c r="J106" s="66"/>
      <c r="K106" s="214">
        <v>0.2</v>
      </c>
      <c r="L106" s="215"/>
      <c r="M106" s="214"/>
      <c r="N106" s="215"/>
      <c r="O106" s="214">
        <v>0.3</v>
      </c>
      <c r="P106" s="215"/>
      <c r="Q106" s="214"/>
      <c r="R106" s="215"/>
      <c r="S106" s="183">
        <v>3.26</v>
      </c>
      <c r="T106" s="184"/>
      <c r="U106" s="214"/>
      <c r="V106" s="215"/>
      <c r="W106" s="208">
        <f t="shared" si="6"/>
        <v>0.06</v>
      </c>
      <c r="X106" s="209"/>
      <c r="Y106" s="210"/>
      <c r="Z106" s="180">
        <f t="shared" si="7"/>
        <v>0.19559999999999997</v>
      </c>
      <c r="AA106" s="181"/>
      <c r="AB106" s="182"/>
      <c r="AC106" s="54"/>
      <c r="AD106" s="55"/>
      <c r="AE106" s="56"/>
      <c r="AF106" s="54"/>
      <c r="AG106" s="55"/>
      <c r="AH106" s="57"/>
    </row>
    <row r="107" spans="1:35" ht="15.75" x14ac:dyDescent="0.25">
      <c r="A107" s="185"/>
      <c r="B107" s="186"/>
      <c r="C107" s="184"/>
      <c r="D107" s="216" t="s">
        <v>762</v>
      </c>
      <c r="E107" s="217"/>
      <c r="F107" s="217"/>
      <c r="G107" s="217"/>
      <c r="H107" s="217"/>
      <c r="I107" s="217"/>
      <c r="J107" s="66"/>
      <c r="K107" s="214">
        <v>0.15</v>
      </c>
      <c r="L107" s="215"/>
      <c r="M107" s="214"/>
      <c r="N107" s="215"/>
      <c r="O107" s="214">
        <v>0.3</v>
      </c>
      <c r="P107" s="215"/>
      <c r="Q107" s="214"/>
      <c r="R107" s="215"/>
      <c r="S107" s="183">
        <v>6.4</v>
      </c>
      <c r="T107" s="184"/>
      <c r="U107" s="183"/>
      <c r="V107" s="184"/>
      <c r="W107" s="208">
        <f t="shared" si="6"/>
        <v>4.4999999999999998E-2</v>
      </c>
      <c r="X107" s="209"/>
      <c r="Y107" s="210"/>
      <c r="Z107" s="180">
        <f t="shared" si="7"/>
        <v>0.28799999999999998</v>
      </c>
      <c r="AA107" s="181"/>
      <c r="AB107" s="182"/>
      <c r="AC107" s="54"/>
      <c r="AD107" s="55"/>
      <c r="AE107" s="56"/>
      <c r="AF107" s="54"/>
      <c r="AG107" s="55"/>
      <c r="AH107" s="57"/>
    </row>
    <row r="108" spans="1:35" ht="15.75" x14ac:dyDescent="0.25">
      <c r="A108" s="185"/>
      <c r="B108" s="186"/>
      <c r="C108" s="184"/>
      <c r="D108" s="216" t="s">
        <v>763</v>
      </c>
      <c r="E108" s="217"/>
      <c r="F108" s="217"/>
      <c r="G108" s="217"/>
      <c r="H108" s="217"/>
      <c r="I108" s="217"/>
      <c r="J108" s="66"/>
      <c r="K108" s="214">
        <v>0.15</v>
      </c>
      <c r="L108" s="215"/>
      <c r="M108" s="214"/>
      <c r="N108" s="215"/>
      <c r="O108" s="214">
        <v>0.3</v>
      </c>
      <c r="P108" s="215"/>
      <c r="Q108" s="214"/>
      <c r="R108" s="215"/>
      <c r="S108" s="183">
        <v>2.04</v>
      </c>
      <c r="T108" s="184"/>
      <c r="U108" s="214"/>
      <c r="V108" s="215"/>
      <c r="W108" s="208">
        <f t="shared" si="6"/>
        <v>4.4999999999999998E-2</v>
      </c>
      <c r="X108" s="209"/>
      <c r="Y108" s="210"/>
      <c r="Z108" s="180">
        <f t="shared" si="7"/>
        <v>9.1799999999999993E-2</v>
      </c>
      <c r="AA108" s="181"/>
      <c r="AB108" s="182"/>
      <c r="AC108" s="54"/>
      <c r="AD108" s="55"/>
      <c r="AE108" s="56"/>
      <c r="AF108" s="54"/>
      <c r="AG108" s="55"/>
      <c r="AH108" s="57"/>
    </row>
    <row r="109" spans="1:35" ht="15.75" x14ac:dyDescent="0.25">
      <c r="A109" s="185"/>
      <c r="B109" s="186"/>
      <c r="C109" s="184"/>
      <c r="D109" s="216" t="s">
        <v>764</v>
      </c>
      <c r="E109" s="217"/>
      <c r="F109" s="217"/>
      <c r="G109" s="217"/>
      <c r="H109" s="217"/>
      <c r="I109" s="217"/>
      <c r="J109" s="66"/>
      <c r="K109" s="214">
        <v>0.15</v>
      </c>
      <c r="L109" s="215"/>
      <c r="M109" s="214"/>
      <c r="N109" s="215"/>
      <c r="O109" s="214">
        <v>0.3</v>
      </c>
      <c r="P109" s="215"/>
      <c r="Q109" s="214"/>
      <c r="R109" s="215"/>
      <c r="S109" s="183">
        <f>11.89+12+12+3.74</f>
        <v>39.630000000000003</v>
      </c>
      <c r="T109" s="184"/>
      <c r="U109" s="214"/>
      <c r="V109" s="215"/>
      <c r="W109" s="208">
        <f t="shared" si="6"/>
        <v>4.4999999999999998E-2</v>
      </c>
      <c r="X109" s="209"/>
      <c r="Y109" s="210"/>
      <c r="Z109" s="180">
        <f t="shared" si="7"/>
        <v>1.78335</v>
      </c>
      <c r="AA109" s="181"/>
      <c r="AB109" s="182"/>
      <c r="AC109" s="54"/>
      <c r="AD109" s="55"/>
      <c r="AE109" s="56"/>
      <c r="AF109" s="54"/>
      <c r="AG109" s="55"/>
      <c r="AH109" s="57"/>
    </row>
    <row r="110" spans="1:35" ht="15.75" x14ac:dyDescent="0.25">
      <c r="A110" s="185"/>
      <c r="B110" s="186"/>
      <c r="C110" s="184"/>
      <c r="D110" s="216" t="s">
        <v>765</v>
      </c>
      <c r="E110" s="217"/>
      <c r="F110" s="217"/>
      <c r="G110" s="217"/>
      <c r="H110" s="217"/>
      <c r="I110" s="217"/>
      <c r="J110" s="66"/>
      <c r="K110" s="214">
        <v>0.15</v>
      </c>
      <c r="L110" s="215"/>
      <c r="M110" s="214"/>
      <c r="N110" s="215"/>
      <c r="O110" s="214">
        <v>0.3</v>
      </c>
      <c r="P110" s="215"/>
      <c r="Q110" s="214"/>
      <c r="R110" s="215"/>
      <c r="S110" s="183">
        <v>6.4</v>
      </c>
      <c r="T110" s="184"/>
      <c r="U110" s="214"/>
      <c r="V110" s="215"/>
      <c r="W110" s="208">
        <f t="shared" si="6"/>
        <v>4.4999999999999998E-2</v>
      </c>
      <c r="X110" s="209"/>
      <c r="Y110" s="210"/>
      <c r="Z110" s="180">
        <f t="shared" si="7"/>
        <v>0.28799999999999998</v>
      </c>
      <c r="AA110" s="181"/>
      <c r="AB110" s="182"/>
      <c r="AC110" s="54"/>
      <c r="AD110" s="55"/>
      <c r="AE110" s="56"/>
      <c r="AF110" s="54"/>
      <c r="AG110" s="55"/>
      <c r="AH110" s="57"/>
    </row>
    <row r="111" spans="1:35" ht="15.75" x14ac:dyDescent="0.25">
      <c r="A111" s="185"/>
      <c r="B111" s="186"/>
      <c r="C111" s="184"/>
      <c r="D111" s="216" t="s">
        <v>766</v>
      </c>
      <c r="E111" s="217"/>
      <c r="F111" s="217"/>
      <c r="G111" s="217"/>
      <c r="H111" s="217"/>
      <c r="I111" s="217"/>
      <c r="J111" s="66"/>
      <c r="K111" s="214">
        <v>0.15</v>
      </c>
      <c r="L111" s="215"/>
      <c r="M111" s="214"/>
      <c r="N111" s="215"/>
      <c r="O111" s="214">
        <v>0.3</v>
      </c>
      <c r="P111" s="215"/>
      <c r="Q111" s="214"/>
      <c r="R111" s="215"/>
      <c r="S111" s="183">
        <v>1.7</v>
      </c>
      <c r="T111" s="184"/>
      <c r="U111" s="214"/>
      <c r="V111" s="215"/>
      <c r="W111" s="208">
        <f t="shared" si="6"/>
        <v>4.4999999999999998E-2</v>
      </c>
      <c r="X111" s="209"/>
      <c r="Y111" s="210"/>
      <c r="Z111" s="180">
        <f t="shared" si="7"/>
        <v>7.6499999999999999E-2</v>
      </c>
      <c r="AA111" s="181"/>
      <c r="AB111" s="182"/>
      <c r="AC111" s="54"/>
      <c r="AD111" s="55"/>
      <c r="AE111" s="56"/>
      <c r="AF111" s="54"/>
      <c r="AG111" s="55"/>
      <c r="AH111" s="57"/>
    </row>
    <row r="112" spans="1:35" ht="15.75" x14ac:dyDescent="0.25">
      <c r="A112" s="185"/>
      <c r="B112" s="186"/>
      <c r="C112" s="184"/>
      <c r="D112" s="216" t="s">
        <v>767</v>
      </c>
      <c r="E112" s="217"/>
      <c r="F112" s="217"/>
      <c r="G112" s="217"/>
      <c r="H112" s="217"/>
      <c r="I112" s="217"/>
      <c r="J112" s="66"/>
      <c r="K112" s="214">
        <v>0.15</v>
      </c>
      <c r="L112" s="215"/>
      <c r="M112" s="214"/>
      <c r="N112" s="215"/>
      <c r="O112" s="214">
        <v>0.3</v>
      </c>
      <c r="P112" s="215"/>
      <c r="Q112" s="214"/>
      <c r="R112" s="215"/>
      <c r="S112" s="183">
        <f>11.81+8.84+12+6.85</f>
        <v>39.5</v>
      </c>
      <c r="T112" s="184"/>
      <c r="U112" s="214"/>
      <c r="V112" s="215"/>
      <c r="W112" s="208">
        <f t="shared" si="6"/>
        <v>4.4999999999999998E-2</v>
      </c>
      <c r="X112" s="209"/>
      <c r="Y112" s="210"/>
      <c r="Z112" s="180">
        <f t="shared" si="7"/>
        <v>1.7774999999999999</v>
      </c>
      <c r="AA112" s="181"/>
      <c r="AB112" s="182"/>
      <c r="AC112" s="54"/>
      <c r="AD112" s="55"/>
      <c r="AE112" s="56"/>
      <c r="AF112" s="54"/>
      <c r="AG112" s="55"/>
      <c r="AH112" s="57"/>
    </row>
    <row r="113" spans="1:34" ht="15.75" x14ac:dyDescent="0.25">
      <c r="A113" s="185"/>
      <c r="B113" s="186"/>
      <c r="C113" s="184"/>
      <c r="D113" s="216" t="s">
        <v>768</v>
      </c>
      <c r="E113" s="217"/>
      <c r="F113" s="217"/>
      <c r="G113" s="217"/>
      <c r="H113" s="217"/>
      <c r="I113" s="217"/>
      <c r="J113" s="66"/>
      <c r="K113" s="214">
        <v>0.15</v>
      </c>
      <c r="L113" s="215"/>
      <c r="M113" s="214"/>
      <c r="N113" s="215"/>
      <c r="O113" s="214">
        <v>0.3</v>
      </c>
      <c r="P113" s="215"/>
      <c r="Q113" s="214"/>
      <c r="R113" s="215"/>
      <c r="S113" s="183">
        <v>4.24</v>
      </c>
      <c r="T113" s="184"/>
      <c r="U113" s="214"/>
      <c r="V113" s="215"/>
      <c r="W113" s="208">
        <f t="shared" si="6"/>
        <v>4.4999999999999998E-2</v>
      </c>
      <c r="X113" s="209"/>
      <c r="Y113" s="210"/>
      <c r="Z113" s="180">
        <f t="shared" si="7"/>
        <v>0.1908</v>
      </c>
      <c r="AA113" s="181"/>
      <c r="AB113" s="182"/>
      <c r="AC113" s="54"/>
      <c r="AD113" s="55"/>
      <c r="AE113" s="56"/>
      <c r="AF113" s="54"/>
      <c r="AG113" s="55"/>
      <c r="AH113" s="57"/>
    </row>
    <row r="114" spans="1:34" ht="15.75" x14ac:dyDescent="0.25">
      <c r="A114" s="185"/>
      <c r="B114" s="186"/>
      <c r="C114" s="184"/>
      <c r="D114" s="216" t="s">
        <v>769</v>
      </c>
      <c r="E114" s="217"/>
      <c r="F114" s="217"/>
      <c r="G114" s="217"/>
      <c r="H114" s="217"/>
      <c r="I114" s="217"/>
      <c r="J114" s="66"/>
      <c r="K114" s="214">
        <v>0.15</v>
      </c>
      <c r="L114" s="215"/>
      <c r="M114" s="214"/>
      <c r="N114" s="215"/>
      <c r="O114" s="214">
        <v>0.3</v>
      </c>
      <c r="P114" s="215"/>
      <c r="Q114" s="214"/>
      <c r="R114" s="215"/>
      <c r="S114" s="183">
        <v>5.64</v>
      </c>
      <c r="T114" s="184"/>
      <c r="U114" s="214"/>
      <c r="V114" s="215"/>
      <c r="W114" s="208">
        <f t="shared" si="6"/>
        <v>4.4999999999999998E-2</v>
      </c>
      <c r="X114" s="209"/>
      <c r="Y114" s="210"/>
      <c r="Z114" s="180">
        <f t="shared" si="7"/>
        <v>0.25379999999999997</v>
      </c>
      <c r="AA114" s="181"/>
      <c r="AB114" s="182"/>
      <c r="AC114" s="54"/>
      <c r="AD114" s="55"/>
      <c r="AE114" s="56"/>
      <c r="AF114" s="54"/>
      <c r="AG114" s="55"/>
      <c r="AH114" s="57"/>
    </row>
    <row r="115" spans="1:34" ht="15.75" x14ac:dyDescent="0.25">
      <c r="A115" s="185"/>
      <c r="B115" s="186"/>
      <c r="C115" s="184"/>
      <c r="D115" s="216" t="s">
        <v>770</v>
      </c>
      <c r="E115" s="217"/>
      <c r="F115" s="217"/>
      <c r="G115" s="217"/>
      <c r="H115" s="217"/>
      <c r="I115" s="217"/>
      <c r="J115" s="66"/>
      <c r="K115" s="183">
        <v>0.2</v>
      </c>
      <c r="L115" s="184"/>
      <c r="M115" s="183"/>
      <c r="N115" s="184"/>
      <c r="O115" s="214">
        <v>0.3</v>
      </c>
      <c r="P115" s="215"/>
      <c r="Q115" s="183"/>
      <c r="R115" s="184"/>
      <c r="S115" s="183">
        <f>11.81+9.24+12+6.41</f>
        <v>39.459999999999994</v>
      </c>
      <c r="T115" s="184"/>
      <c r="U115" s="183"/>
      <c r="V115" s="184"/>
      <c r="W115" s="208">
        <f t="shared" si="6"/>
        <v>0.06</v>
      </c>
      <c r="X115" s="209"/>
      <c r="Y115" s="210"/>
      <c r="Z115" s="180">
        <f t="shared" si="7"/>
        <v>2.3675999999999995</v>
      </c>
      <c r="AA115" s="181"/>
      <c r="AB115" s="182"/>
      <c r="AC115" s="54"/>
      <c r="AD115" s="55"/>
      <c r="AE115" s="56"/>
      <c r="AF115" s="54"/>
      <c r="AG115" s="55"/>
      <c r="AH115" s="57"/>
    </row>
    <row r="116" spans="1:34" ht="15.75" x14ac:dyDescent="0.25">
      <c r="A116" s="185"/>
      <c r="B116" s="186"/>
      <c r="C116" s="184"/>
      <c r="D116" s="211" t="s">
        <v>771</v>
      </c>
      <c r="E116" s="212"/>
      <c r="F116" s="212"/>
      <c r="G116" s="212"/>
      <c r="H116" s="212"/>
      <c r="I116" s="213"/>
      <c r="J116" s="66"/>
      <c r="K116" s="214">
        <v>0.15</v>
      </c>
      <c r="L116" s="215"/>
      <c r="M116" s="214"/>
      <c r="N116" s="215"/>
      <c r="O116" s="214">
        <v>0.3</v>
      </c>
      <c r="P116" s="215"/>
      <c r="Q116" s="214"/>
      <c r="R116" s="215"/>
      <c r="S116" s="183">
        <f>10.61</f>
        <v>10.61</v>
      </c>
      <c r="T116" s="184"/>
      <c r="U116" s="214"/>
      <c r="V116" s="215"/>
      <c r="W116" s="208">
        <f t="shared" si="6"/>
        <v>4.4999999999999998E-2</v>
      </c>
      <c r="X116" s="209"/>
      <c r="Y116" s="210"/>
      <c r="Z116" s="180">
        <f t="shared" si="7"/>
        <v>0.47744999999999993</v>
      </c>
      <c r="AA116" s="181"/>
      <c r="AB116" s="182"/>
      <c r="AC116" s="54"/>
      <c r="AD116" s="55"/>
      <c r="AE116" s="56"/>
      <c r="AF116" s="54"/>
      <c r="AG116" s="55"/>
      <c r="AH116" s="57"/>
    </row>
    <row r="117" spans="1:34" ht="15.75" x14ac:dyDescent="0.25">
      <c r="A117" s="185"/>
      <c r="B117" s="186"/>
      <c r="C117" s="184"/>
      <c r="D117" s="211" t="s">
        <v>772</v>
      </c>
      <c r="E117" s="212"/>
      <c r="F117" s="212"/>
      <c r="G117" s="212"/>
      <c r="H117" s="212"/>
      <c r="I117" s="213"/>
      <c r="J117" s="66"/>
      <c r="K117" s="214">
        <v>0.15</v>
      </c>
      <c r="L117" s="215"/>
      <c r="M117" s="214"/>
      <c r="N117" s="215"/>
      <c r="O117" s="214">
        <v>0.3</v>
      </c>
      <c r="P117" s="215"/>
      <c r="Q117" s="214"/>
      <c r="R117" s="215"/>
      <c r="S117" s="183">
        <f>11.89+12+12+3.96</f>
        <v>39.85</v>
      </c>
      <c r="T117" s="184"/>
      <c r="U117" s="214"/>
      <c r="V117" s="215"/>
      <c r="W117" s="208">
        <f t="shared" si="6"/>
        <v>4.4999999999999998E-2</v>
      </c>
      <c r="X117" s="209"/>
      <c r="Y117" s="210"/>
      <c r="Z117" s="180">
        <f t="shared" si="7"/>
        <v>1.79325</v>
      </c>
      <c r="AA117" s="181"/>
      <c r="AB117" s="182"/>
      <c r="AC117" s="54"/>
      <c r="AD117" s="55"/>
      <c r="AE117" s="56"/>
      <c r="AF117" s="54"/>
      <c r="AG117" s="55"/>
      <c r="AH117" s="57"/>
    </row>
    <row r="118" spans="1:34" ht="15.75" x14ac:dyDescent="0.25">
      <c r="A118" s="185"/>
      <c r="B118" s="186"/>
      <c r="C118" s="184"/>
      <c r="D118" s="211" t="s">
        <v>773</v>
      </c>
      <c r="E118" s="212"/>
      <c r="F118" s="212"/>
      <c r="G118" s="212"/>
      <c r="H118" s="212"/>
      <c r="I118" s="213"/>
      <c r="J118" s="66"/>
      <c r="K118" s="214">
        <v>0.15</v>
      </c>
      <c r="L118" s="215"/>
      <c r="M118" s="214"/>
      <c r="N118" s="215"/>
      <c r="O118" s="214">
        <v>0.3</v>
      </c>
      <c r="P118" s="215"/>
      <c r="Q118" s="214"/>
      <c r="R118" s="215"/>
      <c r="S118" s="183">
        <v>10.62</v>
      </c>
      <c r="T118" s="184"/>
      <c r="U118" s="214"/>
      <c r="V118" s="215"/>
      <c r="W118" s="208">
        <f t="shared" si="6"/>
        <v>4.4999999999999998E-2</v>
      </c>
      <c r="X118" s="209"/>
      <c r="Y118" s="210"/>
      <c r="Z118" s="180">
        <f t="shared" si="7"/>
        <v>0.47789999999999994</v>
      </c>
      <c r="AA118" s="181"/>
      <c r="AB118" s="182"/>
      <c r="AC118" s="54"/>
      <c r="AD118" s="55"/>
      <c r="AE118" s="56"/>
      <c r="AF118" s="54"/>
      <c r="AG118" s="55"/>
      <c r="AH118" s="57"/>
    </row>
    <row r="119" spans="1:34" ht="15.75" x14ac:dyDescent="0.25">
      <c r="A119" s="185"/>
      <c r="B119" s="186"/>
      <c r="C119" s="184"/>
      <c r="D119" s="211" t="s">
        <v>774</v>
      </c>
      <c r="E119" s="212"/>
      <c r="F119" s="212"/>
      <c r="G119" s="212"/>
      <c r="H119" s="212"/>
      <c r="I119" s="213"/>
      <c r="J119" s="66"/>
      <c r="K119" s="214">
        <v>0.15</v>
      </c>
      <c r="L119" s="215"/>
      <c r="M119" s="214"/>
      <c r="N119" s="215"/>
      <c r="O119" s="214">
        <v>0.3</v>
      </c>
      <c r="P119" s="215"/>
      <c r="Q119" s="214"/>
      <c r="R119" s="215"/>
      <c r="S119" s="183">
        <f>12+7.43</f>
        <v>19.43</v>
      </c>
      <c r="T119" s="184"/>
      <c r="U119" s="214"/>
      <c r="V119" s="215"/>
      <c r="W119" s="208">
        <f t="shared" si="6"/>
        <v>4.4999999999999998E-2</v>
      </c>
      <c r="X119" s="209"/>
      <c r="Y119" s="210"/>
      <c r="Z119" s="180">
        <f t="shared" si="7"/>
        <v>0.87434999999999996</v>
      </c>
      <c r="AA119" s="181"/>
      <c r="AB119" s="182"/>
      <c r="AC119" s="54"/>
      <c r="AD119" s="55"/>
      <c r="AE119" s="56"/>
      <c r="AF119" s="54"/>
      <c r="AG119" s="55"/>
      <c r="AH119" s="57"/>
    </row>
    <row r="120" spans="1:34" ht="15.75" x14ac:dyDescent="0.25">
      <c r="A120" s="185"/>
      <c r="B120" s="186"/>
      <c r="C120" s="184"/>
      <c r="D120" s="211" t="s">
        <v>775</v>
      </c>
      <c r="E120" s="212"/>
      <c r="F120" s="212"/>
      <c r="G120" s="212"/>
      <c r="H120" s="212"/>
      <c r="I120" s="213"/>
      <c r="J120" s="66"/>
      <c r="K120" s="214">
        <v>0.15</v>
      </c>
      <c r="L120" s="215"/>
      <c r="M120" s="214"/>
      <c r="N120" s="215"/>
      <c r="O120" s="214">
        <v>0.3</v>
      </c>
      <c r="P120" s="215"/>
      <c r="Q120" s="214"/>
      <c r="R120" s="215"/>
      <c r="S120" s="183">
        <f>12+12+8.05</f>
        <v>32.049999999999997</v>
      </c>
      <c r="T120" s="184"/>
      <c r="U120" s="214"/>
      <c r="V120" s="215"/>
      <c r="W120" s="208">
        <f t="shared" si="6"/>
        <v>4.4999999999999998E-2</v>
      </c>
      <c r="X120" s="209"/>
      <c r="Y120" s="210"/>
      <c r="Z120" s="180">
        <f t="shared" si="7"/>
        <v>1.4422499999999998</v>
      </c>
      <c r="AA120" s="181"/>
      <c r="AB120" s="182"/>
      <c r="AC120" s="54"/>
      <c r="AD120" s="55"/>
      <c r="AE120" s="56"/>
      <c r="AF120" s="54"/>
      <c r="AG120" s="55"/>
      <c r="AH120" s="57"/>
    </row>
    <row r="121" spans="1:34" ht="15.75" x14ac:dyDescent="0.25">
      <c r="A121" s="185"/>
      <c r="B121" s="186"/>
      <c r="C121" s="184"/>
      <c r="D121" s="211" t="s">
        <v>776</v>
      </c>
      <c r="E121" s="212"/>
      <c r="F121" s="212"/>
      <c r="G121" s="212"/>
      <c r="H121" s="212"/>
      <c r="I121" s="213"/>
      <c r="J121" s="66"/>
      <c r="K121" s="214">
        <v>0.15</v>
      </c>
      <c r="L121" s="215"/>
      <c r="M121" s="214"/>
      <c r="N121" s="215"/>
      <c r="O121" s="214">
        <v>0.3</v>
      </c>
      <c r="P121" s="215"/>
      <c r="Q121" s="214"/>
      <c r="R121" s="215"/>
      <c r="S121" s="183">
        <f>12+7.24</f>
        <v>19.240000000000002</v>
      </c>
      <c r="T121" s="184"/>
      <c r="U121" s="214"/>
      <c r="V121" s="215"/>
      <c r="W121" s="208">
        <f t="shared" si="6"/>
        <v>4.4999999999999998E-2</v>
      </c>
      <c r="X121" s="209"/>
      <c r="Y121" s="210"/>
      <c r="Z121" s="180">
        <f t="shared" si="7"/>
        <v>0.86580000000000001</v>
      </c>
      <c r="AA121" s="181"/>
      <c r="AB121" s="182"/>
      <c r="AC121" s="54"/>
      <c r="AD121" s="55"/>
      <c r="AE121" s="56"/>
      <c r="AF121" s="54"/>
      <c r="AG121" s="55"/>
      <c r="AH121" s="57"/>
    </row>
    <row r="122" spans="1:34" ht="15.75" x14ac:dyDescent="0.25">
      <c r="A122" s="185"/>
      <c r="B122" s="186"/>
      <c r="C122" s="184"/>
      <c r="D122" s="211" t="s">
        <v>777</v>
      </c>
      <c r="E122" s="212"/>
      <c r="F122" s="212"/>
      <c r="G122" s="212"/>
      <c r="H122" s="212"/>
      <c r="I122" s="213"/>
      <c r="J122" s="66"/>
      <c r="K122" s="214">
        <v>0.15</v>
      </c>
      <c r="L122" s="215"/>
      <c r="M122" s="214"/>
      <c r="N122" s="215"/>
      <c r="O122" s="214">
        <v>0.3</v>
      </c>
      <c r="P122" s="215"/>
      <c r="Q122" s="214"/>
      <c r="R122" s="215"/>
      <c r="S122" s="183">
        <f>12+12+8.27</f>
        <v>32.269999999999996</v>
      </c>
      <c r="T122" s="184"/>
      <c r="U122" s="214"/>
      <c r="V122" s="215"/>
      <c r="W122" s="208">
        <f t="shared" si="6"/>
        <v>4.4999999999999998E-2</v>
      </c>
      <c r="X122" s="209"/>
      <c r="Y122" s="210"/>
      <c r="Z122" s="180">
        <f t="shared" si="7"/>
        <v>1.4521499999999998</v>
      </c>
      <c r="AA122" s="181"/>
      <c r="AB122" s="182"/>
      <c r="AC122" s="54"/>
      <c r="AD122" s="55"/>
      <c r="AE122" s="56"/>
      <c r="AF122" s="54"/>
      <c r="AG122" s="55"/>
      <c r="AH122" s="57"/>
    </row>
    <row r="123" spans="1:34" ht="15.75" x14ac:dyDescent="0.25">
      <c r="A123" s="185"/>
      <c r="B123" s="186"/>
      <c r="C123" s="184"/>
      <c r="D123" s="211" t="s">
        <v>778</v>
      </c>
      <c r="E123" s="212"/>
      <c r="F123" s="212"/>
      <c r="G123" s="212"/>
      <c r="H123" s="212"/>
      <c r="I123" s="213"/>
      <c r="J123" s="66"/>
      <c r="K123" s="183">
        <v>0.15</v>
      </c>
      <c r="L123" s="184"/>
      <c r="M123" s="183"/>
      <c r="N123" s="184"/>
      <c r="O123" s="214">
        <v>0.4</v>
      </c>
      <c r="P123" s="215"/>
      <c r="Q123" s="183"/>
      <c r="R123" s="184"/>
      <c r="S123" s="183">
        <f>9.74</f>
        <v>9.74</v>
      </c>
      <c r="T123" s="184"/>
      <c r="U123" s="183"/>
      <c r="V123" s="184"/>
      <c r="W123" s="208">
        <f t="shared" si="6"/>
        <v>0.06</v>
      </c>
      <c r="X123" s="209"/>
      <c r="Y123" s="210"/>
      <c r="Z123" s="180">
        <f t="shared" si="7"/>
        <v>0.58440000000000003</v>
      </c>
      <c r="AA123" s="181"/>
      <c r="AB123" s="182"/>
      <c r="AC123" s="54"/>
      <c r="AD123" s="55"/>
      <c r="AE123" s="56"/>
      <c r="AF123" s="54"/>
      <c r="AG123" s="55"/>
      <c r="AH123" s="57"/>
    </row>
    <row r="124" spans="1:34" ht="15.75" x14ac:dyDescent="0.25">
      <c r="A124" s="185"/>
      <c r="B124" s="186"/>
      <c r="C124" s="184"/>
      <c r="D124" s="211" t="s">
        <v>779</v>
      </c>
      <c r="E124" s="212"/>
      <c r="F124" s="212"/>
      <c r="G124" s="212"/>
      <c r="H124" s="212"/>
      <c r="I124" s="213"/>
      <c r="J124" s="66"/>
      <c r="K124" s="214">
        <v>0.2</v>
      </c>
      <c r="L124" s="215"/>
      <c r="M124" s="214"/>
      <c r="N124" s="215"/>
      <c r="O124" s="214">
        <v>0.4</v>
      </c>
      <c r="P124" s="215"/>
      <c r="Q124" s="214"/>
      <c r="R124" s="215"/>
      <c r="S124" s="183">
        <v>1.7</v>
      </c>
      <c r="T124" s="184"/>
      <c r="U124" s="214"/>
      <c r="V124" s="215"/>
      <c r="W124" s="208">
        <f t="shared" si="6"/>
        <v>8.0000000000000016E-2</v>
      </c>
      <c r="X124" s="209"/>
      <c r="Y124" s="210"/>
      <c r="Z124" s="180">
        <f t="shared" si="7"/>
        <v>0.13600000000000001</v>
      </c>
      <c r="AA124" s="181"/>
      <c r="AB124" s="182"/>
      <c r="AC124" s="54"/>
      <c r="AD124" s="55"/>
      <c r="AE124" s="56"/>
      <c r="AF124" s="54"/>
      <c r="AG124" s="55"/>
      <c r="AH124" s="57"/>
    </row>
    <row r="125" spans="1:34" ht="15.75" x14ac:dyDescent="0.25">
      <c r="A125" s="185"/>
      <c r="B125" s="186"/>
      <c r="C125" s="184"/>
      <c r="D125" s="211" t="s">
        <v>780</v>
      </c>
      <c r="E125" s="212"/>
      <c r="F125" s="212"/>
      <c r="G125" s="212"/>
      <c r="H125" s="212"/>
      <c r="I125" s="213"/>
      <c r="J125" s="66"/>
      <c r="K125" s="214">
        <v>0.15</v>
      </c>
      <c r="L125" s="215"/>
      <c r="M125" s="214"/>
      <c r="N125" s="215"/>
      <c r="O125" s="214">
        <v>0.3</v>
      </c>
      <c r="P125" s="215"/>
      <c r="Q125" s="214"/>
      <c r="R125" s="215"/>
      <c r="S125" s="183">
        <v>10.61</v>
      </c>
      <c r="T125" s="184"/>
      <c r="U125" s="214"/>
      <c r="V125" s="215"/>
      <c r="W125" s="208">
        <f t="shared" si="6"/>
        <v>4.4999999999999998E-2</v>
      </c>
      <c r="X125" s="209"/>
      <c r="Y125" s="210"/>
      <c r="Z125" s="180">
        <f t="shared" si="7"/>
        <v>0.47744999999999993</v>
      </c>
      <c r="AA125" s="181"/>
      <c r="AB125" s="182"/>
      <c r="AC125" s="54"/>
      <c r="AD125" s="55"/>
      <c r="AE125" s="56"/>
      <c r="AF125" s="54"/>
      <c r="AG125" s="55"/>
      <c r="AH125" s="57"/>
    </row>
    <row r="126" spans="1:34" ht="15.75" x14ac:dyDescent="0.25">
      <c r="A126" s="185"/>
      <c r="B126" s="186"/>
      <c r="C126" s="184"/>
      <c r="D126" s="211" t="s">
        <v>781</v>
      </c>
      <c r="E126" s="212"/>
      <c r="F126" s="212"/>
      <c r="G126" s="212"/>
      <c r="H126" s="212"/>
      <c r="I126" s="213"/>
      <c r="J126" s="66"/>
      <c r="K126" s="214">
        <v>0.15</v>
      </c>
      <c r="L126" s="215"/>
      <c r="M126" s="214"/>
      <c r="N126" s="215"/>
      <c r="O126" s="214">
        <v>0.3</v>
      </c>
      <c r="P126" s="215"/>
      <c r="Q126" s="214"/>
      <c r="R126" s="215"/>
      <c r="S126" s="183">
        <f>12+7.53</f>
        <v>19.53</v>
      </c>
      <c r="T126" s="184"/>
      <c r="U126" s="214"/>
      <c r="V126" s="215"/>
      <c r="W126" s="208">
        <f t="shared" si="6"/>
        <v>4.4999999999999998E-2</v>
      </c>
      <c r="X126" s="209"/>
      <c r="Y126" s="210"/>
      <c r="Z126" s="180">
        <f t="shared" si="7"/>
        <v>0.87885000000000002</v>
      </c>
      <c r="AA126" s="181"/>
      <c r="AB126" s="182"/>
      <c r="AC126" s="54"/>
      <c r="AD126" s="55"/>
      <c r="AE126" s="56"/>
      <c r="AF126" s="54"/>
      <c r="AG126" s="55"/>
      <c r="AH126" s="57"/>
    </row>
    <row r="127" spans="1:34" ht="15.75" x14ac:dyDescent="0.25">
      <c r="A127" s="185"/>
      <c r="B127" s="186"/>
      <c r="C127" s="184"/>
      <c r="D127" s="211" t="s">
        <v>782</v>
      </c>
      <c r="E127" s="212"/>
      <c r="F127" s="212"/>
      <c r="G127" s="212"/>
      <c r="H127" s="212"/>
      <c r="I127" s="213"/>
      <c r="J127" s="66"/>
      <c r="K127" s="214">
        <v>0.15</v>
      </c>
      <c r="L127" s="215"/>
      <c r="M127" s="214"/>
      <c r="N127" s="215"/>
      <c r="O127" s="214">
        <v>0.3</v>
      </c>
      <c r="P127" s="215"/>
      <c r="Q127" s="214"/>
      <c r="R127" s="215"/>
      <c r="S127" s="183">
        <f>12+12+8.39</f>
        <v>32.39</v>
      </c>
      <c r="T127" s="184"/>
      <c r="U127" s="214"/>
      <c r="V127" s="215"/>
      <c r="W127" s="208">
        <f t="shared" si="6"/>
        <v>4.4999999999999998E-2</v>
      </c>
      <c r="X127" s="209"/>
      <c r="Y127" s="210"/>
      <c r="Z127" s="180">
        <f t="shared" si="7"/>
        <v>1.4575499999999999</v>
      </c>
      <c r="AA127" s="181"/>
      <c r="AB127" s="182"/>
      <c r="AC127" s="54"/>
      <c r="AD127" s="55"/>
      <c r="AE127" s="56"/>
      <c r="AF127" s="54"/>
      <c r="AG127" s="55"/>
      <c r="AH127" s="57"/>
    </row>
    <row r="128" spans="1:34" ht="15.75" x14ac:dyDescent="0.25">
      <c r="A128" s="185"/>
      <c r="B128" s="186"/>
      <c r="C128" s="184"/>
      <c r="D128" s="211" t="s">
        <v>783</v>
      </c>
      <c r="E128" s="212"/>
      <c r="F128" s="212"/>
      <c r="G128" s="212"/>
      <c r="H128" s="212"/>
      <c r="I128" s="213"/>
      <c r="J128" s="66"/>
      <c r="K128" s="214">
        <v>0.15</v>
      </c>
      <c r="L128" s="215"/>
      <c r="M128" s="214"/>
      <c r="N128" s="215"/>
      <c r="O128" s="214">
        <v>0.3</v>
      </c>
      <c r="P128" s="215"/>
      <c r="Q128" s="214"/>
      <c r="R128" s="215"/>
      <c r="S128" s="183">
        <f>11.85+10.69+2.02</f>
        <v>24.56</v>
      </c>
      <c r="T128" s="184"/>
      <c r="U128" s="214"/>
      <c r="V128" s="215"/>
      <c r="W128" s="208">
        <f t="shared" si="6"/>
        <v>4.4999999999999998E-2</v>
      </c>
      <c r="X128" s="209"/>
      <c r="Y128" s="210"/>
      <c r="Z128" s="180">
        <f t="shared" si="7"/>
        <v>1.1052</v>
      </c>
      <c r="AA128" s="181"/>
      <c r="AB128" s="182"/>
      <c r="AC128" s="54"/>
      <c r="AD128" s="55"/>
      <c r="AE128" s="56"/>
      <c r="AF128" s="54"/>
      <c r="AG128" s="55"/>
      <c r="AH128" s="57"/>
    </row>
    <row r="129" spans="1:35" ht="15.75" x14ac:dyDescent="0.25">
      <c r="A129" s="189" t="str">
        <f>'MEMORIA BM 08'!A44</f>
        <v>5.7</v>
      </c>
      <c r="B129" s="190"/>
      <c r="C129" s="191"/>
      <c r="D129" s="218" t="str">
        <f>'MEMORIA BM 08'!B44</f>
        <v>LANÇAMENTO COM USO DE BOMBA, ADENSAMENTO E ACABAMENTO DE CONCRETO EM ESTRUTURAS. AF_12/2015</v>
      </c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20"/>
      <c r="AC129" s="195">
        <f>SUM(Z130:AB155)</f>
        <v>20.8111</v>
      </c>
      <c r="AD129" s="190"/>
      <c r="AE129" s="191"/>
      <c r="AF129" s="195" t="str">
        <f>'MEMORIA BM 08'!C44</f>
        <v>M3</v>
      </c>
      <c r="AG129" s="190"/>
      <c r="AH129" s="196"/>
      <c r="AI129">
        <v>20.81</v>
      </c>
    </row>
    <row r="130" spans="1:35" ht="15.75" x14ac:dyDescent="0.25">
      <c r="A130" s="185"/>
      <c r="B130" s="186"/>
      <c r="C130" s="184"/>
      <c r="D130" s="216" t="s">
        <v>758</v>
      </c>
      <c r="E130" s="217"/>
      <c r="F130" s="217"/>
      <c r="G130" s="217"/>
      <c r="H130" s="217"/>
      <c r="I130" s="217"/>
      <c r="J130" s="77"/>
      <c r="K130" s="214">
        <v>0.15</v>
      </c>
      <c r="L130" s="215"/>
      <c r="M130" s="214"/>
      <c r="N130" s="215"/>
      <c r="O130" s="214">
        <v>0.3</v>
      </c>
      <c r="P130" s="215"/>
      <c r="Q130" s="214"/>
      <c r="R130" s="215"/>
      <c r="S130" s="183">
        <f>11.89+11.86</f>
        <v>23.75</v>
      </c>
      <c r="T130" s="184"/>
      <c r="U130" s="214"/>
      <c r="V130" s="215"/>
      <c r="W130" s="180">
        <f>K130*O130</f>
        <v>4.4999999999999998E-2</v>
      </c>
      <c r="X130" s="181"/>
      <c r="Y130" s="182"/>
      <c r="Z130" s="180">
        <f>W130*S130</f>
        <v>1.0687499999999999</v>
      </c>
      <c r="AA130" s="181"/>
      <c r="AB130" s="182"/>
      <c r="AC130" s="54"/>
      <c r="AD130" s="55"/>
      <c r="AE130" s="56"/>
      <c r="AF130" s="54"/>
      <c r="AG130" s="55"/>
      <c r="AH130" s="57"/>
    </row>
    <row r="131" spans="1:35" ht="15.75" x14ac:dyDescent="0.25">
      <c r="A131" s="185"/>
      <c r="B131" s="186"/>
      <c r="C131" s="184"/>
      <c r="D131" s="216" t="s">
        <v>759</v>
      </c>
      <c r="E131" s="217"/>
      <c r="F131" s="217"/>
      <c r="G131" s="217"/>
      <c r="H131" s="217"/>
      <c r="I131" s="217"/>
      <c r="J131" s="77"/>
      <c r="K131" s="214">
        <v>0.2</v>
      </c>
      <c r="L131" s="215"/>
      <c r="M131" s="214"/>
      <c r="N131" s="215"/>
      <c r="O131" s="214">
        <v>0.3</v>
      </c>
      <c r="P131" s="215"/>
      <c r="Q131" s="214"/>
      <c r="R131" s="215"/>
      <c r="S131" s="183">
        <v>3.39</v>
      </c>
      <c r="T131" s="184"/>
      <c r="U131" s="214"/>
      <c r="V131" s="215"/>
      <c r="W131" s="208">
        <f t="shared" ref="W131:W155" si="8">K131*O131</f>
        <v>0.06</v>
      </c>
      <c r="X131" s="209"/>
      <c r="Y131" s="210"/>
      <c r="Z131" s="180">
        <f t="shared" ref="Z131:Z155" si="9">W131*S131</f>
        <v>0.2034</v>
      </c>
      <c r="AA131" s="181"/>
      <c r="AB131" s="182"/>
      <c r="AC131" s="54"/>
      <c r="AD131" s="55"/>
      <c r="AE131" s="56"/>
      <c r="AF131" s="54"/>
      <c r="AG131" s="55"/>
      <c r="AH131" s="57"/>
    </row>
    <row r="132" spans="1:35" ht="15.75" x14ac:dyDescent="0.25">
      <c r="A132" s="185"/>
      <c r="B132" s="186"/>
      <c r="C132" s="184"/>
      <c r="D132" s="216" t="s">
        <v>760</v>
      </c>
      <c r="E132" s="217"/>
      <c r="F132" s="217"/>
      <c r="G132" s="217"/>
      <c r="H132" s="217"/>
      <c r="I132" s="217"/>
      <c r="J132" s="77"/>
      <c r="K132" s="214">
        <v>0.2</v>
      </c>
      <c r="L132" s="215"/>
      <c r="M132" s="214"/>
      <c r="N132" s="215"/>
      <c r="O132" s="214">
        <v>0.3</v>
      </c>
      <c r="P132" s="215"/>
      <c r="Q132" s="214"/>
      <c r="R132" s="215"/>
      <c r="S132" s="183">
        <v>3.39</v>
      </c>
      <c r="T132" s="184"/>
      <c r="U132" s="214"/>
      <c r="V132" s="215"/>
      <c r="W132" s="208">
        <f t="shared" si="8"/>
        <v>0.06</v>
      </c>
      <c r="X132" s="209"/>
      <c r="Y132" s="210"/>
      <c r="Z132" s="180">
        <f t="shared" si="9"/>
        <v>0.2034</v>
      </c>
      <c r="AA132" s="181"/>
      <c r="AB132" s="182"/>
      <c r="AC132" s="54"/>
      <c r="AD132" s="55"/>
      <c r="AE132" s="56"/>
      <c r="AF132" s="54"/>
      <c r="AG132" s="55"/>
      <c r="AH132" s="57"/>
    </row>
    <row r="133" spans="1:35" ht="15.75" x14ac:dyDescent="0.25">
      <c r="A133" s="185"/>
      <c r="B133" s="186"/>
      <c r="C133" s="184"/>
      <c r="D133" s="216" t="s">
        <v>761</v>
      </c>
      <c r="E133" s="217"/>
      <c r="F133" s="217"/>
      <c r="G133" s="217"/>
      <c r="H133" s="217"/>
      <c r="I133" s="217"/>
      <c r="J133" s="77"/>
      <c r="K133" s="214">
        <v>0.2</v>
      </c>
      <c r="L133" s="215"/>
      <c r="M133" s="214"/>
      <c r="N133" s="215"/>
      <c r="O133" s="214">
        <v>0.3</v>
      </c>
      <c r="P133" s="215"/>
      <c r="Q133" s="214"/>
      <c r="R133" s="215"/>
      <c r="S133" s="183">
        <v>3.26</v>
      </c>
      <c r="T133" s="184"/>
      <c r="U133" s="214"/>
      <c r="V133" s="215"/>
      <c r="W133" s="208">
        <f t="shared" si="8"/>
        <v>0.06</v>
      </c>
      <c r="X133" s="209"/>
      <c r="Y133" s="210"/>
      <c r="Z133" s="180">
        <f t="shared" si="9"/>
        <v>0.19559999999999997</v>
      </c>
      <c r="AA133" s="181"/>
      <c r="AB133" s="182"/>
      <c r="AC133" s="54"/>
      <c r="AD133" s="55"/>
      <c r="AE133" s="56"/>
      <c r="AF133" s="54"/>
      <c r="AG133" s="55"/>
      <c r="AH133" s="57"/>
    </row>
    <row r="134" spans="1:35" ht="15.75" x14ac:dyDescent="0.25">
      <c r="A134" s="185"/>
      <c r="B134" s="186"/>
      <c r="C134" s="184"/>
      <c r="D134" s="216" t="s">
        <v>762</v>
      </c>
      <c r="E134" s="217"/>
      <c r="F134" s="217"/>
      <c r="G134" s="217"/>
      <c r="H134" s="217"/>
      <c r="I134" s="217"/>
      <c r="J134" s="77"/>
      <c r="K134" s="214">
        <v>0.15</v>
      </c>
      <c r="L134" s="215"/>
      <c r="M134" s="214"/>
      <c r="N134" s="215"/>
      <c r="O134" s="214">
        <v>0.3</v>
      </c>
      <c r="P134" s="215"/>
      <c r="Q134" s="214"/>
      <c r="R134" s="215"/>
      <c r="S134" s="183">
        <v>6.4</v>
      </c>
      <c r="T134" s="184"/>
      <c r="U134" s="183"/>
      <c r="V134" s="184"/>
      <c r="W134" s="208">
        <f t="shared" si="8"/>
        <v>4.4999999999999998E-2</v>
      </c>
      <c r="X134" s="209"/>
      <c r="Y134" s="210"/>
      <c r="Z134" s="180">
        <f t="shared" si="9"/>
        <v>0.28799999999999998</v>
      </c>
      <c r="AA134" s="181"/>
      <c r="AB134" s="182"/>
      <c r="AC134" s="54"/>
      <c r="AD134" s="55"/>
      <c r="AE134" s="56"/>
      <c r="AF134" s="54"/>
      <c r="AG134" s="55"/>
      <c r="AH134" s="57"/>
    </row>
    <row r="135" spans="1:35" ht="15.75" x14ac:dyDescent="0.25">
      <c r="A135" s="185"/>
      <c r="B135" s="186"/>
      <c r="C135" s="184"/>
      <c r="D135" s="216" t="s">
        <v>763</v>
      </c>
      <c r="E135" s="217"/>
      <c r="F135" s="217"/>
      <c r="G135" s="217"/>
      <c r="H135" s="217"/>
      <c r="I135" s="217"/>
      <c r="J135" s="77"/>
      <c r="K135" s="214">
        <v>0.15</v>
      </c>
      <c r="L135" s="215"/>
      <c r="M135" s="214"/>
      <c r="N135" s="215"/>
      <c r="O135" s="214">
        <v>0.3</v>
      </c>
      <c r="P135" s="215"/>
      <c r="Q135" s="214"/>
      <c r="R135" s="215"/>
      <c r="S135" s="183">
        <v>2.04</v>
      </c>
      <c r="T135" s="184"/>
      <c r="U135" s="214"/>
      <c r="V135" s="215"/>
      <c r="W135" s="208">
        <f t="shared" si="8"/>
        <v>4.4999999999999998E-2</v>
      </c>
      <c r="X135" s="209"/>
      <c r="Y135" s="210"/>
      <c r="Z135" s="180">
        <f t="shared" si="9"/>
        <v>9.1799999999999993E-2</v>
      </c>
      <c r="AA135" s="181"/>
      <c r="AB135" s="182"/>
      <c r="AC135" s="54"/>
      <c r="AD135" s="55"/>
      <c r="AE135" s="56"/>
      <c r="AF135" s="54"/>
      <c r="AG135" s="55"/>
      <c r="AH135" s="57"/>
    </row>
    <row r="136" spans="1:35" ht="15.75" x14ac:dyDescent="0.25">
      <c r="A136" s="185"/>
      <c r="B136" s="186"/>
      <c r="C136" s="184"/>
      <c r="D136" s="216" t="s">
        <v>764</v>
      </c>
      <c r="E136" s="217"/>
      <c r="F136" s="217"/>
      <c r="G136" s="217"/>
      <c r="H136" s="217"/>
      <c r="I136" s="217"/>
      <c r="J136" s="77"/>
      <c r="K136" s="214">
        <v>0.15</v>
      </c>
      <c r="L136" s="215"/>
      <c r="M136" s="214"/>
      <c r="N136" s="215"/>
      <c r="O136" s="214">
        <v>0.3</v>
      </c>
      <c r="P136" s="215"/>
      <c r="Q136" s="214"/>
      <c r="R136" s="215"/>
      <c r="S136" s="183">
        <f>11.89+12+12+3.74</f>
        <v>39.630000000000003</v>
      </c>
      <c r="T136" s="184"/>
      <c r="U136" s="214"/>
      <c r="V136" s="215"/>
      <c r="W136" s="208">
        <f t="shared" si="8"/>
        <v>4.4999999999999998E-2</v>
      </c>
      <c r="X136" s="209"/>
      <c r="Y136" s="210"/>
      <c r="Z136" s="180">
        <f t="shared" si="9"/>
        <v>1.78335</v>
      </c>
      <c r="AA136" s="181"/>
      <c r="AB136" s="182"/>
      <c r="AC136" s="54"/>
      <c r="AD136" s="55"/>
      <c r="AE136" s="56"/>
      <c r="AF136" s="54"/>
      <c r="AG136" s="55"/>
      <c r="AH136" s="57"/>
    </row>
    <row r="137" spans="1:35" ht="15.75" x14ac:dyDescent="0.25">
      <c r="A137" s="185"/>
      <c r="B137" s="186"/>
      <c r="C137" s="184"/>
      <c r="D137" s="216" t="s">
        <v>765</v>
      </c>
      <c r="E137" s="217"/>
      <c r="F137" s="217"/>
      <c r="G137" s="217"/>
      <c r="H137" s="217"/>
      <c r="I137" s="217"/>
      <c r="J137" s="77"/>
      <c r="K137" s="214">
        <v>0.15</v>
      </c>
      <c r="L137" s="215"/>
      <c r="M137" s="214"/>
      <c r="N137" s="215"/>
      <c r="O137" s="214">
        <v>0.3</v>
      </c>
      <c r="P137" s="215"/>
      <c r="Q137" s="214"/>
      <c r="R137" s="215"/>
      <c r="S137" s="183">
        <v>6.4</v>
      </c>
      <c r="T137" s="184"/>
      <c r="U137" s="214"/>
      <c r="V137" s="215"/>
      <c r="W137" s="208">
        <f t="shared" si="8"/>
        <v>4.4999999999999998E-2</v>
      </c>
      <c r="X137" s="209"/>
      <c r="Y137" s="210"/>
      <c r="Z137" s="180">
        <f t="shared" si="9"/>
        <v>0.28799999999999998</v>
      </c>
      <c r="AA137" s="181"/>
      <c r="AB137" s="182"/>
      <c r="AC137" s="54"/>
      <c r="AD137" s="55"/>
      <c r="AE137" s="56"/>
      <c r="AF137" s="54"/>
      <c r="AG137" s="55"/>
      <c r="AH137" s="57"/>
    </row>
    <row r="138" spans="1:35" ht="15.75" x14ac:dyDescent="0.25">
      <c r="A138" s="185"/>
      <c r="B138" s="186"/>
      <c r="C138" s="184"/>
      <c r="D138" s="216" t="s">
        <v>766</v>
      </c>
      <c r="E138" s="217"/>
      <c r="F138" s="217"/>
      <c r="G138" s="217"/>
      <c r="H138" s="217"/>
      <c r="I138" s="217"/>
      <c r="J138" s="77"/>
      <c r="K138" s="214">
        <v>0.15</v>
      </c>
      <c r="L138" s="215"/>
      <c r="M138" s="214"/>
      <c r="N138" s="215"/>
      <c r="O138" s="214">
        <v>0.3</v>
      </c>
      <c r="P138" s="215"/>
      <c r="Q138" s="214"/>
      <c r="R138" s="215"/>
      <c r="S138" s="183">
        <v>1.7</v>
      </c>
      <c r="T138" s="184"/>
      <c r="U138" s="214"/>
      <c r="V138" s="215"/>
      <c r="W138" s="208">
        <f t="shared" si="8"/>
        <v>4.4999999999999998E-2</v>
      </c>
      <c r="X138" s="209"/>
      <c r="Y138" s="210"/>
      <c r="Z138" s="180">
        <f t="shared" si="9"/>
        <v>7.6499999999999999E-2</v>
      </c>
      <c r="AA138" s="181"/>
      <c r="AB138" s="182"/>
      <c r="AC138" s="54"/>
      <c r="AD138" s="55"/>
      <c r="AE138" s="56"/>
      <c r="AF138" s="54"/>
      <c r="AG138" s="55"/>
      <c r="AH138" s="57"/>
    </row>
    <row r="139" spans="1:35" ht="15.75" x14ac:dyDescent="0.25">
      <c r="A139" s="185"/>
      <c r="B139" s="186"/>
      <c r="C139" s="184"/>
      <c r="D139" s="216" t="s">
        <v>767</v>
      </c>
      <c r="E139" s="217"/>
      <c r="F139" s="217"/>
      <c r="G139" s="217"/>
      <c r="H139" s="217"/>
      <c r="I139" s="217"/>
      <c r="J139" s="77"/>
      <c r="K139" s="214">
        <v>0.15</v>
      </c>
      <c r="L139" s="215"/>
      <c r="M139" s="214"/>
      <c r="N139" s="215"/>
      <c r="O139" s="214">
        <v>0.3</v>
      </c>
      <c r="P139" s="215"/>
      <c r="Q139" s="214"/>
      <c r="R139" s="215"/>
      <c r="S139" s="183">
        <f>11.81+8.84+12+6.85</f>
        <v>39.5</v>
      </c>
      <c r="T139" s="184"/>
      <c r="U139" s="214"/>
      <c r="V139" s="215"/>
      <c r="W139" s="208">
        <f t="shared" si="8"/>
        <v>4.4999999999999998E-2</v>
      </c>
      <c r="X139" s="209"/>
      <c r="Y139" s="210"/>
      <c r="Z139" s="180">
        <f t="shared" si="9"/>
        <v>1.7774999999999999</v>
      </c>
      <c r="AA139" s="181"/>
      <c r="AB139" s="182"/>
      <c r="AC139" s="54"/>
      <c r="AD139" s="55"/>
      <c r="AE139" s="56"/>
      <c r="AF139" s="54"/>
      <c r="AG139" s="55"/>
      <c r="AH139" s="57"/>
    </row>
    <row r="140" spans="1:35" ht="15.75" x14ac:dyDescent="0.25">
      <c r="A140" s="185"/>
      <c r="B140" s="186"/>
      <c r="C140" s="184"/>
      <c r="D140" s="216" t="s">
        <v>768</v>
      </c>
      <c r="E140" s="217"/>
      <c r="F140" s="217"/>
      <c r="G140" s="217"/>
      <c r="H140" s="217"/>
      <c r="I140" s="217"/>
      <c r="J140" s="77"/>
      <c r="K140" s="214">
        <v>0.15</v>
      </c>
      <c r="L140" s="215"/>
      <c r="M140" s="214"/>
      <c r="N140" s="215"/>
      <c r="O140" s="214">
        <v>0.3</v>
      </c>
      <c r="P140" s="215"/>
      <c r="Q140" s="214"/>
      <c r="R140" s="215"/>
      <c r="S140" s="183">
        <v>4.24</v>
      </c>
      <c r="T140" s="184"/>
      <c r="U140" s="214"/>
      <c r="V140" s="215"/>
      <c r="W140" s="208">
        <f t="shared" si="8"/>
        <v>4.4999999999999998E-2</v>
      </c>
      <c r="X140" s="209"/>
      <c r="Y140" s="210"/>
      <c r="Z140" s="180">
        <f t="shared" si="9"/>
        <v>0.1908</v>
      </c>
      <c r="AA140" s="181"/>
      <c r="AB140" s="182"/>
      <c r="AC140" s="54"/>
      <c r="AD140" s="55"/>
      <c r="AE140" s="56"/>
      <c r="AF140" s="54"/>
      <c r="AG140" s="55"/>
      <c r="AH140" s="57"/>
    </row>
    <row r="141" spans="1:35" ht="15.75" x14ac:dyDescent="0.25">
      <c r="A141" s="185"/>
      <c r="B141" s="186"/>
      <c r="C141" s="184"/>
      <c r="D141" s="216" t="s">
        <v>769</v>
      </c>
      <c r="E141" s="217"/>
      <c r="F141" s="217"/>
      <c r="G141" s="217"/>
      <c r="H141" s="217"/>
      <c r="I141" s="217"/>
      <c r="J141" s="77"/>
      <c r="K141" s="214">
        <v>0.15</v>
      </c>
      <c r="L141" s="215"/>
      <c r="M141" s="214"/>
      <c r="N141" s="215"/>
      <c r="O141" s="214">
        <v>0.3</v>
      </c>
      <c r="P141" s="215"/>
      <c r="Q141" s="214"/>
      <c r="R141" s="215"/>
      <c r="S141" s="183">
        <v>5.64</v>
      </c>
      <c r="T141" s="184"/>
      <c r="U141" s="214"/>
      <c r="V141" s="215"/>
      <c r="W141" s="208">
        <f t="shared" si="8"/>
        <v>4.4999999999999998E-2</v>
      </c>
      <c r="X141" s="209"/>
      <c r="Y141" s="210"/>
      <c r="Z141" s="180">
        <f t="shared" si="9"/>
        <v>0.25379999999999997</v>
      </c>
      <c r="AA141" s="181"/>
      <c r="AB141" s="182"/>
      <c r="AC141" s="54"/>
      <c r="AD141" s="55"/>
      <c r="AE141" s="56"/>
      <c r="AF141" s="54"/>
      <c r="AG141" s="55"/>
      <c r="AH141" s="57"/>
    </row>
    <row r="142" spans="1:35" ht="15.75" x14ac:dyDescent="0.25">
      <c r="A142" s="185"/>
      <c r="B142" s="186"/>
      <c r="C142" s="184"/>
      <c r="D142" s="216" t="s">
        <v>770</v>
      </c>
      <c r="E142" s="217"/>
      <c r="F142" s="217"/>
      <c r="G142" s="217"/>
      <c r="H142" s="217"/>
      <c r="I142" s="217"/>
      <c r="J142" s="77"/>
      <c r="K142" s="183">
        <v>0.2</v>
      </c>
      <c r="L142" s="184"/>
      <c r="M142" s="183"/>
      <c r="N142" s="184"/>
      <c r="O142" s="214">
        <v>0.3</v>
      </c>
      <c r="P142" s="215"/>
      <c r="Q142" s="183"/>
      <c r="R142" s="184"/>
      <c r="S142" s="183">
        <f>11.81+9.24+12+6.41</f>
        <v>39.459999999999994</v>
      </c>
      <c r="T142" s="184"/>
      <c r="U142" s="183"/>
      <c r="V142" s="184"/>
      <c r="W142" s="208">
        <f t="shared" si="8"/>
        <v>0.06</v>
      </c>
      <c r="X142" s="209"/>
      <c r="Y142" s="210"/>
      <c r="Z142" s="180">
        <f t="shared" si="9"/>
        <v>2.3675999999999995</v>
      </c>
      <c r="AA142" s="181"/>
      <c r="AB142" s="182"/>
      <c r="AC142" s="54"/>
      <c r="AD142" s="55"/>
      <c r="AE142" s="56"/>
      <c r="AF142" s="54"/>
      <c r="AG142" s="55"/>
      <c r="AH142" s="57"/>
    </row>
    <row r="143" spans="1:35" ht="15.75" x14ac:dyDescent="0.25">
      <c r="A143" s="185"/>
      <c r="B143" s="186"/>
      <c r="C143" s="184"/>
      <c r="D143" s="211" t="s">
        <v>771</v>
      </c>
      <c r="E143" s="212"/>
      <c r="F143" s="212"/>
      <c r="G143" s="212"/>
      <c r="H143" s="212"/>
      <c r="I143" s="213"/>
      <c r="J143" s="77"/>
      <c r="K143" s="214">
        <v>0.15</v>
      </c>
      <c r="L143" s="215"/>
      <c r="M143" s="214"/>
      <c r="N143" s="215"/>
      <c r="O143" s="214">
        <v>0.3</v>
      </c>
      <c r="P143" s="215"/>
      <c r="Q143" s="214"/>
      <c r="R143" s="215"/>
      <c r="S143" s="183">
        <f>10.61</f>
        <v>10.61</v>
      </c>
      <c r="T143" s="184"/>
      <c r="U143" s="214"/>
      <c r="V143" s="215"/>
      <c r="W143" s="208">
        <f t="shared" si="8"/>
        <v>4.4999999999999998E-2</v>
      </c>
      <c r="X143" s="209"/>
      <c r="Y143" s="210"/>
      <c r="Z143" s="180">
        <f t="shared" si="9"/>
        <v>0.47744999999999993</v>
      </c>
      <c r="AA143" s="181"/>
      <c r="AB143" s="182"/>
      <c r="AC143" s="54"/>
      <c r="AD143" s="55"/>
      <c r="AE143" s="56"/>
      <c r="AF143" s="54"/>
      <c r="AG143" s="55"/>
      <c r="AH143" s="57"/>
    </row>
    <row r="144" spans="1:35" ht="15.75" x14ac:dyDescent="0.25">
      <c r="A144" s="185"/>
      <c r="B144" s="186"/>
      <c r="C144" s="184"/>
      <c r="D144" s="211" t="s">
        <v>772</v>
      </c>
      <c r="E144" s="212"/>
      <c r="F144" s="212"/>
      <c r="G144" s="212"/>
      <c r="H144" s="212"/>
      <c r="I144" s="213"/>
      <c r="J144" s="77"/>
      <c r="K144" s="214">
        <v>0.15</v>
      </c>
      <c r="L144" s="215"/>
      <c r="M144" s="214"/>
      <c r="N144" s="215"/>
      <c r="O144" s="214">
        <v>0.3</v>
      </c>
      <c r="P144" s="215"/>
      <c r="Q144" s="214"/>
      <c r="R144" s="215"/>
      <c r="S144" s="183">
        <f>11.89+12+12+3.96</f>
        <v>39.85</v>
      </c>
      <c r="T144" s="184"/>
      <c r="U144" s="214"/>
      <c r="V144" s="215"/>
      <c r="W144" s="208">
        <f t="shared" si="8"/>
        <v>4.4999999999999998E-2</v>
      </c>
      <c r="X144" s="209"/>
      <c r="Y144" s="210"/>
      <c r="Z144" s="180">
        <f t="shared" si="9"/>
        <v>1.79325</v>
      </c>
      <c r="AA144" s="181"/>
      <c r="AB144" s="182"/>
      <c r="AC144" s="54"/>
      <c r="AD144" s="55"/>
      <c r="AE144" s="56"/>
      <c r="AF144" s="54"/>
      <c r="AG144" s="55"/>
      <c r="AH144" s="57"/>
    </row>
    <row r="145" spans="1:34" ht="15.75" x14ac:dyDescent="0.25">
      <c r="A145" s="185"/>
      <c r="B145" s="186"/>
      <c r="C145" s="184"/>
      <c r="D145" s="211" t="s">
        <v>773</v>
      </c>
      <c r="E145" s="212"/>
      <c r="F145" s="212"/>
      <c r="G145" s="212"/>
      <c r="H145" s="212"/>
      <c r="I145" s="213"/>
      <c r="J145" s="77"/>
      <c r="K145" s="214">
        <v>0.15</v>
      </c>
      <c r="L145" s="215"/>
      <c r="M145" s="214"/>
      <c r="N145" s="215"/>
      <c r="O145" s="214">
        <v>0.3</v>
      </c>
      <c r="P145" s="215"/>
      <c r="Q145" s="214"/>
      <c r="R145" s="215"/>
      <c r="S145" s="183">
        <v>10.62</v>
      </c>
      <c r="T145" s="184"/>
      <c r="U145" s="214"/>
      <c r="V145" s="215"/>
      <c r="W145" s="208">
        <f t="shared" si="8"/>
        <v>4.4999999999999998E-2</v>
      </c>
      <c r="X145" s="209"/>
      <c r="Y145" s="210"/>
      <c r="Z145" s="180">
        <f t="shared" si="9"/>
        <v>0.47789999999999994</v>
      </c>
      <c r="AA145" s="181"/>
      <c r="AB145" s="182"/>
      <c r="AC145" s="54"/>
      <c r="AD145" s="55"/>
      <c r="AE145" s="56"/>
      <c r="AF145" s="54"/>
      <c r="AG145" s="55"/>
      <c r="AH145" s="57"/>
    </row>
    <row r="146" spans="1:34" ht="15.75" x14ac:dyDescent="0.25">
      <c r="A146" s="185"/>
      <c r="B146" s="186"/>
      <c r="C146" s="184"/>
      <c r="D146" s="211" t="s">
        <v>774</v>
      </c>
      <c r="E146" s="212"/>
      <c r="F146" s="212"/>
      <c r="G146" s="212"/>
      <c r="H146" s="212"/>
      <c r="I146" s="213"/>
      <c r="J146" s="77"/>
      <c r="K146" s="214">
        <v>0.15</v>
      </c>
      <c r="L146" s="215"/>
      <c r="M146" s="214"/>
      <c r="N146" s="215"/>
      <c r="O146" s="214">
        <v>0.3</v>
      </c>
      <c r="P146" s="215"/>
      <c r="Q146" s="214"/>
      <c r="R146" s="215"/>
      <c r="S146" s="183">
        <f>12+7.43</f>
        <v>19.43</v>
      </c>
      <c r="T146" s="184"/>
      <c r="U146" s="214"/>
      <c r="V146" s="215"/>
      <c r="W146" s="208">
        <f t="shared" si="8"/>
        <v>4.4999999999999998E-2</v>
      </c>
      <c r="X146" s="209"/>
      <c r="Y146" s="210"/>
      <c r="Z146" s="180">
        <f t="shared" si="9"/>
        <v>0.87434999999999996</v>
      </c>
      <c r="AA146" s="181"/>
      <c r="AB146" s="182"/>
      <c r="AC146" s="54"/>
      <c r="AD146" s="55"/>
      <c r="AE146" s="56"/>
      <c r="AF146" s="54"/>
      <c r="AG146" s="55"/>
      <c r="AH146" s="57"/>
    </row>
    <row r="147" spans="1:34" ht="15.75" x14ac:dyDescent="0.25">
      <c r="A147" s="185"/>
      <c r="B147" s="186"/>
      <c r="C147" s="184"/>
      <c r="D147" s="211" t="s">
        <v>775</v>
      </c>
      <c r="E147" s="212"/>
      <c r="F147" s="212"/>
      <c r="G147" s="212"/>
      <c r="H147" s="212"/>
      <c r="I147" s="213"/>
      <c r="J147" s="77"/>
      <c r="K147" s="214">
        <v>0.15</v>
      </c>
      <c r="L147" s="215"/>
      <c r="M147" s="214"/>
      <c r="N147" s="215"/>
      <c r="O147" s="214">
        <v>0.3</v>
      </c>
      <c r="P147" s="215"/>
      <c r="Q147" s="214"/>
      <c r="R147" s="215"/>
      <c r="S147" s="183">
        <f>12+12+8.05</f>
        <v>32.049999999999997</v>
      </c>
      <c r="T147" s="184"/>
      <c r="U147" s="214"/>
      <c r="V147" s="215"/>
      <c r="W147" s="208">
        <f t="shared" si="8"/>
        <v>4.4999999999999998E-2</v>
      </c>
      <c r="X147" s="209"/>
      <c r="Y147" s="210"/>
      <c r="Z147" s="180">
        <f t="shared" si="9"/>
        <v>1.4422499999999998</v>
      </c>
      <c r="AA147" s="181"/>
      <c r="AB147" s="182"/>
      <c r="AC147" s="54"/>
      <c r="AD147" s="55"/>
      <c r="AE147" s="56"/>
      <c r="AF147" s="54"/>
      <c r="AG147" s="55"/>
      <c r="AH147" s="57"/>
    </row>
    <row r="148" spans="1:34" ht="15.75" x14ac:dyDescent="0.25">
      <c r="A148" s="185"/>
      <c r="B148" s="186"/>
      <c r="C148" s="184"/>
      <c r="D148" s="211" t="s">
        <v>776</v>
      </c>
      <c r="E148" s="212"/>
      <c r="F148" s="212"/>
      <c r="G148" s="212"/>
      <c r="H148" s="212"/>
      <c r="I148" s="213"/>
      <c r="J148" s="77"/>
      <c r="K148" s="214">
        <v>0.15</v>
      </c>
      <c r="L148" s="215"/>
      <c r="M148" s="214"/>
      <c r="N148" s="215"/>
      <c r="O148" s="214">
        <v>0.3</v>
      </c>
      <c r="P148" s="215"/>
      <c r="Q148" s="214"/>
      <c r="R148" s="215"/>
      <c r="S148" s="183">
        <f>12+7.24</f>
        <v>19.240000000000002</v>
      </c>
      <c r="T148" s="184"/>
      <c r="U148" s="214"/>
      <c r="V148" s="215"/>
      <c r="W148" s="208">
        <f t="shared" si="8"/>
        <v>4.4999999999999998E-2</v>
      </c>
      <c r="X148" s="209"/>
      <c r="Y148" s="210"/>
      <c r="Z148" s="180">
        <f t="shared" si="9"/>
        <v>0.86580000000000001</v>
      </c>
      <c r="AA148" s="181"/>
      <c r="AB148" s="182"/>
      <c r="AC148" s="54"/>
      <c r="AD148" s="55"/>
      <c r="AE148" s="56"/>
      <c r="AF148" s="54"/>
      <c r="AG148" s="55"/>
      <c r="AH148" s="57"/>
    </row>
    <row r="149" spans="1:34" ht="15.75" x14ac:dyDescent="0.25">
      <c r="A149" s="185"/>
      <c r="B149" s="186"/>
      <c r="C149" s="184"/>
      <c r="D149" s="211" t="s">
        <v>777</v>
      </c>
      <c r="E149" s="212"/>
      <c r="F149" s="212"/>
      <c r="G149" s="212"/>
      <c r="H149" s="212"/>
      <c r="I149" s="213"/>
      <c r="J149" s="77"/>
      <c r="K149" s="214">
        <v>0.15</v>
      </c>
      <c r="L149" s="215"/>
      <c r="M149" s="214"/>
      <c r="N149" s="215"/>
      <c r="O149" s="214">
        <v>0.3</v>
      </c>
      <c r="P149" s="215"/>
      <c r="Q149" s="214"/>
      <c r="R149" s="215"/>
      <c r="S149" s="183">
        <f>12+12+8.27</f>
        <v>32.269999999999996</v>
      </c>
      <c r="T149" s="184"/>
      <c r="U149" s="214"/>
      <c r="V149" s="215"/>
      <c r="W149" s="208">
        <f t="shared" si="8"/>
        <v>4.4999999999999998E-2</v>
      </c>
      <c r="X149" s="209"/>
      <c r="Y149" s="210"/>
      <c r="Z149" s="180">
        <f t="shared" si="9"/>
        <v>1.4521499999999998</v>
      </c>
      <c r="AA149" s="181"/>
      <c r="AB149" s="182"/>
      <c r="AC149" s="54"/>
      <c r="AD149" s="55"/>
      <c r="AE149" s="56"/>
      <c r="AF149" s="54"/>
      <c r="AG149" s="55"/>
      <c r="AH149" s="57"/>
    </row>
    <row r="150" spans="1:34" ht="15.75" x14ac:dyDescent="0.25">
      <c r="A150" s="185"/>
      <c r="B150" s="186"/>
      <c r="C150" s="184"/>
      <c r="D150" s="211" t="s">
        <v>778</v>
      </c>
      <c r="E150" s="212"/>
      <c r="F150" s="212"/>
      <c r="G150" s="212"/>
      <c r="H150" s="212"/>
      <c r="I150" s="213"/>
      <c r="J150" s="77"/>
      <c r="K150" s="183">
        <v>0.15</v>
      </c>
      <c r="L150" s="184"/>
      <c r="M150" s="183"/>
      <c r="N150" s="184"/>
      <c r="O150" s="214">
        <v>0.4</v>
      </c>
      <c r="P150" s="215"/>
      <c r="Q150" s="183"/>
      <c r="R150" s="184"/>
      <c r="S150" s="183">
        <f>9.74</f>
        <v>9.74</v>
      </c>
      <c r="T150" s="184"/>
      <c r="U150" s="183"/>
      <c r="V150" s="184"/>
      <c r="W150" s="208">
        <f t="shared" si="8"/>
        <v>0.06</v>
      </c>
      <c r="X150" s="209"/>
      <c r="Y150" s="210"/>
      <c r="Z150" s="180">
        <f t="shared" si="9"/>
        <v>0.58440000000000003</v>
      </c>
      <c r="AA150" s="181"/>
      <c r="AB150" s="182"/>
      <c r="AC150" s="54"/>
      <c r="AD150" s="55"/>
      <c r="AE150" s="56"/>
      <c r="AF150" s="54"/>
      <c r="AG150" s="55"/>
      <c r="AH150" s="57"/>
    </row>
    <row r="151" spans="1:34" ht="15.75" x14ac:dyDescent="0.25">
      <c r="A151" s="185"/>
      <c r="B151" s="186"/>
      <c r="C151" s="184"/>
      <c r="D151" s="211" t="s">
        <v>779</v>
      </c>
      <c r="E151" s="212"/>
      <c r="F151" s="212"/>
      <c r="G151" s="212"/>
      <c r="H151" s="212"/>
      <c r="I151" s="213"/>
      <c r="J151" s="77"/>
      <c r="K151" s="214">
        <v>0.2</v>
      </c>
      <c r="L151" s="215"/>
      <c r="M151" s="214"/>
      <c r="N151" s="215"/>
      <c r="O151" s="214">
        <v>0.4</v>
      </c>
      <c r="P151" s="215"/>
      <c r="Q151" s="214"/>
      <c r="R151" s="215"/>
      <c r="S151" s="183">
        <v>1.7</v>
      </c>
      <c r="T151" s="184"/>
      <c r="U151" s="214"/>
      <c r="V151" s="215"/>
      <c r="W151" s="208">
        <f t="shared" si="8"/>
        <v>8.0000000000000016E-2</v>
      </c>
      <c r="X151" s="209"/>
      <c r="Y151" s="210"/>
      <c r="Z151" s="180">
        <f t="shared" si="9"/>
        <v>0.13600000000000001</v>
      </c>
      <c r="AA151" s="181"/>
      <c r="AB151" s="182"/>
      <c r="AC151" s="54"/>
      <c r="AD151" s="55"/>
      <c r="AE151" s="56"/>
      <c r="AF151" s="54"/>
      <c r="AG151" s="55"/>
      <c r="AH151" s="57"/>
    </row>
    <row r="152" spans="1:34" ht="15.75" x14ac:dyDescent="0.25">
      <c r="A152" s="185"/>
      <c r="B152" s="186"/>
      <c r="C152" s="184"/>
      <c r="D152" s="211" t="s">
        <v>780</v>
      </c>
      <c r="E152" s="212"/>
      <c r="F152" s="212"/>
      <c r="G152" s="212"/>
      <c r="H152" s="212"/>
      <c r="I152" s="213"/>
      <c r="J152" s="77"/>
      <c r="K152" s="214">
        <v>0.15</v>
      </c>
      <c r="L152" s="215"/>
      <c r="M152" s="214"/>
      <c r="N152" s="215"/>
      <c r="O152" s="214">
        <v>0.3</v>
      </c>
      <c r="P152" s="215"/>
      <c r="Q152" s="214"/>
      <c r="R152" s="215"/>
      <c r="S152" s="183">
        <v>10.61</v>
      </c>
      <c r="T152" s="184"/>
      <c r="U152" s="214"/>
      <c r="V152" s="215"/>
      <c r="W152" s="208">
        <f t="shared" si="8"/>
        <v>4.4999999999999998E-2</v>
      </c>
      <c r="X152" s="209"/>
      <c r="Y152" s="210"/>
      <c r="Z152" s="180">
        <f t="shared" si="9"/>
        <v>0.47744999999999993</v>
      </c>
      <c r="AA152" s="181"/>
      <c r="AB152" s="182"/>
      <c r="AC152" s="54"/>
      <c r="AD152" s="55"/>
      <c r="AE152" s="56"/>
      <c r="AF152" s="54"/>
      <c r="AG152" s="55"/>
      <c r="AH152" s="57"/>
    </row>
    <row r="153" spans="1:34" ht="15.75" x14ac:dyDescent="0.25">
      <c r="A153" s="185"/>
      <c r="B153" s="186"/>
      <c r="C153" s="184"/>
      <c r="D153" s="211" t="s">
        <v>781</v>
      </c>
      <c r="E153" s="212"/>
      <c r="F153" s="212"/>
      <c r="G153" s="212"/>
      <c r="H153" s="212"/>
      <c r="I153" s="213"/>
      <c r="J153" s="77"/>
      <c r="K153" s="214">
        <v>0.15</v>
      </c>
      <c r="L153" s="215"/>
      <c r="M153" s="214"/>
      <c r="N153" s="215"/>
      <c r="O153" s="214">
        <v>0.3</v>
      </c>
      <c r="P153" s="215"/>
      <c r="Q153" s="214"/>
      <c r="R153" s="215"/>
      <c r="S153" s="183">
        <f>12+7.53</f>
        <v>19.53</v>
      </c>
      <c r="T153" s="184"/>
      <c r="U153" s="214"/>
      <c r="V153" s="215"/>
      <c r="W153" s="208">
        <f t="shared" si="8"/>
        <v>4.4999999999999998E-2</v>
      </c>
      <c r="X153" s="209"/>
      <c r="Y153" s="210"/>
      <c r="Z153" s="180">
        <f t="shared" si="9"/>
        <v>0.87885000000000002</v>
      </c>
      <c r="AA153" s="181"/>
      <c r="AB153" s="182"/>
      <c r="AC153" s="54"/>
      <c r="AD153" s="55"/>
      <c r="AE153" s="56"/>
      <c r="AF153" s="54"/>
      <c r="AG153" s="55"/>
      <c r="AH153" s="57"/>
    </row>
    <row r="154" spans="1:34" ht="15.75" x14ac:dyDescent="0.25">
      <c r="A154" s="185"/>
      <c r="B154" s="186"/>
      <c r="C154" s="184"/>
      <c r="D154" s="211" t="s">
        <v>782</v>
      </c>
      <c r="E154" s="212"/>
      <c r="F154" s="212"/>
      <c r="G154" s="212"/>
      <c r="H154" s="212"/>
      <c r="I154" s="213"/>
      <c r="J154" s="77"/>
      <c r="K154" s="214">
        <v>0.15</v>
      </c>
      <c r="L154" s="215"/>
      <c r="M154" s="214"/>
      <c r="N154" s="215"/>
      <c r="O154" s="214">
        <v>0.3</v>
      </c>
      <c r="P154" s="215"/>
      <c r="Q154" s="214"/>
      <c r="R154" s="215"/>
      <c r="S154" s="183">
        <f>12+12+8.39</f>
        <v>32.39</v>
      </c>
      <c r="T154" s="184"/>
      <c r="U154" s="214"/>
      <c r="V154" s="215"/>
      <c r="W154" s="208">
        <f t="shared" si="8"/>
        <v>4.4999999999999998E-2</v>
      </c>
      <c r="X154" s="209"/>
      <c r="Y154" s="210"/>
      <c r="Z154" s="180">
        <f t="shared" si="9"/>
        <v>1.4575499999999999</v>
      </c>
      <c r="AA154" s="181"/>
      <c r="AB154" s="182"/>
      <c r="AC154" s="54"/>
      <c r="AD154" s="55"/>
      <c r="AE154" s="56"/>
      <c r="AF154" s="54"/>
      <c r="AG154" s="55"/>
      <c r="AH154" s="57"/>
    </row>
    <row r="155" spans="1:34" ht="15.75" x14ac:dyDescent="0.25">
      <c r="A155" s="185"/>
      <c r="B155" s="186"/>
      <c r="C155" s="184"/>
      <c r="D155" s="211" t="s">
        <v>783</v>
      </c>
      <c r="E155" s="212"/>
      <c r="F155" s="212"/>
      <c r="G155" s="212"/>
      <c r="H155" s="212"/>
      <c r="I155" s="213"/>
      <c r="J155" s="77"/>
      <c r="K155" s="214">
        <v>0.15</v>
      </c>
      <c r="L155" s="215"/>
      <c r="M155" s="214"/>
      <c r="N155" s="215"/>
      <c r="O155" s="214">
        <v>0.3</v>
      </c>
      <c r="P155" s="215"/>
      <c r="Q155" s="214"/>
      <c r="R155" s="215"/>
      <c r="S155" s="183">
        <f>11.85+10.69+2.02</f>
        <v>24.56</v>
      </c>
      <c r="T155" s="184"/>
      <c r="U155" s="214"/>
      <c r="V155" s="215"/>
      <c r="W155" s="208">
        <f t="shared" si="8"/>
        <v>4.4999999999999998E-2</v>
      </c>
      <c r="X155" s="209"/>
      <c r="Y155" s="210"/>
      <c r="Z155" s="180">
        <f t="shared" si="9"/>
        <v>1.1052</v>
      </c>
      <c r="AA155" s="181"/>
      <c r="AB155" s="182"/>
      <c r="AC155" s="54"/>
      <c r="AD155" s="55"/>
      <c r="AE155" s="56"/>
      <c r="AF155" s="54"/>
      <c r="AG155" s="55"/>
      <c r="AH155" s="57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K44:L44"/>
    <mergeCell ref="M44:N44"/>
    <mergeCell ref="O44:P44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Q78:R78"/>
    <mergeCell ref="O81:P81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Q53:R53"/>
    <mergeCell ref="S53:T53"/>
    <mergeCell ref="U53:V53"/>
    <mergeCell ref="W53:Y53"/>
    <mergeCell ref="A54:C54"/>
    <mergeCell ref="K54:L54"/>
    <mergeCell ref="M54:N54"/>
    <mergeCell ref="O54:P54"/>
    <mergeCell ref="D59:I59"/>
    <mergeCell ref="Q59:R59"/>
    <mergeCell ref="S59:T59"/>
    <mergeCell ref="U59:V59"/>
    <mergeCell ref="W59:Y59"/>
    <mergeCell ref="A60:C60"/>
    <mergeCell ref="K60:L60"/>
    <mergeCell ref="M60:N60"/>
    <mergeCell ref="O60:P60"/>
    <mergeCell ref="W55:Y55"/>
    <mergeCell ref="A56:C56"/>
    <mergeCell ref="K56:L56"/>
    <mergeCell ref="M56:N56"/>
    <mergeCell ref="O56:P56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Q58:R58"/>
    <mergeCell ref="S58:T58"/>
    <mergeCell ref="U58:V58"/>
    <mergeCell ref="W58:Y58"/>
    <mergeCell ref="A59:C59"/>
    <mergeCell ref="K59:L59"/>
    <mergeCell ref="M59:N59"/>
    <mergeCell ref="O59:P59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U60:V60"/>
    <mergeCell ref="W60:Y60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D61:I61"/>
    <mergeCell ref="Q62:R62"/>
    <mergeCell ref="S62:T62"/>
    <mergeCell ref="U62:V62"/>
    <mergeCell ref="W62:Y62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D98:I98"/>
    <mergeCell ref="D97:I97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W112:Y112"/>
    <mergeCell ref="W116:Y116"/>
    <mergeCell ref="W120:Y120"/>
    <mergeCell ref="U121:V121"/>
    <mergeCell ref="W121:Y121"/>
    <mergeCell ref="W124:Y124"/>
    <mergeCell ref="S121:T121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Z119:AB119"/>
    <mergeCell ref="D120:I120"/>
    <mergeCell ref="S118:T118"/>
    <mergeCell ref="Z118:AB118"/>
    <mergeCell ref="M81:N81"/>
    <mergeCell ref="Z121:AB12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AC72:AE72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5:Y115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19:Y119"/>
    <mergeCell ref="D118:I118"/>
    <mergeCell ref="S119:T119"/>
    <mergeCell ref="D119:I119"/>
    <mergeCell ref="A117:C117"/>
    <mergeCell ref="K117:L117"/>
    <mergeCell ref="M117:N117"/>
    <mergeCell ref="O117:P117"/>
    <mergeCell ref="Q117:R117"/>
    <mergeCell ref="U117:V117"/>
    <mergeCell ref="A123:C123"/>
    <mergeCell ref="K123:L123"/>
    <mergeCell ref="M123:N123"/>
    <mergeCell ref="O123:P123"/>
    <mergeCell ref="Q123:R123"/>
    <mergeCell ref="U123:V123"/>
    <mergeCell ref="A122:C122"/>
    <mergeCell ref="K122:L122"/>
    <mergeCell ref="M122:N122"/>
    <mergeCell ref="O122:P122"/>
    <mergeCell ref="Q122:R122"/>
    <mergeCell ref="U122:V122"/>
    <mergeCell ref="D122:I122"/>
    <mergeCell ref="S120:T120"/>
    <mergeCell ref="W123:Y123"/>
    <mergeCell ref="A124:C124"/>
    <mergeCell ref="K124:L124"/>
    <mergeCell ref="M124:N124"/>
    <mergeCell ref="O124:P124"/>
    <mergeCell ref="Q124:R124"/>
    <mergeCell ref="U124:V124"/>
    <mergeCell ref="A121:C121"/>
    <mergeCell ref="K121:L121"/>
    <mergeCell ref="M121:N121"/>
    <mergeCell ref="O121:P121"/>
    <mergeCell ref="Q121:R121"/>
    <mergeCell ref="A120:C120"/>
    <mergeCell ref="K120:L120"/>
    <mergeCell ref="M120:N120"/>
    <mergeCell ref="O120:P120"/>
    <mergeCell ref="Q120:R120"/>
    <mergeCell ref="U120:V120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5:C125"/>
    <mergeCell ref="K125:L125"/>
    <mergeCell ref="M125:N125"/>
    <mergeCell ref="O125:P125"/>
    <mergeCell ref="Q125:R125"/>
    <mergeCell ref="U125:V125"/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BM-07_ACUMULADO</vt:lpstr>
      <vt:lpstr>MEDIÇÃO 08</vt:lpstr>
      <vt:lpstr>MEMORIA BM 08</vt:lpstr>
      <vt:lpstr>MEMÓRIA MURO</vt:lpstr>
      <vt:lpstr>MEMORIA ATERRO</vt:lpstr>
      <vt:lpstr>MEMÓRIA ALVENARIA</vt:lpstr>
      <vt:lpstr>MEMÓRIA PILARES</vt:lpstr>
      <vt:lpstr>MEMÓRIA VIGAS</vt:lpstr>
      <vt:lpstr>'BM-07_ACUMULADO'!Area_de_impressao</vt:lpstr>
      <vt:lpstr>'MEDIÇÃO 08'!Area_de_impressao</vt:lpstr>
      <vt:lpstr>'MEMORIA ATERRO'!Area_de_impressao</vt:lpstr>
      <vt:lpstr>'MEMORIA BM 08'!Area_de_impressao</vt:lpstr>
      <vt:lpstr>'MEMÓRIA PILARES'!Area_de_impressao</vt:lpstr>
      <vt:lpstr>'MEMÓRIA VIGAS'!Area_de_impressao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2023-12-06T17:50:35Z</dcterms:created>
  <dcterms:modified xsi:type="dcterms:W3CDTF">2024-10-10T19:57:24Z</dcterms:modified>
</cp:coreProperties>
</file>