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AD6320AF-E56D-4E94-B9C3-CCEED3799289}" xr6:coauthVersionLast="47" xr6:coauthVersionMax="47" xr10:uidLastSave="{00000000-0000-0000-0000-000000000000}"/>
  <bookViews>
    <workbookView xWindow="-120" yWindow="-120" windowWidth="20730" windowHeight="11160" activeTab="3" xr2:uid="{A02EA123-0BA1-4A18-9498-8F3CC74A9515}"/>
  </bookViews>
  <sheets>
    <sheet name="BM.01" sheetId="2" r:id="rId1"/>
    <sheet name="Memória 01" sheetId="3" r:id="rId2"/>
    <sheet name="BM.02" sheetId="4" r:id="rId3"/>
    <sheet name="Memória 02" sheetId="5" r:id="rId4"/>
    <sheet name="Planilha1" sheetId="1" r:id="rId5"/>
  </sheets>
  <externalReferences>
    <externalReference r:id="rId6"/>
  </externalReferences>
  <definedNames>
    <definedName name="_xlnm.Print_Area" localSheetId="0">BM.01!$A$1:$J$30</definedName>
    <definedName name="_xlnm.Print_Area" localSheetId="2">BM.02!$A$1:$J$30</definedName>
    <definedName name="_xlnm.Print_Area" localSheetId="1">'Memória 01'!$A$1:$D$19</definedName>
    <definedName name="_xlnm.Print_Area" localSheetId="3">'Memória 02'!$A$1:$D$17</definedName>
    <definedName name="_xlnm.Print_Titles" localSheetId="0">BM.01!$10:$13</definedName>
    <definedName name="_xlnm.Print_Titles" localSheetId="2">BM.02!$10:$13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5" l="1"/>
  <c r="B16" i="5"/>
  <c r="A16" i="5"/>
  <c r="B15" i="5"/>
  <c r="B14" i="5"/>
  <c r="B12" i="5"/>
  <c r="B10" i="5"/>
  <c r="B9" i="5"/>
  <c r="B8" i="5"/>
  <c r="M7" i="5"/>
  <c r="L7" i="5"/>
  <c r="K7" i="5"/>
  <c r="J7" i="5"/>
  <c r="I7" i="5"/>
  <c r="H7" i="5"/>
  <c r="G7" i="5"/>
  <c r="E7" i="5"/>
  <c r="E8" i="5" s="1"/>
  <c r="E15" i="5" s="1"/>
  <c r="E10" i="5" s="1"/>
  <c r="B7" i="5"/>
  <c r="L6" i="5"/>
  <c r="K6" i="5"/>
  <c r="J6" i="5"/>
  <c r="I6" i="5"/>
  <c r="H6" i="5"/>
  <c r="G6" i="5"/>
  <c r="F25" i="4"/>
  <c r="I25" i="4" s="1"/>
  <c r="I24" i="4" s="1"/>
  <c r="I23" i="4"/>
  <c r="F23" i="4"/>
  <c r="G23" i="4" s="1"/>
  <c r="J23" i="4" s="1"/>
  <c r="I22" i="4"/>
  <c r="I21" i="4" s="1"/>
  <c r="F22" i="4"/>
  <c r="G22" i="4" s="1"/>
  <c r="J22" i="4" s="1"/>
  <c r="F20" i="4"/>
  <c r="I20" i="4" s="1"/>
  <c r="I19" i="4" s="1"/>
  <c r="I18" i="4"/>
  <c r="F18" i="4"/>
  <c r="G18" i="4" s="1"/>
  <c r="J18" i="4" s="1"/>
  <c r="I17" i="4"/>
  <c r="F17" i="4"/>
  <c r="G17" i="4" s="1"/>
  <c r="J17" i="4" s="1"/>
  <c r="I16" i="4"/>
  <c r="F16" i="4"/>
  <c r="G16" i="4" s="1"/>
  <c r="J16" i="4" s="1"/>
  <c r="I15" i="4"/>
  <c r="F15" i="4"/>
  <c r="G15" i="4" s="1"/>
  <c r="J15" i="4" s="1"/>
  <c r="I14" i="4"/>
  <c r="B19" i="3"/>
  <c r="B18" i="3"/>
  <c r="A18" i="3"/>
  <c r="E17" i="3"/>
  <c r="E10" i="3" s="1"/>
  <c r="B17" i="3"/>
  <c r="B16" i="3"/>
  <c r="B13" i="3"/>
  <c r="B10" i="3"/>
  <c r="B9" i="3"/>
  <c r="E8" i="3"/>
  <c r="B8" i="3"/>
  <c r="E7" i="3"/>
  <c r="E16" i="3" s="1"/>
  <c r="E9" i="3" s="1"/>
  <c r="B7" i="3"/>
  <c r="F25" i="2"/>
  <c r="G25" i="2" s="1"/>
  <c r="J25" i="2" s="1"/>
  <c r="J24" i="2" s="1"/>
  <c r="F23" i="2"/>
  <c r="G23" i="2" s="1"/>
  <c r="J23" i="2" s="1"/>
  <c r="I22" i="2"/>
  <c r="F22" i="2"/>
  <c r="G22" i="2" s="1"/>
  <c r="J22" i="2" s="1"/>
  <c r="F20" i="2"/>
  <c r="I20" i="2" s="1"/>
  <c r="I19" i="2" s="1"/>
  <c r="I18" i="2"/>
  <c r="F18" i="2"/>
  <c r="G18" i="2" s="1"/>
  <c r="J18" i="2" s="1"/>
  <c r="F17" i="2"/>
  <c r="G17" i="2" s="1"/>
  <c r="J17" i="2" s="1"/>
  <c r="I16" i="2"/>
  <c r="F16" i="2"/>
  <c r="G16" i="2" s="1"/>
  <c r="J16" i="2" s="1"/>
  <c r="F15" i="2"/>
  <c r="G15" i="2" s="1"/>
  <c r="J15" i="2" s="1"/>
  <c r="E14" i="5" l="1"/>
  <c r="E9" i="5" s="1"/>
  <c r="J14" i="4"/>
  <c r="I26" i="4"/>
  <c r="J21" i="4"/>
  <c r="G20" i="4"/>
  <c r="J20" i="4" s="1"/>
  <c r="J19" i="4" s="1"/>
  <c r="G25" i="4"/>
  <c r="J25" i="4" s="1"/>
  <c r="J24" i="4" s="1"/>
  <c r="I15" i="2"/>
  <c r="I14" i="2" s="1"/>
  <c r="I17" i="2"/>
  <c r="I23" i="2"/>
  <c r="I21" i="2" s="1"/>
  <c r="J21" i="2"/>
  <c r="J14" i="2"/>
  <c r="I25" i="2"/>
  <c r="I24" i="2" s="1"/>
  <c r="G20" i="2"/>
  <c r="J20" i="2" s="1"/>
  <c r="J19" i="2" s="1"/>
  <c r="D28" i="4" l="1"/>
  <c r="G8" i="4"/>
  <c r="J26" i="4"/>
  <c r="K26" i="4" s="1"/>
  <c r="I26" i="2"/>
  <c r="D28" i="2"/>
  <c r="G8" i="2"/>
  <c r="J26" i="2"/>
  <c r="K26" i="2" s="1"/>
</calcChain>
</file>

<file path=xl/sharedStrings.xml><?xml version="1.0" encoding="utf-8"?>
<sst xmlns="http://schemas.openxmlformats.org/spreadsheetml/2006/main" count="231" uniqueCount="91">
  <si>
    <t xml:space="preserve">BOLETIM DE MEDIÇÃO 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</si>
  <si>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</si>
  <si>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</si>
  <si>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Agente Promotor</t>
  </si>
  <si>
    <t>Agente Financeiro</t>
  </si>
  <si>
    <t>Programa</t>
  </si>
  <si>
    <t>Início da Obra (O.S.)</t>
  </si>
  <si>
    <t>Prazo (Mês)</t>
  </si>
  <si>
    <t>Prefeitura Municipal de Sousa - PB</t>
  </si>
  <si>
    <t>14 meses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</si>
  <si>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</si>
  <si>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</si>
  <si>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</si>
  <si>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</si>
  <si>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</si>
  <si>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</si>
  <si>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Diversas ruas, Sousa-PB</t>
  </si>
  <si>
    <t>Concorrência n° 05/2021</t>
  </si>
  <si>
    <t>641/2021</t>
  </si>
  <si>
    <t>Empreendimento</t>
  </si>
  <si>
    <t>Contratada</t>
  </si>
  <si>
    <t>Valor da Contrato (R$)</t>
  </si>
  <si>
    <t>Valor da medição (R$)</t>
  </si>
  <si>
    <t>Período</t>
  </si>
  <si>
    <t>Execução de pavimentação asfáltica em CBUQ, em diversas ruas do município de Sousa-Pb</t>
  </si>
  <si>
    <t>Niemaia Construções Eireli</t>
  </si>
  <si>
    <t>06/10/2021 à 25/01/2022</t>
  </si>
  <si>
    <t>QUANTIDADE</t>
  </si>
  <si>
    <t>FINANCEIRO</t>
  </si>
  <si>
    <t>ITEM</t>
  </si>
  <si>
    <t xml:space="preserve"> D I S C R I M I N A Ç  Ã O</t>
  </si>
  <si>
    <t>UNID</t>
  </si>
  <si>
    <t>P. UNIT.</t>
  </si>
  <si>
    <t>Medida</t>
  </si>
  <si>
    <t>Acumulada</t>
  </si>
  <si>
    <t>Medido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</si>
  <si>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</si>
  <si>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</si>
  <si>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</si>
  <si>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</si>
  <si>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</si>
  <si>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</si>
  <si>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</si>
  <si>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PAVIMENTAÇÃO</t>
  </si>
  <si>
    <t>1.1</t>
  </si>
  <si>
    <t>IMPRIMACAO EXCLUSIVE LIGANTE</t>
  </si>
  <si>
    <t>M2</t>
  </si>
  <si>
    <t>1.2</t>
  </si>
  <si>
    <t>CONCRETO BETUMINOSO USINADO A QUENTE EXC. LIGANTE</t>
  </si>
  <si>
    <t>T</t>
  </si>
  <si>
    <t>1.3</t>
  </si>
  <si>
    <t>TRANSPORTE DE MATERIAIS ASFALTICO A FRIO</t>
  </si>
  <si>
    <t>T.KM</t>
  </si>
  <si>
    <t>1.4</t>
  </si>
  <si>
    <t>TRANSPORTE DE MATERIAIS ASFALTICO A QUENTE</t>
  </si>
  <si>
    <t>2.0</t>
  </si>
  <si>
    <t>SINALIZAÇÃO E SEGURANÇA</t>
  </si>
  <si>
    <t>2.1</t>
  </si>
  <si>
    <t>SINALIZACAO HORIZONTAL COM TINTA 2 ANOS DURACAO</t>
  </si>
  <si>
    <t>3.0</t>
  </si>
  <si>
    <t>LIGANTES BETUMINOSOS (BASE FORTALEZA)</t>
  </si>
  <si>
    <t>3.1</t>
  </si>
  <si>
    <t>ASFALTO DILUIDO CM-30 EXCLUSIVE TRANSPORTE</t>
  </si>
  <si>
    <t>3.2</t>
  </si>
  <si>
    <t xml:space="preserve">CIMENTO ASFALTICO CAP 50/70 EXCLUSIVE TRANSPORTE </t>
  </si>
  <si>
    <t>4.0</t>
  </si>
  <si>
    <t>PLACA DA OBRA</t>
  </si>
  <si>
    <t>4.1</t>
  </si>
  <si>
    <t>PLACA INDICATIVA DE OBRA</t>
  </si>
  <si>
    <t>,</t>
  </si>
  <si>
    <t xml:space="preserve">IMPORTA O PRESENTE BOLETIM DE MEDIÇÃO O VALOR DE </t>
  </si>
  <si>
    <t>MEMORIA DE CALCULO</t>
  </si>
  <si>
    <t>DISCRIMINAÇÃO</t>
  </si>
  <si>
    <t xml:space="preserve">UN </t>
  </si>
  <si>
    <t>QUANT.</t>
  </si>
  <si>
    <t>m²</t>
  </si>
  <si>
    <r>
      <t xml:space="preserve">No bairro Jardim Brasília: Rua Maria Hermínia - 232,90 m x 8,00 m de largura = 1.863,20 m²; Av. Candida Sarmento - 69,50 m x 8,00 m de largura = 556,00 m²; Rua Marcos Augusto Gonçalves - 115,40 m x 8,00 m de largura = 923,2 m²; </t>
    </r>
    <r>
      <rPr>
        <b/>
        <sz val="11"/>
        <color theme="1"/>
        <rFont val="Aptos Narrow"/>
        <family val="2"/>
        <scheme val="minor"/>
      </rPr>
      <t>totalizando = 3.342,40 m² no Jardim Brasília</t>
    </r>
    <r>
      <rPr>
        <sz val="11"/>
        <color theme="1"/>
        <rFont val="Aptos Narrow"/>
        <family val="2"/>
        <scheme val="minor"/>
      </rPr>
      <t xml:space="preserve">. No bairro Raquel Gadelha: Rua Júlio Vieira de Almeida - 237,60 m x 7,00 m de largura = 1.663,20 m²; Rua Ana Cartaxo da Nóbrega - 121,20 m x 8,00 m de largura = 969,60 m²; Rua Expedito Lourenço de Sousa = 121,00 m x 7,70 m de largura = 931,70 m²; Rua Ademir Paulo da Silva = 121,00 m x 7,10 m de largura = 859,10 m²; </t>
    </r>
    <r>
      <rPr>
        <b/>
        <sz val="11"/>
        <color theme="1"/>
        <rFont val="Aptos Narrow"/>
        <family val="2"/>
        <scheme val="minor"/>
      </rPr>
      <t>totalizando = 4.423,60 m² no Bairro Raquel Gadelha</t>
    </r>
    <r>
      <rPr>
        <sz val="11"/>
        <color theme="1"/>
        <rFont val="Aptos Narrow"/>
        <family val="2"/>
        <scheme val="minor"/>
      </rPr>
      <t xml:space="preserve">. No Bairro Gato Preto: Rua Gustan Forte = 62,80 m x 7,00 m de largura = 439,60 m²; Rua Jose Francisco de Sousa = 208,00 m x 7,00 m de largura = 1.456,00 m²; </t>
    </r>
    <r>
      <rPr>
        <b/>
        <sz val="11"/>
        <color theme="1"/>
        <rFont val="Aptos Narrow"/>
        <family val="2"/>
        <scheme val="minor"/>
      </rPr>
      <t>totalizando 1.895,60 m² no bairro Gato Preto</t>
    </r>
    <r>
      <rPr>
        <sz val="11"/>
        <color theme="1"/>
        <rFont val="Aptos Narrow"/>
        <family val="2"/>
        <scheme val="minor"/>
      </rPr>
      <t>. Perfazendo um total geral de</t>
    </r>
  </si>
  <si>
    <t>t</t>
  </si>
  <si>
    <t>Área total x 0,04 m de altura x densidade de 2,40 t/ m³ =</t>
  </si>
  <si>
    <t>t.km</t>
  </si>
  <si>
    <t>Total de CM-30 x distancia de 419,80 km</t>
  </si>
  <si>
    <t xml:space="preserve">Total de CAP 50/70 x distância de 419,80 km </t>
  </si>
  <si>
    <t>LIGANTES BETUMINOSOS (FORTALEZA)</t>
  </si>
  <si>
    <t xml:space="preserve">Área total de imprimação x teor de ligante de 0,12% = </t>
  </si>
  <si>
    <t>Volume total de CBUQ em toneladas x 5,5% de taxa de aplicação =</t>
  </si>
  <si>
    <t>M²</t>
  </si>
  <si>
    <t xml:space="preserve">1,50 x 3,00 = </t>
  </si>
  <si>
    <t>02</t>
  </si>
  <si>
    <t>26/01 A 22/02/2022</t>
  </si>
  <si>
    <t>MEMORIA DE CALCULO - BM 02</t>
  </si>
  <si>
    <r>
      <t xml:space="preserve">BAIRRO ALTO DO CRUZEIRO = Rua Cícero Policarpo (trecho 01) 140,50 m de comprimento x (4,85+5,70+5,80+5,70)/4 = 5,51 de largura média = </t>
    </r>
    <r>
      <rPr>
        <b/>
        <sz val="11"/>
        <color theme="1"/>
        <rFont val="Aptos Narrow"/>
        <family val="2"/>
        <scheme val="minor"/>
      </rPr>
      <t>774,15 m²</t>
    </r>
    <r>
      <rPr>
        <sz val="11"/>
        <color theme="1"/>
        <rFont val="Aptos Narrow"/>
        <family val="2"/>
        <scheme val="minor"/>
      </rPr>
      <t xml:space="preserve">;  Rua Cícero Policarpo (trecho 02) 131,70 m de comprimento x (6,80+5,30+4,30+4,50)/4 = 5,22m de largura média = </t>
    </r>
    <r>
      <rPr>
        <b/>
        <sz val="11"/>
        <color theme="1"/>
        <rFont val="Aptos Narrow"/>
        <family val="2"/>
        <scheme val="minor"/>
      </rPr>
      <t xml:space="preserve">687,47 m². </t>
    </r>
    <r>
      <rPr>
        <sz val="11"/>
        <color theme="1"/>
        <rFont val="Aptos Narrow"/>
        <family val="2"/>
        <scheme val="minor"/>
      </rPr>
      <t xml:space="preserve">Rua Maria Socorro Abrantes 154,80 m de comprimento x (3,60+3,70+4,00+4,50)/4 = 3,95 m de largura média = </t>
    </r>
    <r>
      <rPr>
        <b/>
        <sz val="11"/>
        <color theme="1"/>
        <rFont val="Aptos Narrow"/>
        <family val="2"/>
        <scheme val="minor"/>
      </rPr>
      <t>611,46 m²</t>
    </r>
    <r>
      <rPr>
        <sz val="11"/>
        <color theme="1"/>
        <rFont val="Aptos Narrow"/>
        <family val="2"/>
        <scheme val="minor"/>
      </rPr>
      <t xml:space="preserve">. Rua Manoel Francisco de Barros = 206,00 m de comprimento x (5,00+5,40+5,30+6,00)/4 = 5,42 m de largura média = </t>
    </r>
    <r>
      <rPr>
        <b/>
        <sz val="11"/>
        <color theme="1"/>
        <rFont val="Aptos Narrow"/>
        <family val="2"/>
        <scheme val="minor"/>
      </rPr>
      <t>1.116,52 m²</t>
    </r>
    <r>
      <rPr>
        <sz val="11"/>
        <color theme="1"/>
        <rFont val="Aptos Narrow"/>
        <family val="2"/>
        <scheme val="minor"/>
      </rPr>
      <t xml:space="preserve">. Rua Projetada 01 = 98,00 m de comprimento x (4,70+4,90+5,20)/3 = 4,93 m de largura média = </t>
    </r>
    <r>
      <rPr>
        <b/>
        <sz val="11"/>
        <color theme="1"/>
        <rFont val="Aptos Narrow"/>
        <family val="2"/>
        <scheme val="minor"/>
      </rPr>
      <t>483,14 m²</t>
    </r>
    <r>
      <rPr>
        <sz val="11"/>
        <color theme="1"/>
        <rFont val="Aptos Narrow"/>
        <family val="2"/>
        <scheme val="minor"/>
      </rPr>
      <t xml:space="preserve">. Rua projetada 02 - 113,00 m de comprimento x (5,10+4,50+3,70)/3 = 4,43 m de largura média = </t>
    </r>
    <r>
      <rPr>
        <b/>
        <sz val="11"/>
        <color theme="1"/>
        <rFont val="Aptos Narrow"/>
        <family val="2"/>
        <scheme val="minor"/>
      </rPr>
      <t>500,59 m²</t>
    </r>
    <r>
      <rPr>
        <sz val="11"/>
        <color theme="1"/>
        <rFont val="Aptos Narrow"/>
        <family val="2"/>
        <scheme val="minor"/>
      </rPr>
      <t xml:space="preserve">. BAIRRO GATO PRETO - Rua Ana Neri 173,00 m de comprimento x 7,00 m de largura média = </t>
    </r>
    <r>
      <rPr>
        <b/>
        <sz val="11"/>
        <color theme="1"/>
        <rFont val="Aptos Narrow"/>
        <family val="2"/>
        <scheme val="minor"/>
      </rPr>
      <t>1.211,00 m²</t>
    </r>
    <r>
      <rPr>
        <sz val="11"/>
        <color theme="1"/>
        <rFont val="Aptos Narrow"/>
        <family val="2"/>
        <scheme val="minor"/>
      </rPr>
      <t xml:space="preserve">. </t>
    </r>
    <r>
      <rPr>
        <b/>
        <sz val="11"/>
        <color theme="1"/>
        <rFont val="Aptos Narrow"/>
        <family val="2"/>
        <scheme val="minor"/>
      </rPr>
      <t xml:space="preserve">TOTALIZANDO =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</si>
</sst>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4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21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" fontId="7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43" fontId="12" fillId="0" borderId="14" xfId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43" fontId="12" fillId="0" borderId="1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164" fontId="13" fillId="4" borderId="13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vertical="center" wrapText="1"/>
    </xf>
    <xf numFmtId="4" fontId="14" fillId="5" borderId="8" xfId="0" applyNumberFormat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5" borderId="15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justify" vertical="center" wrapText="1"/>
    </xf>
    <xf numFmtId="4" fontId="14" fillId="0" borderId="15" xfId="0" applyNumberFormat="1" applyFont="1" applyBorder="1" applyAlignment="1">
      <alignment vertical="center" wrapText="1"/>
    </xf>
    <xf numFmtId="4" fontId="14" fillId="5" borderId="15" xfId="0" applyNumberFormat="1" applyFont="1" applyFill="1" applyBorder="1" applyAlignment="1">
      <alignment vertical="center" wrapText="1"/>
    </xf>
    <xf numFmtId="164" fontId="13" fillId="4" borderId="15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2" applyNumberFormat="1" applyFont="1" applyFill="1" applyAlignment="1">
      <alignment vertical="center"/>
    </xf>
    <xf numFmtId="4" fontId="0" fillId="0" borderId="0" xfId="0" applyNumberFormat="1"/>
    <xf numFmtId="0" fontId="2" fillId="6" borderId="15" xfId="3" applyFont="1" applyFill="1" applyBorder="1" applyAlignment="1">
      <alignment horizontal="center"/>
    </xf>
    <xf numFmtId="0" fontId="2" fillId="6" borderId="15" xfId="3" applyFont="1" applyFill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3" fontId="2" fillId="6" borderId="15" xfId="0" applyNumberFormat="1" applyFont="1" applyFill="1" applyBorder="1"/>
    <xf numFmtId="4" fontId="2" fillId="6" borderId="15" xfId="0" applyNumberFormat="1" applyFont="1" applyFill="1" applyBorder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3" fontId="0" fillId="0" borderId="15" xfId="0" applyNumberFormat="1" applyBorder="1"/>
    <xf numFmtId="4" fontId="0" fillId="0" borderId="15" xfId="0" applyNumberFormat="1" applyBorder="1" applyAlignment="1">
      <alignment vertical="center" wrapText="1"/>
    </xf>
    <xf numFmtId="49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wrapText="1"/>
    </xf>
    <xf numFmtId="4" fontId="0" fillId="0" borderId="15" xfId="0" applyNumberFormat="1" applyBorder="1" applyAlignment="1">
      <alignment wrapText="1"/>
    </xf>
    <xf numFmtId="0" fontId="0" fillId="6" borderId="15" xfId="0" applyFill="1" applyBorder="1" applyAlignment="1">
      <alignment wrapText="1"/>
    </xf>
    <xf numFmtId="49" fontId="0" fillId="0" borderId="15" xfId="0" applyNumberFormat="1" applyBorder="1" applyAlignment="1">
      <alignment horizontal="center"/>
    </xf>
    <xf numFmtId="2" fontId="0" fillId="0" borderId="0" xfId="0" applyNumberFormat="1"/>
    <xf numFmtId="3" fontId="2" fillId="6" borderId="15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6" fontId="15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justify" vertical="top" wrapText="1"/>
    </xf>
    <xf numFmtId="14" fontId="7" fillId="0" borderId="7" xfId="0" applyNumberFormat="1" applyFont="1" applyBorder="1" applyAlignment="1">
      <alignment horizontal="justify" vertical="top" wrapText="1"/>
    </xf>
    <xf numFmtId="14" fontId="7" fillId="0" borderId="5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  <xf numFmtId="14" fontId="7" fillId="0" borderId="7" xfId="0" applyNumberFormat="1" applyFont="1" applyBorder="1" applyAlignment="1">
      <alignment vertical="center" wrapText="1"/>
    </xf>
    <xf numFmtId="4" fontId="10" fillId="3" borderId="5" xfId="0" applyNumberFormat="1" applyFont="1" applyFill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14" fontId="9" fillId="0" borderId="5" xfId="0" applyNumberFormat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/>
    </xf>
    <xf numFmtId="4" fontId="0" fillId="0" borderId="0" xfId="0" applyNumberFormat="1" applyAlignment="1">
      <alignment wrapText="1"/>
    </xf>
  </cellXfs>
  <cellStyles count="5">
    <cellStyle name="20% - Ênfase1" xfId="3" builtinId="30"/>
    <cellStyle name="Moeda 2" xfId="4" xr:uid="{1C12E64B-B4B3-4064-BF37-1B832ACB10AA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Asfalto%202021\BM.Pavimentacao.Asfalto.xlsm" TargetMode="External"/><Relationship Id="rId1" Type="http://schemas.openxmlformats.org/officeDocument/2006/relationships/externalLinkPath" Target="/Documents/Prefeitura/Asfalto%202021/BM.Pavimentacao.Asfal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.01"/>
      <sheetName val="Memória 01"/>
      <sheetName val="BM.02"/>
      <sheetName val="Memória 02"/>
      <sheetName val="BM.03"/>
      <sheetName val="Memória 03"/>
      <sheetName val="BM.04"/>
      <sheetName val="Memória 04"/>
      <sheetName val="BM.05"/>
      <sheetName val="Memória 05"/>
    </sheetNames>
    <sheetDataSet>
      <sheetData sheetId="0">
        <row r="15">
          <cell r="B15" t="str">
            <v>IMPRIMACAO EXCLUSIVE LIGANTE</v>
          </cell>
          <cell r="G15">
            <v>9661.6</v>
          </cell>
        </row>
        <row r="16">
          <cell r="B16" t="str">
            <v>CONCRETO BETUMINOSO USINADO A QUENTE EXC. LIGANTE</v>
          </cell>
          <cell r="G16">
            <v>927.51</v>
          </cell>
        </row>
        <row r="17">
          <cell r="B17" t="str">
            <v>TRANSPORTE DE MATERIAIS ASFALTICO A FRIO</v>
          </cell>
          <cell r="G17">
            <v>4865.4799999999996</v>
          </cell>
        </row>
        <row r="18">
          <cell r="B18" t="str">
            <v>TRANSPORTE DE MATERIAIS ASFALTICO A QUENTE</v>
          </cell>
          <cell r="G18">
            <v>21414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ASFALTO DILUIDO CM-30 EXCLUSIVE TRANSPORTE</v>
          </cell>
          <cell r="G22">
            <v>11.59</v>
          </cell>
        </row>
        <row r="23">
          <cell r="B23" t="str">
            <v xml:space="preserve">CIMENTO ASFALTICO CAP 50/70 EXCLUSIVE TRANSPORTE </v>
          </cell>
          <cell r="G23">
            <v>51.01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  <cell r="G25">
            <v>4.5</v>
          </cell>
        </row>
      </sheetData>
      <sheetData sheetId="1">
        <row r="7">
          <cell r="E7">
            <v>9661.6</v>
          </cell>
        </row>
        <row r="8">
          <cell r="E8">
            <v>927.51</v>
          </cell>
        </row>
        <row r="9">
          <cell r="E9">
            <v>4865.4799999999996</v>
          </cell>
        </row>
        <row r="10">
          <cell r="E10">
            <v>21414</v>
          </cell>
        </row>
        <row r="16">
          <cell r="E16">
            <v>11.59</v>
          </cell>
        </row>
        <row r="17">
          <cell r="E17">
            <v>51.01</v>
          </cell>
        </row>
        <row r="19">
          <cell r="E19">
            <v>4.5</v>
          </cell>
        </row>
      </sheetData>
      <sheetData sheetId="2">
        <row r="15">
          <cell r="B15" t="str">
            <v>IMPRIMACAO EXCLUSIVE LIGANTE</v>
          </cell>
        </row>
        <row r="16">
          <cell r="B16" t="str">
            <v>CONCRETO BETUMINOSO USINADO A QUENTE EXC. LIGANTE</v>
          </cell>
        </row>
        <row r="17">
          <cell r="B17" t="str">
            <v>TRANSPORTE DE MATERIAIS ASFALTICO A FRIO</v>
          </cell>
        </row>
        <row r="18">
          <cell r="B18" t="str">
            <v>TRANSPORTE DE MATERIAIS ASFALTICO A QUENTE</v>
          </cell>
        </row>
        <row r="20">
          <cell r="B20" t="str">
            <v>SINALIZACAO HORIZONTAL COM TINTA 2 ANOS DURACAO</v>
          </cell>
        </row>
        <row r="22">
          <cell r="B22" t="str">
            <v>ASFALTO DILUIDO CM-30 EXCLUSIVE TRANSPORTE</v>
          </cell>
        </row>
        <row r="23">
          <cell r="B23" t="str">
            <v xml:space="preserve">CIMENTO ASFALTICO CAP 50/70 EXCLUSIVE TRANSPORTE 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</row>
      </sheetData>
      <sheetData sheetId="3">
        <row r="7">
          <cell r="E7">
            <v>5383.86</v>
          </cell>
        </row>
        <row r="8">
          <cell r="E8">
            <v>516.85</v>
          </cell>
        </row>
        <row r="9">
          <cell r="E9">
            <v>2711.91</v>
          </cell>
        </row>
        <row r="10">
          <cell r="E10">
            <v>11934.91</v>
          </cell>
        </row>
        <row r="14">
          <cell r="E14">
            <v>6.46</v>
          </cell>
        </row>
        <row r="15">
          <cell r="E15">
            <v>28.43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5E71-A669-43E5-A717-8D57CD233404}">
  <sheetPr codeName="Plan17"/>
  <dimension ref="A1:K36"/>
  <sheetViews>
    <sheetView view="pageBreakPreview" topLeftCell="A18" zoomScale="90" zoomScaleNormal="100" zoomScaleSheetLayoutView="90" workbookViewId="0">
      <selection activeCell="C25" sqref="C25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105" t="s">
        <v>0</v>
      </c>
      <c r="B1" s="106"/>
      <c r="C1" s="106"/>
      <c r="D1" s="106"/>
      <c r="E1" s="106"/>
      <c r="F1" s="106"/>
      <c r="G1" s="106"/>
      <c r="H1" s="106"/>
      <c r="I1" s="107"/>
      <c r="J1" s="1" t="s">
        <v>1</v>
      </c>
    </row>
    <row r="2" spans="1:10" s="2" customFormat="1" ht="16.5" customHeight="1" x14ac:dyDescent="0.25">
      <c r="A2" s="108"/>
      <c r="B2" s="109"/>
      <c r="C2" s="109"/>
      <c r="D2" s="109"/>
      <c r="E2" s="109"/>
      <c r="F2" s="109"/>
      <c r="G2" s="109"/>
      <c r="H2" s="109"/>
      <c r="I2" s="110"/>
      <c r="J2" s="3" t="s">
        <v>2</v>
      </c>
    </row>
    <row r="3" spans="1:10" s="2" customFormat="1" ht="18.75" customHeight="1" x14ac:dyDescent="0.25">
      <c r="A3" s="87" t="s">
        <v>3</v>
      </c>
      <c r="B3" s="89"/>
      <c r="C3" s="87" t="s">
        <v>4</v>
      </c>
      <c r="D3" s="88"/>
      <c r="E3" s="88"/>
      <c r="F3" s="89"/>
      <c r="G3" s="87" t="s">
        <v>5</v>
      </c>
      <c r="H3" s="89"/>
      <c r="I3" s="4" t="s">
        <v>6</v>
      </c>
      <c r="J3" s="4" t="s">
        <v>7</v>
      </c>
    </row>
    <row r="4" spans="1:10" s="2" customFormat="1" ht="21.75" customHeight="1" x14ac:dyDescent="0.25">
      <c r="A4" s="111" t="s">
        <v>8</v>
      </c>
      <c r="B4" s="112"/>
      <c r="C4" s="113" t="s">
        <v>8</v>
      </c>
      <c r="D4" s="114"/>
      <c r="E4" s="114"/>
      <c r="F4" s="115"/>
      <c r="G4" s="113"/>
      <c r="H4" s="115"/>
      <c r="I4" s="5">
        <v>44475</v>
      </c>
      <c r="J4" s="5" t="s">
        <v>9</v>
      </c>
    </row>
    <row r="5" spans="1:10" s="2" customFormat="1" ht="18.75" customHeight="1" x14ac:dyDescent="0.25">
      <c r="A5" s="87" t="s">
        <v>10</v>
      </c>
      <c r="B5" s="89"/>
      <c r="C5" s="87" t="s">
        <v>11</v>
      </c>
      <c r="D5" s="89"/>
      <c r="E5" s="87" t="s">
        <v>12</v>
      </c>
      <c r="F5" s="89"/>
      <c r="G5" s="4" t="s">
        <v>13</v>
      </c>
      <c r="H5" s="4" t="s">
        <v>14</v>
      </c>
      <c r="I5" s="87" t="s">
        <v>15</v>
      </c>
      <c r="J5" s="89"/>
    </row>
    <row r="6" spans="1:10" s="2" customFormat="1" ht="24" customHeight="1" x14ac:dyDescent="0.25">
      <c r="A6" s="99" t="s">
        <v>16</v>
      </c>
      <c r="B6" s="100"/>
      <c r="C6" s="101"/>
      <c r="D6" s="102"/>
      <c r="E6" s="103" t="s">
        <v>17</v>
      </c>
      <c r="F6" s="104"/>
      <c r="G6" s="5">
        <v>44475</v>
      </c>
      <c r="H6" s="5" t="s">
        <v>18</v>
      </c>
      <c r="I6" s="97">
        <v>44586</v>
      </c>
      <c r="J6" s="98"/>
    </row>
    <row r="7" spans="1:10" s="2" customFormat="1" ht="18.75" customHeight="1" x14ac:dyDescent="0.25">
      <c r="A7" s="85" t="s">
        <v>19</v>
      </c>
      <c r="B7" s="86"/>
      <c r="C7" s="87" t="s">
        <v>20</v>
      </c>
      <c r="D7" s="88"/>
      <c r="E7" s="89"/>
      <c r="F7" s="6" t="s">
        <v>21</v>
      </c>
      <c r="G7" s="87" t="s">
        <v>22</v>
      </c>
      <c r="H7" s="89"/>
      <c r="I7" s="85" t="s">
        <v>23</v>
      </c>
      <c r="J7" s="86"/>
    </row>
    <row r="8" spans="1:10" s="2" customFormat="1" ht="32.25" customHeight="1" x14ac:dyDescent="0.25">
      <c r="A8" s="90" t="s">
        <v>24</v>
      </c>
      <c r="B8" s="91"/>
      <c r="C8" s="92" t="s">
        <v>25</v>
      </c>
      <c r="D8" s="93"/>
      <c r="E8" s="94"/>
      <c r="F8" s="7">
        <v>6960954.2000000002</v>
      </c>
      <c r="G8" s="95">
        <f>BM.01!$I$26</f>
        <v>408102.91000000003</v>
      </c>
      <c r="H8" s="96"/>
      <c r="I8" s="97" t="s">
        <v>26</v>
      </c>
      <c r="J8" s="98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78" t="s">
        <v>27</v>
      </c>
      <c r="F10" s="78"/>
      <c r="G10" s="78"/>
      <c r="H10" s="79" t="s">
        <v>28</v>
      </c>
      <c r="I10" s="78"/>
      <c r="J10" s="80"/>
    </row>
    <row r="11" spans="1:10" s="2" customFormat="1" x14ac:dyDescent="0.25">
      <c r="A11" s="81" t="s">
        <v>29</v>
      </c>
      <c r="B11" s="82" t="s">
        <v>30</v>
      </c>
      <c r="C11" s="83" t="s">
        <v>31</v>
      </c>
      <c r="D11" s="84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81"/>
      <c r="B12" s="82"/>
      <c r="C12" s="83"/>
      <c r="D12" s="84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141006.6</v>
      </c>
      <c r="J14" s="27">
        <f>SUM(J15:J18)</f>
        <v>141006.6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01'!E7</f>
        <v>9661.6</v>
      </c>
      <c r="G15" s="31">
        <f>F15</f>
        <v>9661.6</v>
      </c>
      <c r="H15" s="33">
        <v>51319.41</v>
      </c>
      <c r="I15" s="34">
        <f>ROUND(D15*F15,2)</f>
        <v>3091.71</v>
      </c>
      <c r="J15" s="33">
        <f>ROUND(D15*G15,2)</f>
        <v>3091.71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01'!E8</f>
        <v>927.51</v>
      </c>
      <c r="G16" s="31">
        <f t="shared" ref="G16:G18" si="0">F16</f>
        <v>927.51</v>
      </c>
      <c r="H16" s="33">
        <v>2028268.95</v>
      </c>
      <c r="I16" s="34">
        <f t="shared" ref="I16:I18" si="1">ROUND(D16*F16,2)</f>
        <v>121485.26</v>
      </c>
      <c r="J16" s="33">
        <f t="shared" ref="J16:J18" si="2">ROUND(D16*G16,2)</f>
        <v>121485.26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01'!E9</f>
        <v>4865.4799999999996</v>
      </c>
      <c r="G17" s="31">
        <f t="shared" si="0"/>
        <v>4865.4799999999996</v>
      </c>
      <c r="H17" s="33">
        <v>45739.33</v>
      </c>
      <c r="I17" s="34">
        <f t="shared" si="1"/>
        <v>2724.67</v>
      </c>
      <c r="J17" s="33">
        <f t="shared" si="2"/>
        <v>2724.67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01'!E10</f>
        <v>21414</v>
      </c>
      <c r="G18" s="31">
        <f t="shared" si="0"/>
        <v>21414</v>
      </c>
      <c r="H18" s="33">
        <v>230065.55</v>
      </c>
      <c r="I18" s="34">
        <f t="shared" si="1"/>
        <v>13704.96</v>
      </c>
      <c r="J18" s="33">
        <f t="shared" si="2"/>
        <v>13704.96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6"/>
      <c r="H19" s="27">
        <v>168362.18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01'!E13</f>
        <v>0</v>
      </c>
      <c r="G20" s="31">
        <f>F20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6"/>
      <c r="H21" s="27">
        <v>4435744.29</v>
      </c>
      <c r="I21" s="27">
        <f>SUM(I22:I23)</f>
        <v>265641.82</v>
      </c>
      <c r="J21" s="27">
        <f>SUM(J22:J23)</f>
        <v>265641.82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7">
        <f>'[1]Memória 01'!E16</f>
        <v>11.59</v>
      </c>
      <c r="G22" s="36">
        <f>F22</f>
        <v>11.59</v>
      </c>
      <c r="H22" s="33">
        <v>1124981.42</v>
      </c>
      <c r="I22" s="34">
        <f t="shared" ref="I22:I23" si="3">ROUND(D22*F22,2)</f>
        <v>67358.3</v>
      </c>
      <c r="J22" s="33">
        <f t="shared" ref="J22:J23" si="4">ROUND(D22*G22,2)</f>
        <v>67358.3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851.72</v>
      </c>
      <c r="F23" s="37">
        <f>'[1]Memória 01'!E17</f>
        <v>51.01</v>
      </c>
      <c r="G23" s="36">
        <f>F23</f>
        <v>51.01</v>
      </c>
      <c r="H23" s="33">
        <v>3310762.87</v>
      </c>
      <c r="I23" s="34">
        <f t="shared" si="3"/>
        <v>198283.51999999999</v>
      </c>
      <c r="J23" s="33">
        <f t="shared" si="4"/>
        <v>198283.51999999999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6"/>
      <c r="H24" s="27">
        <v>1454.48</v>
      </c>
      <c r="I24" s="27">
        <f>SUM(I25:I25)</f>
        <v>1454.49</v>
      </c>
      <c r="J24" s="27">
        <f>SUM(J25:J25)</f>
        <v>1454.49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46</v>
      </c>
      <c r="D25" s="36">
        <v>323.22000000000003</v>
      </c>
      <c r="E25" s="36">
        <v>4.5</v>
      </c>
      <c r="F25" s="37">
        <f>'[1]Memória 01'!E19</f>
        <v>4.5</v>
      </c>
      <c r="G25" s="36">
        <f>F25</f>
        <v>4.5</v>
      </c>
      <c r="H25" s="33">
        <v>1454.48</v>
      </c>
      <c r="I25" s="34">
        <f>ROUND(D25*F25,2)</f>
        <v>1454.49</v>
      </c>
      <c r="J25" s="33">
        <f>ROUND(D25*G25,2)</f>
        <v>1454.49</v>
      </c>
    </row>
    <row r="26" spans="1:11" s="2" customFormat="1" ht="30" customHeight="1" x14ac:dyDescent="0.25">
      <c r="A26" s="71" t="s">
        <v>69</v>
      </c>
      <c r="B26" s="72"/>
      <c r="C26" s="72"/>
      <c r="D26" s="72"/>
      <c r="E26" s="72"/>
      <c r="F26" s="72"/>
      <c r="G26" s="73"/>
      <c r="H26" s="38">
        <v>6960954.2000000002</v>
      </c>
      <c r="I26" s="38">
        <f>I14+I19+I21+I24</f>
        <v>408102.91000000003</v>
      </c>
      <c r="J26" s="38">
        <f>J14+J19+J21+J24</f>
        <v>408102.91000000003</v>
      </c>
      <c r="K26" s="39">
        <f>J26/H26</f>
        <v>5.8627437887753958E-2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74" t="s">
        <v>70</v>
      </c>
      <c r="B28" s="74"/>
      <c r="C28" s="74"/>
      <c r="D28" s="75">
        <f>I26</f>
        <v>408102.91000000003</v>
      </c>
      <c r="E28" s="75"/>
      <c r="F28" s="76"/>
      <c r="G28" s="76"/>
      <c r="H28" s="76"/>
      <c r="I28" s="76"/>
      <c r="J28" s="76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77"/>
      <c r="H30" s="77"/>
      <c r="I30" s="77"/>
      <c r="J30" s="77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57D9-AFB9-4874-88A9-7CB0E2B666DE}">
  <dimension ref="A1:G21"/>
  <sheetViews>
    <sheetView view="pageBreakPreview" topLeftCell="A3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7" ht="26.25" x14ac:dyDescent="0.25">
      <c r="A1" s="116" t="s">
        <v>71</v>
      </c>
      <c r="B1" s="117"/>
      <c r="C1" s="117"/>
      <c r="D1" s="118"/>
    </row>
    <row r="3" spans="1:7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7" x14ac:dyDescent="0.25">
      <c r="A4" s="53"/>
      <c r="B4" s="54"/>
      <c r="C4" s="55"/>
      <c r="D4" s="53"/>
    </row>
    <row r="5" spans="1:7" x14ac:dyDescent="0.25">
      <c r="A5" s="119"/>
      <c r="B5" s="119"/>
      <c r="C5" s="119"/>
      <c r="D5" s="119"/>
    </row>
    <row r="6" spans="1:7" x14ac:dyDescent="0.25">
      <c r="A6" s="56" t="s">
        <v>42</v>
      </c>
      <c r="B6" s="57" t="s">
        <v>43</v>
      </c>
      <c r="C6" s="58"/>
      <c r="D6" s="59"/>
    </row>
    <row r="7" spans="1:7" ht="240" x14ac:dyDescent="0.25">
      <c r="A7" s="60" t="s">
        <v>44</v>
      </c>
      <c r="B7" s="61" t="str">
        <f>[1]BM.01!B15</f>
        <v>IMPRIMACAO EXCLUSIVE LIGANTE</v>
      </c>
      <c r="C7" s="62" t="s">
        <v>75</v>
      </c>
      <c r="D7" s="54" t="s">
        <v>76</v>
      </c>
      <c r="E7" s="50">
        <f>3342.4+4423.6+1895.6</f>
        <v>9661.6</v>
      </c>
      <c r="G7" s="63"/>
    </row>
    <row r="8" spans="1:7" ht="30" x14ac:dyDescent="0.25">
      <c r="A8" s="60" t="s">
        <v>47</v>
      </c>
      <c r="B8" s="61" t="str">
        <f>[1]BM.01!B16</f>
        <v>CONCRETO BETUMINOSO USINADO A QUENTE EXC. LIGANTE</v>
      </c>
      <c r="C8" s="62" t="s">
        <v>77</v>
      </c>
      <c r="D8" s="64" t="s">
        <v>78</v>
      </c>
      <c r="E8" s="50">
        <f>E7*0.04*2.4</f>
        <v>927.5136</v>
      </c>
    </row>
    <row r="9" spans="1:7" x14ac:dyDescent="0.25">
      <c r="A9" s="60" t="s">
        <v>50</v>
      </c>
      <c r="B9" s="61" t="str">
        <f>[1]BM.01!B17</f>
        <v>TRANSPORTE DE MATERIAIS ASFALTICO A FRIO</v>
      </c>
      <c r="C9" s="62" t="s">
        <v>79</v>
      </c>
      <c r="D9" s="53" t="s">
        <v>80</v>
      </c>
      <c r="E9" s="50">
        <f>E16*419.8</f>
        <v>4867.1276159999998</v>
      </c>
    </row>
    <row r="10" spans="1:7" x14ac:dyDescent="0.25">
      <c r="A10" s="60" t="s">
        <v>53</v>
      </c>
      <c r="B10" s="61" t="str">
        <f>[1]BM.01!B18</f>
        <v>TRANSPORTE DE MATERIAIS ASFALTICO A QUENTE</v>
      </c>
      <c r="C10" s="62" t="s">
        <v>79</v>
      </c>
      <c r="D10" s="54" t="s">
        <v>81</v>
      </c>
      <c r="E10" s="50">
        <f>E17*419.8</f>
        <v>21415.361510399998</v>
      </c>
    </row>
    <row r="11" spans="1:7" x14ac:dyDescent="0.25">
      <c r="A11" s="60"/>
      <c r="B11" s="65"/>
      <c r="C11" s="55"/>
      <c r="D11" s="53"/>
    </row>
    <row r="12" spans="1:7" x14ac:dyDescent="0.25">
      <c r="A12" s="56" t="s">
        <v>55</v>
      </c>
      <c r="B12" s="57" t="s">
        <v>56</v>
      </c>
      <c r="C12" s="66"/>
      <c r="D12" s="66"/>
    </row>
    <row r="13" spans="1:7" x14ac:dyDescent="0.25">
      <c r="A13" s="60" t="s">
        <v>57</v>
      </c>
      <c r="B13" s="65" t="str">
        <f>[1]BM.01!B20</f>
        <v>SINALIZACAO HORIZONTAL COM TINTA 2 ANOS DURACAO</v>
      </c>
      <c r="C13" s="67" t="s">
        <v>75</v>
      </c>
      <c r="D13" s="54"/>
    </row>
    <row r="14" spans="1:7" x14ac:dyDescent="0.25">
      <c r="A14" s="60"/>
      <c r="B14" s="65"/>
      <c r="C14" s="55"/>
      <c r="D14" s="53"/>
    </row>
    <row r="15" spans="1:7" x14ac:dyDescent="0.25">
      <c r="A15" s="56" t="s">
        <v>59</v>
      </c>
      <c r="B15" s="57" t="s">
        <v>82</v>
      </c>
      <c r="C15" s="59"/>
      <c r="D15" s="59"/>
    </row>
    <row r="16" spans="1:7" x14ac:dyDescent="0.25">
      <c r="A16" s="60" t="s">
        <v>61</v>
      </c>
      <c r="B16" s="65" t="str">
        <f>[1]BM.01!B22</f>
        <v>ASFALTO DILUIDO CM-30 EXCLUSIVE TRANSPORTE</v>
      </c>
      <c r="C16" s="55" t="s">
        <v>77</v>
      </c>
      <c r="D16" s="53" t="s">
        <v>83</v>
      </c>
      <c r="E16" s="50">
        <f>E7*0.0012</f>
        <v>11.593919999999999</v>
      </c>
      <c r="F16" s="68"/>
    </row>
    <row r="17" spans="1:5" ht="30" x14ac:dyDescent="0.25">
      <c r="A17" s="60" t="s">
        <v>63</v>
      </c>
      <c r="B17" s="65" t="str">
        <f>[1]BM.01!B23</f>
        <v xml:space="preserve">CIMENTO ASFALTICO CAP 50/70 EXCLUSIVE TRANSPORTE </v>
      </c>
      <c r="C17" s="55" t="s">
        <v>77</v>
      </c>
      <c r="D17" s="54" t="s">
        <v>84</v>
      </c>
      <c r="E17" s="50">
        <f>E8*0.055</f>
        <v>51.013247999999997</v>
      </c>
    </row>
    <row r="18" spans="1:5" x14ac:dyDescent="0.25">
      <c r="A18" s="69" t="e">
        <f>#REF!</f>
        <v>#REF!</v>
      </c>
      <c r="B18" s="57" t="str">
        <f>[1]BM.01!B24</f>
        <v>PLACA DA OBRA</v>
      </c>
      <c r="C18" s="59"/>
      <c r="D18" s="59"/>
    </row>
    <row r="19" spans="1:5" x14ac:dyDescent="0.25">
      <c r="A19" s="60" t="s">
        <v>67</v>
      </c>
      <c r="B19" s="65" t="str">
        <f>[1]BM.01!B25</f>
        <v>PLACA INDICATIVA DE OBRA</v>
      </c>
      <c r="C19" s="67" t="s">
        <v>85</v>
      </c>
      <c r="D19" s="53" t="s">
        <v>86</v>
      </c>
      <c r="E19" s="50">
        <v>4.5</v>
      </c>
    </row>
    <row r="21" spans="1:5" x14ac:dyDescent="0.25">
      <c r="A21" s="7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E3AE-E591-4C14-8219-DC39A4B74599}">
  <sheetPr codeName="Plan18"/>
  <dimension ref="A1:K36"/>
  <sheetViews>
    <sheetView view="pageBreakPreview" topLeftCell="A14" zoomScale="90" zoomScaleNormal="100" zoomScaleSheetLayoutView="90" workbookViewId="0">
      <selection activeCell="C14" sqref="C14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105" t="s">
        <v>0</v>
      </c>
      <c r="B1" s="106"/>
      <c r="C1" s="106"/>
      <c r="D1" s="106"/>
      <c r="E1" s="106"/>
      <c r="F1" s="106"/>
      <c r="G1" s="106"/>
      <c r="H1" s="106"/>
      <c r="I1" s="107"/>
      <c r="J1" s="1" t="s">
        <v>1</v>
      </c>
    </row>
    <row r="2" spans="1:10" s="2" customFormat="1" ht="16.5" customHeight="1" x14ac:dyDescent="0.25">
      <c r="A2" s="108"/>
      <c r="B2" s="109"/>
      <c r="C2" s="109"/>
      <c r="D2" s="109"/>
      <c r="E2" s="109"/>
      <c r="F2" s="109"/>
      <c r="G2" s="109"/>
      <c r="H2" s="109"/>
      <c r="I2" s="110"/>
      <c r="J2" s="3" t="s">
        <v>87</v>
      </c>
    </row>
    <row r="3" spans="1:10" s="2" customFormat="1" ht="18.75" customHeight="1" x14ac:dyDescent="0.25">
      <c r="A3" s="87" t="s">
        <v>3</v>
      </c>
      <c r="B3" s="89"/>
      <c r="C3" s="87" t="s">
        <v>4</v>
      </c>
      <c r="D3" s="88"/>
      <c r="E3" s="88"/>
      <c r="F3" s="89"/>
      <c r="G3" s="87" t="s">
        <v>5</v>
      </c>
      <c r="H3" s="89"/>
      <c r="I3" s="4" t="s">
        <v>6</v>
      </c>
      <c r="J3" s="4" t="s">
        <v>7</v>
      </c>
    </row>
    <row r="4" spans="1:10" s="2" customFormat="1" ht="21.75" customHeight="1" x14ac:dyDescent="0.25">
      <c r="A4" s="111" t="s">
        <v>8</v>
      </c>
      <c r="B4" s="112"/>
      <c r="C4" s="113" t="s">
        <v>8</v>
      </c>
      <c r="D4" s="114"/>
      <c r="E4" s="114"/>
      <c r="F4" s="115"/>
      <c r="G4" s="113"/>
      <c r="H4" s="115"/>
      <c r="I4" s="5">
        <v>44475</v>
      </c>
      <c r="J4" s="5" t="s">
        <v>9</v>
      </c>
    </row>
    <row r="5" spans="1:10" s="2" customFormat="1" ht="18.75" customHeight="1" x14ac:dyDescent="0.25">
      <c r="A5" s="87" t="s">
        <v>10</v>
      </c>
      <c r="B5" s="89"/>
      <c r="C5" s="87" t="s">
        <v>11</v>
      </c>
      <c r="D5" s="89"/>
      <c r="E5" s="87" t="s">
        <v>12</v>
      </c>
      <c r="F5" s="89"/>
      <c r="G5" s="4" t="s">
        <v>13</v>
      </c>
      <c r="H5" s="4" t="s">
        <v>14</v>
      </c>
      <c r="I5" s="87" t="s">
        <v>15</v>
      </c>
      <c r="J5" s="89"/>
    </row>
    <row r="6" spans="1:10" s="2" customFormat="1" ht="24" customHeight="1" x14ac:dyDescent="0.25">
      <c r="A6" s="99" t="s">
        <v>16</v>
      </c>
      <c r="B6" s="100"/>
      <c r="C6" s="101"/>
      <c r="D6" s="102"/>
      <c r="E6" s="103" t="s">
        <v>17</v>
      </c>
      <c r="F6" s="104"/>
      <c r="G6" s="5">
        <v>44475</v>
      </c>
      <c r="H6" s="5" t="s">
        <v>18</v>
      </c>
      <c r="I6" s="97">
        <v>44614</v>
      </c>
      <c r="J6" s="98"/>
    </row>
    <row r="7" spans="1:10" s="2" customFormat="1" ht="18.75" customHeight="1" x14ac:dyDescent="0.25">
      <c r="A7" s="85" t="s">
        <v>19</v>
      </c>
      <c r="B7" s="86"/>
      <c r="C7" s="87" t="s">
        <v>20</v>
      </c>
      <c r="D7" s="88"/>
      <c r="E7" s="89"/>
      <c r="F7" s="6" t="s">
        <v>21</v>
      </c>
      <c r="G7" s="87" t="s">
        <v>22</v>
      </c>
      <c r="H7" s="89"/>
      <c r="I7" s="85" t="s">
        <v>23</v>
      </c>
      <c r="J7" s="86"/>
    </row>
    <row r="8" spans="1:10" s="2" customFormat="1" ht="32.25" customHeight="1" x14ac:dyDescent="0.25">
      <c r="A8" s="90" t="s">
        <v>24</v>
      </c>
      <c r="B8" s="91"/>
      <c r="C8" s="92" t="s">
        <v>25</v>
      </c>
      <c r="D8" s="93"/>
      <c r="E8" s="94"/>
      <c r="F8" s="7">
        <v>6960954.2000000002</v>
      </c>
      <c r="G8" s="95">
        <f>BM.02!$I$26</f>
        <v>226632.5</v>
      </c>
      <c r="H8" s="96"/>
      <c r="I8" s="97" t="s">
        <v>88</v>
      </c>
      <c r="J8" s="98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78" t="s">
        <v>27</v>
      </c>
      <c r="F10" s="78"/>
      <c r="G10" s="78"/>
      <c r="H10" s="79" t="s">
        <v>28</v>
      </c>
      <c r="I10" s="78"/>
      <c r="J10" s="80"/>
    </row>
    <row r="11" spans="1:10" s="2" customFormat="1" x14ac:dyDescent="0.25">
      <c r="A11" s="81" t="s">
        <v>29</v>
      </c>
      <c r="B11" s="82" t="s">
        <v>30</v>
      </c>
      <c r="C11" s="83" t="s">
        <v>31</v>
      </c>
      <c r="D11" s="84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81"/>
      <c r="B12" s="82"/>
      <c r="C12" s="83"/>
      <c r="D12" s="84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78576.859999999986</v>
      </c>
      <c r="J14" s="27">
        <f>SUM(J15:J18)</f>
        <v>219583.45999999996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02'!E7</f>
        <v>5383.86</v>
      </c>
      <c r="G15" s="31">
        <f>F15+[1]BM.01!G15</f>
        <v>15045.46</v>
      </c>
      <c r="H15" s="33">
        <v>51319.41</v>
      </c>
      <c r="I15" s="34">
        <f>ROUND(D15*F15,2)</f>
        <v>1722.84</v>
      </c>
      <c r="J15" s="33">
        <f>ROUND(D15*G15,2)</f>
        <v>4814.55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02'!E8</f>
        <v>516.85</v>
      </c>
      <c r="G16" s="31">
        <f>F16+[1]BM.01!G16</f>
        <v>1444.3600000000001</v>
      </c>
      <c r="H16" s="33">
        <v>2028268.95</v>
      </c>
      <c r="I16" s="34">
        <f t="shared" ref="I16:I18" si="0">ROUND(D16*F16,2)</f>
        <v>67697.009999999995</v>
      </c>
      <c r="J16" s="33">
        <f t="shared" ref="J16:J18" si="1">ROUND(D16*G16,2)</f>
        <v>189182.27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02'!E9</f>
        <v>2711.91</v>
      </c>
      <c r="G17" s="31">
        <f>F17+[1]BM.01!G17</f>
        <v>7577.3899999999994</v>
      </c>
      <c r="H17" s="33">
        <v>45739.33</v>
      </c>
      <c r="I17" s="34">
        <f t="shared" si="0"/>
        <v>1518.67</v>
      </c>
      <c r="J17" s="33">
        <f t="shared" si="1"/>
        <v>4243.34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02'!E10</f>
        <v>11934.91</v>
      </c>
      <c r="G18" s="31">
        <f>F18+[1]BM.01!G18</f>
        <v>33348.910000000003</v>
      </c>
      <c r="H18" s="33">
        <v>230065.55</v>
      </c>
      <c r="I18" s="34">
        <f t="shared" si="0"/>
        <v>7638.34</v>
      </c>
      <c r="J18" s="33">
        <f t="shared" si="1"/>
        <v>21343.3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v>168362.18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02'!E12</f>
        <v>0</v>
      </c>
      <c r="G20" s="31">
        <f>F20+[1]BM.01!G20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v>4435744.29</v>
      </c>
      <c r="I21" s="27">
        <f>SUM(I22:I23)</f>
        <v>148055.64000000001</v>
      </c>
      <c r="J21" s="27">
        <f>SUM(J22:J23)</f>
        <v>413697.47000000003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2">
        <f>'[1]Memória 02'!E14</f>
        <v>6.46</v>
      </c>
      <c r="G22" s="31">
        <f>F22+[1]BM.01!G22</f>
        <v>18.05</v>
      </c>
      <c r="H22" s="33">
        <v>1124981.42</v>
      </c>
      <c r="I22" s="34">
        <f>ROUND(D22*F22,2)</f>
        <v>37543.97</v>
      </c>
      <c r="J22" s="33">
        <f t="shared" ref="J22:J23" si="2">ROUND(D22*G22,2)</f>
        <v>104902.27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851.72</v>
      </c>
      <c r="F23" s="32">
        <f>'[1]Memória 02'!E15</f>
        <v>28.43</v>
      </c>
      <c r="G23" s="31">
        <f>F23+[1]BM.01!G23</f>
        <v>79.44</v>
      </c>
      <c r="H23" s="33">
        <v>3310762.87</v>
      </c>
      <c r="I23" s="34">
        <f t="shared" ref="I23" si="3">ROUND(D23*F23,2)</f>
        <v>110511.67</v>
      </c>
      <c r="J23" s="33">
        <f t="shared" si="2"/>
        <v>308795.2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5"/>
      <c r="H24" s="27">
        <v>1454.48</v>
      </c>
      <c r="I24" s="27">
        <f>SUM(I25:I25)</f>
        <v>0</v>
      </c>
      <c r="J24" s="27">
        <f>SUM(J25:J25)</f>
        <v>1454.49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46</v>
      </c>
      <c r="D25" s="36">
        <v>323.22000000000003</v>
      </c>
      <c r="E25" s="36">
        <v>4.5</v>
      </c>
      <c r="F25" s="32">
        <f>'[1]Memória 02'!E17</f>
        <v>0</v>
      </c>
      <c r="G25" s="31">
        <f>F25+[1]BM.01!G25</f>
        <v>4.5</v>
      </c>
      <c r="H25" s="33">
        <v>1454.48</v>
      </c>
      <c r="I25" s="34">
        <f>ROUND(D25*F25,2)</f>
        <v>0</v>
      </c>
      <c r="J25" s="33">
        <f>ROUND(D25*G25,2)</f>
        <v>1454.49</v>
      </c>
    </row>
    <row r="26" spans="1:11" s="2" customFormat="1" ht="30" customHeight="1" x14ac:dyDescent="0.25">
      <c r="A26" s="71" t="s">
        <v>69</v>
      </c>
      <c r="B26" s="72"/>
      <c r="C26" s="72"/>
      <c r="D26" s="72"/>
      <c r="E26" s="72"/>
      <c r="F26" s="72"/>
      <c r="G26" s="73"/>
      <c r="H26" s="38">
        <v>6960954.2000000002</v>
      </c>
      <c r="I26" s="38">
        <f>I14+I19+I21+I24</f>
        <v>226632.5</v>
      </c>
      <c r="J26" s="38">
        <f>J14+J19+J21+J24</f>
        <v>634735.41999999993</v>
      </c>
      <c r="K26" s="39">
        <f>J26/H26</f>
        <v>9.1185116546234415E-2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74" t="s">
        <v>70</v>
      </c>
      <c r="B28" s="74"/>
      <c r="C28" s="74"/>
      <c r="D28" s="75">
        <f>I26</f>
        <v>226632.5</v>
      </c>
      <c r="E28" s="75"/>
      <c r="F28" s="76"/>
      <c r="G28" s="76"/>
      <c r="H28" s="76"/>
      <c r="I28" s="76"/>
      <c r="J28" s="76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77"/>
      <c r="H30" s="77"/>
      <c r="I30" s="77"/>
      <c r="J30" s="77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C0C36-DD0F-4A75-9CF1-A869190B4A92}">
  <dimension ref="A1:M19"/>
  <sheetViews>
    <sheetView tabSelected="1" view="pageBreakPreview" topLeftCell="A7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13" ht="26.25" x14ac:dyDescent="0.25">
      <c r="A1" s="116" t="s">
        <v>89</v>
      </c>
      <c r="B1" s="117"/>
      <c r="C1" s="117"/>
      <c r="D1" s="118"/>
    </row>
    <row r="3" spans="1:13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13" x14ac:dyDescent="0.25">
      <c r="A4" s="53"/>
      <c r="B4" s="54"/>
      <c r="C4" s="55"/>
      <c r="D4" s="53"/>
    </row>
    <row r="5" spans="1:13" x14ac:dyDescent="0.25">
      <c r="A5" s="119"/>
      <c r="B5" s="119"/>
      <c r="C5" s="119"/>
      <c r="D5" s="119"/>
    </row>
    <row r="6" spans="1:13" x14ac:dyDescent="0.25">
      <c r="A6" s="56" t="s">
        <v>42</v>
      </c>
      <c r="B6" s="57" t="s">
        <v>43</v>
      </c>
      <c r="C6" s="58"/>
      <c r="D6" s="59"/>
      <c r="G6">
        <f>(4.85+5.7+5.8+5.7)/4</f>
        <v>5.5125000000000002</v>
      </c>
      <c r="H6">
        <f>(6.8+5.3+4.3+4.5)/4</f>
        <v>5.2249999999999996</v>
      </c>
      <c r="I6">
        <f>(3.6+3.7+4+4.5)/4</f>
        <v>3.95</v>
      </c>
      <c r="J6">
        <f>(5+5.4+5.3+6)/4</f>
        <v>5.4249999999999998</v>
      </c>
      <c r="K6">
        <f>(4.7+4.9+5.2)/3</f>
        <v>4.9333333333333336</v>
      </c>
      <c r="L6">
        <f>(5.1+4.5+3.7)/3</f>
        <v>4.4333333333333336</v>
      </c>
    </row>
    <row r="7" spans="1:13" ht="240" x14ac:dyDescent="0.25">
      <c r="A7" s="60" t="s">
        <v>44</v>
      </c>
      <c r="B7" s="61" t="str">
        <f>[1]BM.02!B15</f>
        <v>IMPRIMACAO EXCLUSIVE LIGANTE</v>
      </c>
      <c r="C7" s="62" t="s">
        <v>75</v>
      </c>
      <c r="D7" s="54" t="s">
        <v>90</v>
      </c>
      <c r="E7" s="120">
        <f>774.15+687+611.46+1116.52+483.14+500.59+1211</f>
        <v>5383.86</v>
      </c>
      <c r="G7" s="63">
        <f>5.51*140.5</f>
        <v>774.15499999999997</v>
      </c>
      <c r="H7">
        <f>5.22*131.7</f>
        <v>687.47399999999993</v>
      </c>
      <c r="I7">
        <f>3.95*154.8</f>
        <v>611.46</v>
      </c>
      <c r="J7">
        <f>5.42*206</f>
        <v>1116.52</v>
      </c>
      <c r="K7">
        <f>4.93*98</f>
        <v>483.14</v>
      </c>
      <c r="L7">
        <f>4.43*113</f>
        <v>500.59</v>
      </c>
      <c r="M7">
        <f>173*7</f>
        <v>1211</v>
      </c>
    </row>
    <row r="8" spans="1:13" ht="30" x14ac:dyDescent="0.25">
      <c r="A8" s="60" t="s">
        <v>47</v>
      </c>
      <c r="B8" s="61" t="str">
        <f>[1]BM.02!B16</f>
        <v>CONCRETO BETUMINOSO USINADO A QUENTE EXC. LIGANTE</v>
      </c>
      <c r="C8" s="62" t="s">
        <v>77</v>
      </c>
      <c r="D8" s="64" t="s">
        <v>78</v>
      </c>
      <c r="E8" s="50">
        <f>E7*0.04*2.4</f>
        <v>516.85055999999997</v>
      </c>
    </row>
    <row r="9" spans="1:13" x14ac:dyDescent="0.25">
      <c r="A9" s="60" t="s">
        <v>50</v>
      </c>
      <c r="B9" s="61" t="str">
        <f>[1]BM.02!B17</f>
        <v>TRANSPORTE DE MATERIAIS ASFALTICO A FRIO</v>
      </c>
      <c r="C9" s="62" t="s">
        <v>79</v>
      </c>
      <c r="D9" s="53" t="s">
        <v>80</v>
      </c>
      <c r="E9" s="50">
        <f>E14*419.8</f>
        <v>2712.1733135999993</v>
      </c>
    </row>
    <row r="10" spans="1:13" x14ac:dyDescent="0.25">
      <c r="A10" s="60" t="s">
        <v>53</v>
      </c>
      <c r="B10" s="61" t="str">
        <f>[1]BM.02!B18</f>
        <v>TRANSPORTE DE MATERIAIS ASFALTICO A QUENTE</v>
      </c>
      <c r="C10" s="62" t="s">
        <v>79</v>
      </c>
      <c r="D10" s="54" t="s">
        <v>81</v>
      </c>
      <c r="E10" s="50">
        <f>E15*419.8</f>
        <v>11933.56257984</v>
      </c>
    </row>
    <row r="11" spans="1:13" x14ac:dyDescent="0.25">
      <c r="A11" s="56" t="s">
        <v>55</v>
      </c>
      <c r="B11" s="57" t="s">
        <v>56</v>
      </c>
      <c r="C11" s="66"/>
      <c r="D11" s="66"/>
    </row>
    <row r="12" spans="1:13" x14ac:dyDescent="0.25">
      <c r="A12" s="60" t="s">
        <v>57</v>
      </c>
      <c r="B12" s="65" t="str">
        <f>[1]BM.02!B20</f>
        <v>SINALIZACAO HORIZONTAL COM TINTA 2 ANOS DURACAO</v>
      </c>
      <c r="C12" s="67" t="s">
        <v>75</v>
      </c>
      <c r="D12" s="54"/>
    </row>
    <row r="13" spans="1:13" x14ac:dyDescent="0.25">
      <c r="A13" s="56" t="s">
        <v>59</v>
      </c>
      <c r="B13" s="57" t="s">
        <v>82</v>
      </c>
      <c r="C13" s="59"/>
      <c r="D13" s="59"/>
    </row>
    <row r="14" spans="1:13" x14ac:dyDescent="0.25">
      <c r="A14" s="60" t="s">
        <v>61</v>
      </c>
      <c r="B14" s="65" t="str">
        <f>[1]BM.02!B22</f>
        <v>ASFALTO DILUIDO CM-30 EXCLUSIVE TRANSPORTE</v>
      </c>
      <c r="C14" s="55" t="s">
        <v>77</v>
      </c>
      <c r="D14" s="53" t="s">
        <v>83</v>
      </c>
      <c r="E14" s="50">
        <f>E7*0.0012</f>
        <v>6.4606319999999986</v>
      </c>
      <c r="F14" s="68"/>
    </row>
    <row r="15" spans="1:13" ht="30" x14ac:dyDescent="0.25">
      <c r="A15" s="60" t="s">
        <v>63</v>
      </c>
      <c r="B15" s="65" t="str">
        <f>[1]BM.02!B23</f>
        <v xml:space="preserve">CIMENTO ASFALTICO CAP 50/70 EXCLUSIVE TRANSPORTE </v>
      </c>
      <c r="C15" s="55" t="s">
        <v>77</v>
      </c>
      <c r="D15" s="54" t="s">
        <v>84</v>
      </c>
      <c r="E15" s="50">
        <f>E8*0.055</f>
        <v>28.4267808</v>
      </c>
    </row>
    <row r="16" spans="1:13" x14ac:dyDescent="0.25">
      <c r="A16" s="69" t="e">
        <f>#REF!</f>
        <v>#REF!</v>
      </c>
      <c r="B16" s="57" t="str">
        <f>[1]BM.02!B24</f>
        <v>PLACA DA OBRA</v>
      </c>
      <c r="C16" s="59"/>
      <c r="D16" s="59"/>
    </row>
    <row r="17" spans="1:4" x14ac:dyDescent="0.25">
      <c r="A17" s="60" t="s">
        <v>67</v>
      </c>
      <c r="B17" s="65" t="str">
        <f>[1]BM.02!B25</f>
        <v>PLACA INDICATIVA DE OBRA</v>
      </c>
      <c r="C17" s="67" t="s">
        <v>85</v>
      </c>
      <c r="D17" s="53"/>
    </row>
    <row r="19" spans="1:4" x14ac:dyDescent="0.25">
      <c r="A19" s="7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0672-E37A-46BA-8FF2-0DE1E7D624A6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6</vt:i4>
      </vt:variant>
    </vt:vector>
  </HeadingPairs>
  <TitlesOfParts>
    <vt:vector size="11" baseType="lpstr">
      <vt:lpstr>BM.01</vt:lpstr>
      <vt:lpstr>Memória 01</vt:lpstr>
      <vt:lpstr>BM.02</vt:lpstr>
      <vt:lpstr>Memória 02</vt:lpstr>
      <vt:lpstr>Planilha1</vt:lpstr>
      <vt:lpstr>BM.01!Area_de_impressao</vt:lpstr>
      <vt:lpstr>BM.02!Area_de_impressao</vt:lpstr>
      <vt:lpstr>'Memória 01'!Area_de_impressao</vt:lpstr>
      <vt:lpstr>'Memória 02'!Area_de_impressao</vt:lpstr>
      <vt:lpstr>BM.01!Titulos_de_impressao</vt:lpstr>
      <vt:lpstr>BM.02!Titulos_de_impressao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2025-02-21T17:03:58Z</dcterms:created>
  <dcterms:modified xsi:type="dcterms:W3CDTF">2025-02-21T17:07:46Z</dcterms:modified>
</cp:coreProperties>
</file>