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3FC790D-4439-48F5-8D6F-1558A9D54540}" xr6:coauthVersionLast="47" xr6:coauthVersionMax="47" xr10:uidLastSave="{00000000-0000-0000-0000-000000000000}"/>
  <bookViews>
    <workbookView xWindow="-120" yWindow="-120" windowWidth="20730" windowHeight="11160" firstSheet="3" activeTab="9" xr2:uid="{A02EA123-0BA1-4A18-9498-8F3CC74A9515}"/>
  </bookViews>
  <sheets>
    <sheet name="BM.01" sheetId="2" r:id="rId1"/>
    <sheet name="Memória 01" sheetId="3" r:id="rId2"/>
    <sheet name="BM.02" sheetId="4" r:id="rId3"/>
    <sheet name="Memória 02" sheetId="5" r:id="rId4"/>
    <sheet name="BM.03" sheetId="6" r:id="rId5"/>
    <sheet name="Memória 03" sheetId="7" r:id="rId6"/>
    <sheet name="BM.04" sheetId="8" r:id="rId7"/>
    <sheet name="Memória 04" sheetId="9" r:id="rId8"/>
    <sheet name="BM.05" sheetId="10" r:id="rId9"/>
    <sheet name="Memória 05" sheetId="11" r:id="rId10"/>
    <sheet name="Planilha1" sheetId="1" r:id="rId11"/>
  </sheets>
  <externalReferences>
    <externalReference r:id="rId12"/>
  </externalReferences>
  <definedNames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BM.04!$A$1:$J$34</definedName>
    <definedName name="_xlnm.Print_Area" localSheetId="8">BM.05!$A$1:$J$34</definedName>
    <definedName name="_xlnm.Print_Area" localSheetId="1">'Memória 01'!$A$1:$D$19</definedName>
    <definedName name="_xlnm.Print_Area" localSheetId="3">'Memória 02'!$A$1:$D$17</definedName>
    <definedName name="_xlnm.Print_Area" localSheetId="5">'Memória 03'!$A$1:$D$17</definedName>
    <definedName name="_xlnm.Print_Area" localSheetId="7">'Memória 04'!$A$1:$D$18</definedName>
    <definedName name="_xlnm.Print_Area" localSheetId="9">'Memória 05'!$A$1:$D$18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1" l="1"/>
  <c r="B17" i="11"/>
  <c r="A17" i="11"/>
  <c r="E16" i="11"/>
  <c r="E10" i="11" s="1"/>
  <c r="B16" i="11"/>
  <c r="B15" i="11"/>
  <c r="E14" i="11"/>
  <c r="B14" i="11"/>
  <c r="J13" i="11"/>
  <c r="I12" i="11"/>
  <c r="I13" i="11" s="1"/>
  <c r="H12" i="11"/>
  <c r="H13" i="11" s="1"/>
  <c r="G12" i="11"/>
  <c r="G13" i="11" s="1"/>
  <c r="F12" i="11"/>
  <c r="F13" i="11" s="1"/>
  <c r="E12" i="11"/>
  <c r="B12" i="11"/>
  <c r="B10" i="11"/>
  <c r="E9" i="11"/>
  <c r="B9" i="11"/>
  <c r="X8" i="11"/>
  <c r="R8" i="11"/>
  <c r="Q8" i="11"/>
  <c r="P8" i="11"/>
  <c r="O8" i="11"/>
  <c r="N8" i="11"/>
  <c r="M8" i="11"/>
  <c r="L8" i="11"/>
  <c r="K8" i="11"/>
  <c r="I8" i="11"/>
  <c r="H8" i="11"/>
  <c r="G8" i="11"/>
  <c r="E8" i="11"/>
  <c r="B8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I7" i="11"/>
  <c r="H7" i="11"/>
  <c r="G7" i="11"/>
  <c r="F7" i="11"/>
  <c r="B7" i="11"/>
  <c r="I26" i="10"/>
  <c r="G26" i="10"/>
  <c r="J26" i="10" s="1"/>
  <c r="J25" i="10" s="1"/>
  <c r="F26" i="10"/>
  <c r="I25" i="10"/>
  <c r="H24" i="10"/>
  <c r="H21" i="10" s="1"/>
  <c r="H27" i="10" s="1"/>
  <c r="F24" i="10"/>
  <c r="I24" i="10" s="1"/>
  <c r="I21" i="10" s="1"/>
  <c r="E24" i="10"/>
  <c r="K23" i="10"/>
  <c r="I23" i="10"/>
  <c r="F23" i="10"/>
  <c r="G23" i="10" s="1"/>
  <c r="J23" i="10" s="1"/>
  <c r="I22" i="10"/>
  <c r="F22" i="10"/>
  <c r="G22" i="10" s="1"/>
  <c r="J22" i="10" s="1"/>
  <c r="I20" i="10"/>
  <c r="G20" i="10"/>
  <c r="J20" i="10" s="1"/>
  <c r="J19" i="10" s="1"/>
  <c r="F20" i="10"/>
  <c r="I19" i="10"/>
  <c r="F18" i="10"/>
  <c r="I18" i="10" s="1"/>
  <c r="F17" i="10"/>
  <c r="I17" i="10" s="1"/>
  <c r="F16" i="10"/>
  <c r="I16" i="10" s="1"/>
  <c r="F15" i="10"/>
  <c r="I15" i="10" s="1"/>
  <c r="I14" i="10" s="1"/>
  <c r="I27" i="10" s="1"/>
  <c r="B18" i="9"/>
  <c r="B17" i="9"/>
  <c r="A17" i="9"/>
  <c r="E16" i="9"/>
  <c r="E10" i="9" s="1"/>
  <c r="B16" i="9"/>
  <c r="B15" i="9"/>
  <c r="E14" i="9"/>
  <c r="B14" i="9"/>
  <c r="B12" i="9"/>
  <c r="B10" i="9"/>
  <c r="E9" i="9"/>
  <c r="B9" i="9"/>
  <c r="W8" i="9"/>
  <c r="Q8" i="9"/>
  <c r="P8" i="9"/>
  <c r="O8" i="9"/>
  <c r="N8" i="9"/>
  <c r="M8" i="9"/>
  <c r="L8" i="9"/>
  <c r="K8" i="9"/>
  <c r="J8" i="9"/>
  <c r="I8" i="9"/>
  <c r="H8" i="9"/>
  <c r="G8" i="9"/>
  <c r="E8" i="9"/>
  <c r="B8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B7" i="9"/>
  <c r="G26" i="8"/>
  <c r="J26" i="8" s="1"/>
  <c r="J25" i="8" s="1"/>
  <c r="F26" i="8"/>
  <c r="I26" i="8" s="1"/>
  <c r="I25" i="8" s="1"/>
  <c r="F24" i="8"/>
  <c r="I24" i="8" s="1"/>
  <c r="E24" i="8"/>
  <c r="H24" i="8" s="1"/>
  <c r="H21" i="8" s="1"/>
  <c r="H27" i="8" s="1"/>
  <c r="K23" i="8"/>
  <c r="I23" i="8"/>
  <c r="G23" i="8"/>
  <c r="J23" i="8" s="1"/>
  <c r="F23" i="8"/>
  <c r="I22" i="8"/>
  <c r="G22" i="8"/>
  <c r="J22" i="8" s="1"/>
  <c r="F22" i="8"/>
  <c r="F20" i="8"/>
  <c r="I20" i="8" s="1"/>
  <c r="I19" i="8" s="1"/>
  <c r="F18" i="8"/>
  <c r="I18" i="8" s="1"/>
  <c r="F17" i="8"/>
  <c r="I17" i="8" s="1"/>
  <c r="F16" i="8"/>
  <c r="I16" i="8" s="1"/>
  <c r="F15" i="8"/>
  <c r="I15" i="8" s="1"/>
  <c r="B17" i="7"/>
  <c r="B16" i="7"/>
  <c r="A16" i="7"/>
  <c r="B15" i="7"/>
  <c r="B14" i="7"/>
  <c r="B12" i="7"/>
  <c r="H10" i="7"/>
  <c r="B10" i="7"/>
  <c r="B9" i="7"/>
  <c r="B8" i="7"/>
  <c r="L7" i="7"/>
  <c r="K7" i="7"/>
  <c r="J7" i="7"/>
  <c r="I7" i="7"/>
  <c r="H7" i="7"/>
  <c r="E7" i="7"/>
  <c r="E14" i="7" s="1"/>
  <c r="E9" i="7" s="1"/>
  <c r="B7" i="7"/>
  <c r="G6" i="7"/>
  <c r="G7" i="7" s="1"/>
  <c r="F25" i="6"/>
  <c r="G25" i="6" s="1"/>
  <c r="J25" i="6" s="1"/>
  <c r="J24" i="6" s="1"/>
  <c r="F23" i="6"/>
  <c r="G23" i="6" s="1"/>
  <c r="F22" i="6"/>
  <c r="I22" i="6" s="1"/>
  <c r="F20" i="6"/>
  <c r="G20" i="6" s="1"/>
  <c r="J20" i="6" s="1"/>
  <c r="J19" i="6" s="1"/>
  <c r="F18" i="6"/>
  <c r="G18" i="6" s="1"/>
  <c r="J18" i="6" s="1"/>
  <c r="F17" i="6"/>
  <c r="G17" i="6" s="1"/>
  <c r="J17" i="6" s="1"/>
  <c r="F16" i="6"/>
  <c r="I16" i="6" s="1"/>
  <c r="F15" i="6"/>
  <c r="I15" i="6" s="1"/>
  <c r="B17" i="5"/>
  <c r="B16" i="5"/>
  <c r="A16" i="5"/>
  <c r="B15" i="5"/>
  <c r="B14" i="5"/>
  <c r="B12" i="5"/>
  <c r="B10" i="5"/>
  <c r="B9" i="5"/>
  <c r="B8" i="5"/>
  <c r="M7" i="5"/>
  <c r="L7" i="5"/>
  <c r="K7" i="5"/>
  <c r="J7" i="5"/>
  <c r="I7" i="5"/>
  <c r="H7" i="5"/>
  <c r="G7" i="5"/>
  <c r="E7" i="5"/>
  <c r="E8" i="5" s="1"/>
  <c r="E15" i="5" s="1"/>
  <c r="E10" i="5" s="1"/>
  <c r="B7" i="5"/>
  <c r="L6" i="5"/>
  <c r="K6" i="5"/>
  <c r="J6" i="5"/>
  <c r="I6" i="5"/>
  <c r="H6" i="5"/>
  <c r="G6" i="5"/>
  <c r="F25" i="4"/>
  <c r="I25" i="4" s="1"/>
  <c r="I24" i="4" s="1"/>
  <c r="F23" i="4"/>
  <c r="G23" i="4" s="1"/>
  <c r="J23" i="4" s="1"/>
  <c r="F22" i="4"/>
  <c r="G22" i="4" s="1"/>
  <c r="J22" i="4" s="1"/>
  <c r="F20" i="4"/>
  <c r="I20" i="4" s="1"/>
  <c r="I19" i="4" s="1"/>
  <c r="F18" i="4"/>
  <c r="G18" i="4" s="1"/>
  <c r="J18" i="4" s="1"/>
  <c r="F17" i="4"/>
  <c r="G17" i="4" s="1"/>
  <c r="J17" i="4" s="1"/>
  <c r="F16" i="4"/>
  <c r="G16" i="4" s="1"/>
  <c r="J16" i="4" s="1"/>
  <c r="F15" i="4"/>
  <c r="G15" i="4" s="1"/>
  <c r="J15" i="4" s="1"/>
  <c r="B19" i="3"/>
  <c r="B18" i="3"/>
  <c r="A18" i="3"/>
  <c r="E17" i="3"/>
  <c r="E10" i="3" s="1"/>
  <c r="B17" i="3"/>
  <c r="B16" i="3"/>
  <c r="B13" i="3"/>
  <c r="B10" i="3"/>
  <c r="B9" i="3"/>
  <c r="E8" i="3"/>
  <c r="B8" i="3"/>
  <c r="E7" i="3"/>
  <c r="E16" i="3" s="1"/>
  <c r="E9" i="3" s="1"/>
  <c r="B7" i="3"/>
  <c r="F25" i="2"/>
  <c r="G25" i="2" s="1"/>
  <c r="J25" i="2" s="1"/>
  <c r="J24" i="2" s="1"/>
  <c r="F23" i="2"/>
  <c r="G23" i="2" s="1"/>
  <c r="J23" i="2" s="1"/>
  <c r="F22" i="2"/>
  <c r="G22" i="2" s="1"/>
  <c r="J22" i="2" s="1"/>
  <c r="F20" i="2"/>
  <c r="I20" i="2" s="1"/>
  <c r="I19" i="2" s="1"/>
  <c r="F18" i="2"/>
  <c r="G18" i="2" s="1"/>
  <c r="J18" i="2" s="1"/>
  <c r="F17" i="2"/>
  <c r="G17" i="2" s="1"/>
  <c r="J17" i="2" s="1"/>
  <c r="F16" i="2"/>
  <c r="G16" i="2" s="1"/>
  <c r="J16" i="2" s="1"/>
  <c r="F15" i="2"/>
  <c r="G15" i="2" s="1"/>
  <c r="J15" i="2" s="1"/>
  <c r="K13" i="11" l="1"/>
  <c r="D29" i="10"/>
  <c r="K27" i="10"/>
  <c r="G8" i="10"/>
  <c r="J21" i="10"/>
  <c r="G24" i="10"/>
  <c r="J24" i="10" s="1"/>
  <c r="G15" i="10"/>
  <c r="J15" i="10" s="1"/>
  <c r="G16" i="10"/>
  <c r="J16" i="10" s="1"/>
  <c r="G17" i="10"/>
  <c r="J17" i="10" s="1"/>
  <c r="G18" i="10"/>
  <c r="J18" i="10" s="1"/>
  <c r="I15" i="4"/>
  <c r="G20" i="8"/>
  <c r="J20" i="8" s="1"/>
  <c r="J19" i="8" s="1"/>
  <c r="I21" i="8"/>
  <c r="I14" i="8"/>
  <c r="I27" i="8" s="1"/>
  <c r="G24" i="8"/>
  <c r="J24" i="8" s="1"/>
  <c r="J21" i="8" s="1"/>
  <c r="G15" i="8"/>
  <c r="J15" i="8" s="1"/>
  <c r="G16" i="8"/>
  <c r="J16" i="8" s="1"/>
  <c r="G17" i="8"/>
  <c r="J17" i="8" s="1"/>
  <c r="G18" i="8"/>
  <c r="J18" i="8" s="1"/>
  <c r="I16" i="2"/>
  <c r="I17" i="4"/>
  <c r="I22" i="4"/>
  <c r="I21" i="4" s="1"/>
  <c r="I20" i="6"/>
  <c r="I19" i="6" s="1"/>
  <c r="I25" i="6"/>
  <c r="I24" i="6" s="1"/>
  <c r="E8" i="7"/>
  <c r="E15" i="7" s="1"/>
  <c r="E10" i="7" s="1"/>
  <c r="J23" i="6"/>
  <c r="M22" i="6" s="1"/>
  <c r="K23" i="6"/>
  <c r="N22" i="6" s="1"/>
  <c r="G16" i="6"/>
  <c r="J16" i="6" s="1"/>
  <c r="G22" i="6"/>
  <c r="J22" i="6" s="1"/>
  <c r="I17" i="6"/>
  <c r="I18" i="6"/>
  <c r="I23" i="6"/>
  <c r="I21" i="6" s="1"/>
  <c r="G15" i="6"/>
  <c r="J15" i="6" s="1"/>
  <c r="J14" i="6" s="1"/>
  <c r="I16" i="4"/>
  <c r="I18" i="2"/>
  <c r="I23" i="4"/>
  <c r="I22" i="2"/>
  <c r="I18" i="4"/>
  <c r="E14" i="5"/>
  <c r="E9" i="5" s="1"/>
  <c r="J14" i="4"/>
  <c r="J21" i="4"/>
  <c r="G20" i="4"/>
  <c r="J20" i="4" s="1"/>
  <c r="J19" i="4" s="1"/>
  <c r="G25" i="4"/>
  <c r="J25" i="4" s="1"/>
  <c r="J24" i="4" s="1"/>
  <c r="I15" i="2"/>
  <c r="I17" i="2"/>
  <c r="I23" i="2"/>
  <c r="I21" i="2" s="1"/>
  <c r="J21" i="2"/>
  <c r="J14" i="2"/>
  <c r="I25" i="2"/>
  <c r="I24" i="2" s="1"/>
  <c r="G20" i="2"/>
  <c r="J20" i="2" s="1"/>
  <c r="J19" i="2" s="1"/>
  <c r="J14" i="10" l="1"/>
  <c r="J27" i="10" s="1"/>
  <c r="I14" i="6"/>
  <c r="I26" i="6" s="1"/>
  <c r="O22" i="6"/>
  <c r="P22" i="6" s="1"/>
  <c r="J14" i="8"/>
  <c r="J27" i="8" s="1"/>
  <c r="D29" i="8"/>
  <c r="G8" i="8"/>
  <c r="K27" i="8"/>
  <c r="J21" i="6"/>
  <c r="J26" i="6" s="1"/>
  <c r="D28" i="6"/>
  <c r="G8" i="6"/>
  <c r="I14" i="2"/>
  <c r="I26" i="2" s="1"/>
  <c r="D28" i="2" s="1"/>
  <c r="I14" i="4"/>
  <c r="I26" i="4" s="1"/>
  <c r="D28" i="4" s="1"/>
  <c r="J26" i="4"/>
  <c r="K26" i="4" s="1"/>
  <c r="J26" i="2"/>
  <c r="K26" i="2" s="1"/>
  <c r="K26" i="6" l="1"/>
  <c r="K25" i="6"/>
  <c r="L25" i="6" s="1"/>
  <c r="G8" i="4"/>
  <c r="G8" i="2"/>
  <c r="L24" i="6" l="1"/>
  <c r="K24" i="6"/>
  <c r="M24" i="6" s="1"/>
</calcChain>
</file>

<file path=xl/sharedStrings.xml><?xml version="1.0" encoding="utf-8"?>
<sst xmlns="http://schemas.openxmlformats.org/spreadsheetml/2006/main" count="589" uniqueCount="109">
  <si>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</si>
  <si>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</si>
  <si>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</si>
  <si>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</si>
  <si>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</si>
  <si>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</si>
  <si>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</si>
  <si>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</si>
  <si>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</si>
  <si>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14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</si>
  <si>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</si>
  <si>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</si>
  <si>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</si>
  <si>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</si>
  <si>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</si>
  <si>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</si>
  <si>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</si>
  <si>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Concorrência n° 05/2021</t>
  </si>
  <si>
    <t>641/2021</t>
  </si>
  <si>
    <t>Empreendimento</t>
  </si>
  <si>
    <t>Contratada</t>
  </si>
  <si>
    <t>Valor da Contrato (R$)</t>
  </si>
  <si>
    <t>Valor da medição (R$)</t>
  </si>
  <si>
    <t>Período</t>
  </si>
  <si>
    <t>Execução de pavimentação asfáltica em CBUQ, em diversas ruas do município de Sousa-Pb</t>
  </si>
  <si>
    <t>Niemaia Construções Eireli</t>
  </si>
  <si>
    <t>06/10/2021 à 25/01/2022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</si>
  <si>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</si>
  <si>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</si>
  <si>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</si>
  <si>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</si>
  <si>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</si>
  <si>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</si>
  <si>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</si>
  <si>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</si>
  <si>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</si>
  <si>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</si>
  <si>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</si>
  <si>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</si>
  <si>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</si>
  <si>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</si>
  <si>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</si>
  <si>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</si>
  <si>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PAVIMENTAÇÃO</t>
  </si>
  <si>
    <t>1.1</t>
  </si>
  <si>
    <t>IMPRIMACAO EXCLUSIVE LIGANTE</t>
  </si>
  <si>
    <t>M2</t>
  </si>
  <si>
    <t>1.2</t>
  </si>
  <si>
    <t>CONCRETO BETUMINOSO USINADO A QUENTE EXC. LIGANTE</t>
  </si>
  <si>
    <t>T</t>
  </si>
  <si>
    <t>1.3</t>
  </si>
  <si>
    <t>TRANSPORTE DE MATERIAIS ASFALTICO A FRIO</t>
  </si>
  <si>
    <t>T.KM</t>
  </si>
  <si>
    <t>1.4</t>
  </si>
  <si>
    <t>TRANSPORTE DE MATERIAIS ASFALTICO A QUENTE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</si>
  <si>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</si>
  <si>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</si>
  <si>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</si>
  <si>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</si>
  <si>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</si>
  <si>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</si>
  <si>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</si>
  <si>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ASFALTO DILUIDO CM-30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</si>
  <si>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</si>
  <si>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</si>
  <si>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</si>
  <si>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</si>
  <si>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</si>
  <si>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</si>
  <si>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,</t>
  </si>
  <si>
    <t xml:space="preserve">IMPORTA O PRESENTE BOLETIM DE MEDIÇÃO O VALOR DE </t>
  </si>
  <si>
    <t>MEMORIA DE CALCULO</t>
  </si>
  <si>
    <t>DISCRIMINAÇÃO</t>
  </si>
  <si>
    <t xml:space="preserve">UN </t>
  </si>
  <si>
    <t>QUANT.</t>
  </si>
  <si>
    <t>m²</t>
  </si>
  <si>
    <r>
      <t xml:space="preserve">No bairro Jardim Brasília: Rua Maria Hermínia - 232,90 m x 8,00 m de largura = 1.863,20 m²; Av. Candida Sarmento - 69,50 m x 8,00 m de largura = 556,00 m²; Rua Marcos Augusto Gonçalves - 115,40 m x 8,00 m de largura = 923,2 m²; </t>
    </r>
    <r>
      <rPr>
        <b/>
        <sz val="11"/>
        <color theme="1"/>
        <rFont val="Aptos Narrow"/>
        <family val="2"/>
        <scheme val="minor"/>
      </rPr>
      <t>totalizando = 3.342,40 m² no Jardim Brasília</t>
    </r>
    <r>
      <rPr>
        <sz val="11"/>
        <color theme="1"/>
        <rFont val="Aptos Narrow"/>
        <family val="2"/>
        <scheme val="minor"/>
      </rPr>
      <t xml:space="preserve">. No bairro Raquel Gadelha: Rua Júlio Vieira de Almeida - 237,60 m x 7,00 m de largura = 1.663,20 m²; Rua Ana Cartaxo da Nóbrega - 121,20 m x 8,00 m de largura = 969,60 m²; Rua Expedito Lourenço de Sousa = 121,00 m x 7,70 m de largura = 931,70 m²; Rua Ademir Paulo da Silva = 121,00 m x 7,10 m de largura = 859,10 m²; </t>
    </r>
    <r>
      <rPr>
        <b/>
        <sz val="11"/>
        <color theme="1"/>
        <rFont val="Aptos Narrow"/>
        <family val="2"/>
        <scheme val="minor"/>
      </rPr>
      <t>totalizando = 4.423,60 m² no Bairro Raquel Gadelha</t>
    </r>
    <r>
      <rPr>
        <sz val="11"/>
        <color theme="1"/>
        <rFont val="Aptos Narrow"/>
        <family val="2"/>
        <scheme val="minor"/>
      </rPr>
      <t xml:space="preserve">. No Bairro Gato Preto: Rua Gustan Forte = 62,80 m x 7,00 m de largura = 439,60 m²; Rua Jose Francisco de Sousa = 208,00 m x 7,00 m de largura = 1.456,00 m²; </t>
    </r>
    <r>
      <rPr>
        <b/>
        <sz val="11"/>
        <color theme="1"/>
        <rFont val="Aptos Narrow"/>
        <family val="2"/>
        <scheme val="minor"/>
      </rPr>
      <t>totalizando 1.895,60 m² no bairro Gato Preto</t>
    </r>
    <r>
      <rPr>
        <sz val="11"/>
        <color theme="1"/>
        <rFont val="Aptos Narrow"/>
        <family val="2"/>
        <scheme val="minor"/>
      </rPr>
      <t>. Perfazendo um total geral de</t>
    </r>
  </si>
  <si>
    <t>t</t>
  </si>
  <si>
    <t>Área total x 0,04 m de altura x densidade de 2,40 t/ m³ =</t>
  </si>
  <si>
    <t>t.km</t>
  </si>
  <si>
    <t>Total de CM-30 x distancia de 419,80 km</t>
  </si>
  <si>
    <t xml:space="preserve">Total de CAP 50/70 x distância de 419,80 km </t>
  </si>
  <si>
    <t>LIGANTES BETUMINOSOS (FORTALEZA)</t>
  </si>
  <si>
    <t xml:space="preserve">Área total de imprimação x teor de ligante de 0,12% = </t>
  </si>
  <si>
    <t>Volume total de CBUQ em toneladas x 5,5% de taxa de aplicação =</t>
  </si>
  <si>
    <t>M²</t>
  </si>
  <si>
    <t xml:space="preserve">1,50 x 3,00 = </t>
  </si>
  <si>
    <t>02</t>
  </si>
  <si>
    <t>26/01 A 22/02/2022</t>
  </si>
  <si>
    <t>MEMORIA DE CALCULO - BM 02</t>
  </si>
  <si>
    <r>
      <t xml:space="preserve">BAIRRO ALTO DO CRUZEIRO = Rua Cícero Policarpo (trecho 01) 140,50 m de comprimento x (4,85+5,70+5,80+5,70)/4 = 5,51 de largura média = </t>
    </r>
    <r>
      <rPr>
        <b/>
        <sz val="11"/>
        <color theme="1"/>
        <rFont val="Aptos Narrow"/>
        <family val="2"/>
        <scheme val="minor"/>
      </rPr>
      <t>774,15 m²</t>
    </r>
    <r>
      <rPr>
        <sz val="11"/>
        <color theme="1"/>
        <rFont val="Aptos Narrow"/>
        <family val="2"/>
        <scheme val="minor"/>
      </rPr>
      <t xml:space="preserve">;  Rua Cícero Policarpo (trecho 02) 131,70 m de comprimento x (6,80+5,30+4,30+4,50)/4 = 5,22m de largura média = </t>
    </r>
    <r>
      <rPr>
        <b/>
        <sz val="11"/>
        <color theme="1"/>
        <rFont val="Aptos Narrow"/>
        <family val="2"/>
        <scheme val="minor"/>
      </rPr>
      <t xml:space="preserve">687,47 m². </t>
    </r>
    <r>
      <rPr>
        <sz val="11"/>
        <color theme="1"/>
        <rFont val="Aptos Narrow"/>
        <family val="2"/>
        <scheme val="minor"/>
      </rPr>
      <t xml:space="preserve">Rua Maria Socorro Abrantes 154,80 m de comprimento x (3,60+3,70+4,00+4,50)/4 = 3,95 m de largura média = </t>
    </r>
    <r>
      <rPr>
        <b/>
        <sz val="11"/>
        <color theme="1"/>
        <rFont val="Aptos Narrow"/>
        <family val="2"/>
        <scheme val="minor"/>
      </rPr>
      <t>611,46 m²</t>
    </r>
    <r>
      <rPr>
        <sz val="11"/>
        <color theme="1"/>
        <rFont val="Aptos Narrow"/>
        <family val="2"/>
        <scheme val="minor"/>
      </rPr>
      <t xml:space="preserve">. Rua Manoel Francisco de Barros = 206,00 m de comprimento x (5,00+5,40+5,30+6,00)/4 = 5,42 m de largura média = </t>
    </r>
    <r>
      <rPr>
        <b/>
        <sz val="11"/>
        <color theme="1"/>
        <rFont val="Aptos Narrow"/>
        <family val="2"/>
        <scheme val="minor"/>
      </rPr>
      <t>1.116,52 m²</t>
    </r>
    <r>
      <rPr>
        <sz val="11"/>
        <color theme="1"/>
        <rFont val="Aptos Narrow"/>
        <family val="2"/>
        <scheme val="minor"/>
      </rPr>
      <t xml:space="preserve">. Rua Projetada 01 = 98,00 m de comprimento x (4,70+4,90+5,20)/3 = 4,93 m de largura média = </t>
    </r>
    <r>
      <rPr>
        <b/>
        <sz val="11"/>
        <color theme="1"/>
        <rFont val="Aptos Narrow"/>
        <family val="2"/>
        <scheme val="minor"/>
      </rPr>
      <t>483,14 m²</t>
    </r>
    <r>
      <rPr>
        <sz val="11"/>
        <color theme="1"/>
        <rFont val="Aptos Narrow"/>
        <family val="2"/>
        <scheme val="minor"/>
      </rPr>
      <t xml:space="preserve">. Rua projetada 02 - 113,00 m de comprimento x (5,10+4,50+3,70)/3 = 4,43 m de largura média = </t>
    </r>
    <r>
      <rPr>
        <b/>
        <sz val="11"/>
        <color theme="1"/>
        <rFont val="Aptos Narrow"/>
        <family val="2"/>
        <scheme val="minor"/>
      </rPr>
      <t>500,59 m²</t>
    </r>
    <r>
      <rPr>
        <sz val="11"/>
        <color theme="1"/>
        <rFont val="Aptos Narrow"/>
        <family val="2"/>
        <scheme val="minor"/>
      </rPr>
      <t xml:space="preserve">. BAIRRO GATO PRETO - Rua Ana Neri 173,00 m de comprimento x 7,00 m de largura média = </t>
    </r>
    <r>
      <rPr>
        <b/>
        <sz val="11"/>
        <color theme="1"/>
        <rFont val="Aptos Narrow"/>
        <family val="2"/>
        <scheme val="minor"/>
      </rPr>
      <t>1.211,00 m²</t>
    </r>
    <r>
      <rPr>
        <sz val="11"/>
        <color theme="1"/>
        <rFont val="Aptos Narrow"/>
        <family val="2"/>
        <scheme val="minor"/>
      </rPr>
      <t xml:space="preserve">. </t>
    </r>
    <r>
      <rPr>
        <b/>
        <sz val="11"/>
        <color theme="1"/>
        <rFont val="Aptos Narrow"/>
        <family val="2"/>
        <scheme val="minor"/>
      </rPr>
      <t xml:space="preserve">TOTALIZANDO = </t>
    </r>
  </si>
  <si>
    <t>03</t>
  </si>
  <si>
    <t>23/02 A 28/04/2022</t>
  </si>
  <si>
    <t>MEMORIA DE CALCULO - BM 03</t>
  </si>
  <si>
    <r>
      <t xml:space="preserve">BAIRRO RAQUEL GADELHA = Rua da OAB - comprimento de 312,20 m x largura média de (8,00+8,30+7,60+6,50+6,60)/5 = 7,4 m, perfazendo 2.310,28 m². Rua Pedro Alves Sobrinho - comprimento de 125,40m x largura média de 6,40 m = 802,56 m²; Rua Tipógrafo Marques - comprimento de 63,30 m x largura média de (6,70+6,50)/2 = 6,60 m, perfazendo 417,78 m²; Trevo - trapézio de (41,70+60,60)*8,00/2 = 409,20 m²; Rua Expedito Lourenço - comprimento 111,20 m x largura média de 6,10 m = 678,32 m²; e Rua Ademir Paulo da Silva - comprimento de 109,40 x largura média de 7,40 m =  809,56 m²; </t>
    </r>
    <r>
      <rPr>
        <b/>
        <sz val="11"/>
        <color theme="1"/>
        <rFont val="Aptos Narrow"/>
        <family val="2"/>
        <scheme val="minor"/>
      </rPr>
      <t>TOTALIZANDO = 5.427,70 m²</t>
    </r>
  </si>
  <si>
    <t>04</t>
  </si>
  <si>
    <t>29/04 A 15/09/2022</t>
  </si>
  <si>
    <t>3.3</t>
  </si>
  <si>
    <t>CIMENTO ASFALTICO CAP 50/70 EXCLUSIVE TRANSPORTE (REAJUSTADO)</t>
  </si>
  <si>
    <t xml:space="preserve">VALOR INICIAL DO CONTRATO = </t>
  </si>
  <si>
    <t xml:space="preserve">VALOR DO CONTRATO REAJUSTADO = </t>
  </si>
  <si>
    <t>OBS: A PARTIR DESTE BM, QUE FOI REALIZADO APÓS O TERMO DE ADITIVO DE VALOR N. 01 (equilibrio econômico financeiro), ASSINADO EM 23/AGOSTO/2022 E PUBLICADO NO DIÁRIO OFICIAL EM 24/08/2022, O CONTRATO PASSOU A VIGORAR COM O VALOR DE R$ 7.657.049,62</t>
  </si>
  <si>
    <t>MEMORIA DE CALCULO - BM 04</t>
  </si>
  <si>
    <r>
      <t xml:space="preserve">Rua Jose Vicente de Andrade = 140,80 m de comprimento x largura média de (6,40+6,10+5,80)/3 = 6,10 m = </t>
    </r>
    <r>
      <rPr>
        <b/>
        <sz val="11"/>
        <color theme="1"/>
        <rFont val="Aptos Narrow"/>
        <family val="2"/>
        <scheme val="minor"/>
      </rPr>
      <t xml:space="preserve">858,88 m²; </t>
    </r>
    <r>
      <rPr>
        <sz val="11"/>
        <color theme="1"/>
        <rFont val="Aptos Narrow"/>
        <family val="2"/>
        <scheme val="minor"/>
      </rPr>
      <t xml:space="preserve">Rua Francisco Iram = 220,40 m de comprimento x largura média de (6,20+6,20+6,10+5,70+6,20+6,20)/6 = 6,10 m = </t>
    </r>
    <r>
      <rPr>
        <b/>
        <sz val="11"/>
        <color theme="1"/>
        <rFont val="Aptos Narrow"/>
        <family val="2"/>
        <scheme val="minor"/>
      </rPr>
      <t>1.344,44 m²</t>
    </r>
    <r>
      <rPr>
        <sz val="11"/>
        <color theme="1"/>
        <rFont val="Aptos Narrow"/>
        <family val="2"/>
        <scheme val="minor"/>
      </rPr>
      <t xml:space="preserve">; Rua Nelino Vieira = 291 m x largura média de (6,60+6,60+6,70+6,60+6,30+6,00+6,40)/7 = 6,48 m = </t>
    </r>
    <r>
      <rPr>
        <b/>
        <sz val="11"/>
        <color theme="1"/>
        <rFont val="Aptos Narrow"/>
        <family val="2"/>
        <scheme val="minor"/>
      </rPr>
      <t>1.885,68 m²</t>
    </r>
    <r>
      <rPr>
        <sz val="11"/>
        <color theme="1"/>
        <rFont val="Aptos Narrow"/>
        <family val="2"/>
        <scheme val="minor"/>
      </rPr>
      <t xml:space="preserve">; Rua Lelino Vieira = 175,70 m de comprimento x largura média de (6,00+6,15+6,20+6,20)/4 = 6,14 m = </t>
    </r>
    <r>
      <rPr>
        <b/>
        <sz val="11"/>
        <color theme="1"/>
        <rFont val="Aptos Narrow"/>
        <family val="2"/>
        <scheme val="minor"/>
      </rPr>
      <t>1.078,80 m²</t>
    </r>
    <r>
      <rPr>
        <sz val="11"/>
        <color theme="1"/>
        <rFont val="Aptos Narrow"/>
        <family val="2"/>
        <scheme val="minor"/>
      </rPr>
      <t xml:space="preserve">; Rua Maria Alves Pereira = 163,00 m x largura média de (6,30+5,90+5,80+6,20)/4 = 6,05 m = </t>
    </r>
    <r>
      <rPr>
        <b/>
        <sz val="11"/>
        <color theme="1"/>
        <rFont val="Aptos Narrow"/>
        <family val="2"/>
        <scheme val="minor"/>
      </rPr>
      <t>986,15 m²</t>
    </r>
    <r>
      <rPr>
        <sz val="11"/>
        <color theme="1"/>
        <rFont val="Aptos Narrow"/>
        <family val="2"/>
        <scheme val="minor"/>
      </rPr>
      <t xml:space="preserve">; Rua Janduir Morais = 181,80 m de comprimento x largura média (6,20+5,70+6,10+6+6,10)/5 = 6,02 m = </t>
    </r>
    <r>
      <rPr>
        <b/>
        <sz val="11"/>
        <color theme="1"/>
        <rFont val="Aptos Narrow"/>
        <family val="2"/>
        <scheme val="minor"/>
      </rPr>
      <t>1.094,44 m²</t>
    </r>
    <r>
      <rPr>
        <sz val="11"/>
        <color theme="1"/>
        <rFont val="Aptos Narrow"/>
        <family val="2"/>
        <scheme val="minor"/>
      </rPr>
      <t xml:space="preserve">; Rua Leonor Bezerra = 73,70 m de comprimento x largura média de (6,90+6,80+6,90)/3 = 6,87 m = </t>
    </r>
    <r>
      <rPr>
        <b/>
        <sz val="11"/>
        <color theme="1"/>
        <rFont val="Aptos Narrow"/>
        <family val="2"/>
        <scheme val="minor"/>
      </rPr>
      <t>506,32 m²</t>
    </r>
    <r>
      <rPr>
        <sz val="11"/>
        <color theme="1"/>
        <rFont val="Aptos Narrow"/>
        <family val="2"/>
        <scheme val="minor"/>
      </rPr>
      <t xml:space="preserve">; Rua Vitória Alves = 75,00 m de comprimento x largura média de (6,00+5,00+5,70)/3 = 5,57 m = </t>
    </r>
    <r>
      <rPr>
        <b/>
        <sz val="11"/>
        <color theme="1"/>
        <rFont val="Aptos Narrow"/>
        <family val="2"/>
        <scheme val="minor"/>
      </rPr>
      <t>417,75 m²</t>
    </r>
    <r>
      <rPr>
        <sz val="11"/>
        <color theme="1"/>
        <rFont val="Aptos Narrow"/>
        <family val="2"/>
        <scheme val="minor"/>
      </rPr>
      <t xml:space="preserve">; Rua Maria Olivia Sarmento 93,30 m de comprimento x (5,70+5,80)/2 = 5,75 m = </t>
    </r>
    <r>
      <rPr>
        <b/>
        <sz val="11"/>
        <color theme="1"/>
        <rFont val="Aptos Narrow"/>
        <family val="2"/>
        <scheme val="minor"/>
      </rPr>
      <t>536,47 m²</t>
    </r>
    <r>
      <rPr>
        <sz val="11"/>
        <color theme="1"/>
        <rFont val="Aptos Narrow"/>
        <family val="2"/>
        <scheme val="minor"/>
      </rPr>
      <t xml:space="preserve">; Rua Lelino Vieira 2 = 80,50 m de comprimento x largura média de (5,30+5,20+5,50)/3 = 5,33 m = </t>
    </r>
    <r>
      <rPr>
        <b/>
        <sz val="11"/>
        <color theme="1"/>
        <rFont val="Aptos Narrow"/>
        <family val="2"/>
        <scheme val="minor"/>
      </rPr>
      <t>429,06 m²</t>
    </r>
    <r>
      <rPr>
        <sz val="11"/>
        <color theme="1"/>
        <rFont val="Aptos Narrow"/>
        <family val="2"/>
        <scheme val="minor"/>
      </rPr>
      <t xml:space="preserve">; Rua Leopoldo Jose de Melo = 413,60 m de comprimento x largura média de (8+7,70+7,60+6,60+6+7+7+7+7+7)/10 = 7,09 m = </t>
    </r>
    <r>
      <rPr>
        <b/>
        <sz val="11"/>
        <color theme="1"/>
        <rFont val="Aptos Narrow"/>
        <family val="2"/>
        <scheme val="minor"/>
      </rPr>
      <t>2.932,42 m²</t>
    </r>
    <r>
      <rPr>
        <sz val="11"/>
        <color theme="1"/>
        <rFont val="Aptos Narrow"/>
        <family val="2"/>
        <scheme val="minor"/>
      </rPr>
      <t xml:space="preserve">; Rua Projetada = 50,00 m de comprimento x 7,00 m de largura = </t>
    </r>
    <r>
      <rPr>
        <b/>
        <sz val="11"/>
        <color theme="1"/>
        <rFont val="Aptos Narrow"/>
        <family val="2"/>
        <scheme val="minor"/>
      </rPr>
      <t>350,00 m²</t>
    </r>
    <r>
      <rPr>
        <sz val="11"/>
        <color theme="1"/>
        <rFont val="Aptos Narrow"/>
        <family val="2"/>
        <scheme val="minor"/>
      </rPr>
      <t xml:space="preserve">;Rua Domingos Figueiredo de Oliveira = 122,00 m de comprimento x largura média de 8,00 m = </t>
    </r>
    <r>
      <rPr>
        <b/>
        <sz val="11"/>
        <color theme="1"/>
        <rFont val="Aptos Narrow"/>
        <family val="2"/>
        <scheme val="minor"/>
      </rPr>
      <t>976,00 m²</t>
    </r>
    <r>
      <rPr>
        <sz val="11"/>
        <color theme="1"/>
        <rFont val="Aptos Narrow"/>
        <family val="2"/>
        <scheme val="minor"/>
      </rPr>
      <t xml:space="preserve">; Rua Francisco Paulino (trecho 1) = 134 m de comprimento x largura média de (7,3+7+7+6,60)/4 = 6,97m = </t>
    </r>
    <r>
      <rPr>
        <b/>
        <sz val="11"/>
        <color theme="1"/>
        <rFont val="Aptos Narrow"/>
        <family val="2"/>
        <scheme val="minor"/>
      </rPr>
      <t>996,71 m²</t>
    </r>
    <r>
      <rPr>
        <sz val="11"/>
        <color theme="1"/>
        <rFont val="Aptos Narrow"/>
        <family val="2"/>
        <scheme val="minor"/>
      </rPr>
      <t xml:space="preserve">;  Rua Francisco Paulino trecho 2 = 94 m de comprimento x largura média de 7 m = </t>
    </r>
    <r>
      <rPr>
        <b/>
        <sz val="11"/>
        <color theme="1"/>
        <rFont val="Aptos Narrow"/>
        <family val="2"/>
        <scheme val="minor"/>
      </rPr>
      <t>658,00 m²</t>
    </r>
    <r>
      <rPr>
        <sz val="11"/>
        <color theme="1"/>
        <rFont val="Aptos Narrow"/>
        <family val="2"/>
        <scheme val="minor"/>
      </rPr>
      <t xml:space="preserve">; Rua Ary Fernandes de Aragão = 221,00 m de comprimento x largura média de 8,30 m = </t>
    </r>
    <r>
      <rPr>
        <b/>
        <sz val="11"/>
        <color theme="1"/>
        <rFont val="Aptos Narrow"/>
        <family val="2"/>
        <scheme val="minor"/>
      </rPr>
      <t>1.834,30 m²</t>
    </r>
    <r>
      <rPr>
        <sz val="11"/>
        <color theme="1"/>
        <rFont val="Aptos Narrow"/>
        <family val="2"/>
        <scheme val="minor"/>
      </rPr>
      <t xml:space="preserve">; Rua Francisco Nazaré Formiga = 148,00 m de comprimento x largura média de 4,10 m = </t>
    </r>
    <r>
      <rPr>
        <b/>
        <sz val="11"/>
        <color theme="1"/>
        <rFont val="Aptos Narrow"/>
        <family val="2"/>
        <scheme val="minor"/>
      </rPr>
      <t>606,80 m²</t>
    </r>
    <r>
      <rPr>
        <sz val="11"/>
        <color theme="1"/>
        <rFont val="Aptos Narrow"/>
        <family val="2"/>
        <scheme val="minor"/>
      </rPr>
      <t xml:space="preserve">; Rua Tiburtino Afonso de Carvalho = 200 m x largura média de (11,30+11+10,90+11,10)/4= 11,08 m = 2.216,00 m² + trapézio de (49,50+15,30)*25,60/2 = 829,44; perfazendo = </t>
    </r>
    <r>
      <rPr>
        <b/>
        <sz val="11"/>
        <color theme="1"/>
        <rFont val="Aptos Narrow"/>
        <family val="2"/>
        <scheme val="minor"/>
      </rPr>
      <t>3.045,40 m²</t>
    </r>
    <r>
      <rPr>
        <sz val="11"/>
        <color theme="1"/>
        <rFont val="Aptos Narrow"/>
        <family val="2"/>
        <scheme val="minor"/>
      </rPr>
      <t>; TOTALIZANDO =</t>
    </r>
  </si>
  <si>
    <t>05</t>
  </si>
  <si>
    <t>16/09/22 A 09/08/2023</t>
  </si>
  <si>
    <t>MEMORIA DE CALCULO - BM 05</t>
  </si>
  <si>
    <t>BM 01 232,90+69,50+115,40+237,60 +121,20+121,00+ 121,00+62,80+208,0 = 1.289,40 m x 0,10 x 3 faixas; BM 02 140,50+ 131,70+ 154,80+206,00+ 98,00+113,00 +173,00 = 1017 m x 0,10 x 3 faixas; BM 03 312,20 +125,40+ 63,30+111,20 +109,40 = 721,50 m x 0,10 x 3 faixas; BM 04 140,80 +220,40+291+ 175,70+163,00 +181,80+ 73,70+75,00 +93,30+80,50+50,00 +122,00+134 +94+221+ 148+200 = 2.464,10 m x 0,10 x 3 faixas + 413,6 x 0,10 x 1 faixa</t>
  </si>
  <si>
    <t>ver quantidade de faixas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</si>
</sst>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33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64" fontId="4" fillId="0" borderId="0" xfId="0" applyNumberFormat="1" applyFont="1" applyAlignment="1">
      <alignment vertical="center"/>
    </xf>
    <xf numFmtId="10" fontId="4" fillId="0" borderId="0" xfId="2" applyNumberFormat="1" applyFont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1" xfId="0" applyFont="1" applyFill="1" applyBorder="1" applyAlignment="1">
      <alignment vertical="center"/>
    </xf>
    <xf numFmtId="164" fontId="4" fillId="0" borderId="0" xfId="2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/>
    </xf>
    <xf numFmtId="165" fontId="13" fillId="4" borderId="11" xfId="4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left" vertical="top" wrapText="1"/>
    </xf>
    <xf numFmtId="0" fontId="19" fillId="7" borderId="17" xfId="0" applyFont="1" applyFill="1" applyBorder="1" applyAlignment="1">
      <alignment horizontal="left" vertical="top" wrapText="1"/>
    </xf>
    <xf numFmtId="0" fontId="19" fillId="7" borderId="18" xfId="0" applyFont="1" applyFill="1" applyBorder="1" applyAlignment="1">
      <alignment horizontal="left" vertical="top" wrapText="1"/>
    </xf>
    <xf numFmtId="0" fontId="19" fillId="7" borderId="19" xfId="0" applyFont="1" applyFill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19" fillId="7" borderId="21" xfId="0" applyFont="1" applyFill="1" applyBorder="1" applyAlignment="1">
      <alignment horizontal="left" vertical="top" wrapText="1"/>
    </xf>
  </cellXfs>
  <cellStyles count="5">
    <cellStyle name="20% - Ênfase1" xfId="3" builtinId="30"/>
    <cellStyle name="Moeda 2" xfId="4" xr:uid="{1C12E64B-B4B3-4064-BF37-1B832ACB10AA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1\BM.Pavimentacao.Asfalto.xlsm" TargetMode="External"/><Relationship Id="rId1" Type="http://schemas.openxmlformats.org/officeDocument/2006/relationships/externalLinkPath" Target="/Documents/Prefeitura/Asfalto%202021/BM.Pavimentacao.Asfal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  <sheetName val="BM.04"/>
      <sheetName val="Memória 04"/>
      <sheetName val="BM.05"/>
      <sheetName val="Memória 05"/>
    </sheetNames>
    <sheetDataSet>
      <sheetData sheetId="0">
        <row r="15">
          <cell r="B15" t="str">
            <v>IMPRIMACAO EXCLUSIVE LIGANTE</v>
          </cell>
          <cell r="G15">
            <v>9661.6</v>
          </cell>
        </row>
        <row r="16">
          <cell r="B16" t="str">
            <v>CONCRETO BETUMINOSO USINADO A QUENTE EXC. LIGANTE</v>
          </cell>
          <cell r="G16">
            <v>927.51</v>
          </cell>
        </row>
        <row r="17">
          <cell r="B17" t="str">
            <v>TRANSPORTE DE MATERIAIS ASFALTICO A FRIO</v>
          </cell>
          <cell r="G17">
            <v>4865.4799999999996</v>
          </cell>
        </row>
        <row r="18">
          <cell r="B18" t="str">
            <v>TRANSPORTE DE MATERIAIS ASFALTICO A QUENTE</v>
          </cell>
          <cell r="G18">
            <v>21414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11.59</v>
          </cell>
        </row>
        <row r="23">
          <cell r="B23" t="str">
            <v xml:space="preserve">CIMENTO ASFALTICO CAP 50/70 EXCLUSIVE TRANSPORTE </v>
          </cell>
          <cell r="G23">
            <v>51.01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1">
        <row r="7">
          <cell r="E7">
            <v>9661.6</v>
          </cell>
        </row>
        <row r="8">
          <cell r="E8">
            <v>927.51</v>
          </cell>
        </row>
        <row r="9">
          <cell r="E9">
            <v>4865.4799999999996</v>
          </cell>
        </row>
        <row r="10">
          <cell r="E10">
            <v>21414</v>
          </cell>
        </row>
        <row r="16">
          <cell r="E16">
            <v>11.59</v>
          </cell>
        </row>
        <row r="17">
          <cell r="E17">
            <v>51.01</v>
          </cell>
        </row>
        <row r="19">
          <cell r="E19">
            <v>4.5</v>
          </cell>
        </row>
      </sheetData>
      <sheetData sheetId="2">
        <row r="15">
          <cell r="B15" t="str">
            <v>IMPRIMACAO EXCLUSIVE LIGANTE</v>
          </cell>
          <cell r="G15">
            <v>15045.46</v>
          </cell>
        </row>
        <row r="16">
          <cell r="B16" t="str">
            <v>CONCRETO BETUMINOSO USINADO A QUENTE EXC. LIGANTE</v>
          </cell>
          <cell r="G16">
            <v>1444.36</v>
          </cell>
        </row>
        <row r="17">
          <cell r="B17" t="str">
            <v>TRANSPORTE DE MATERIAIS ASFALTICO A FRIO</v>
          </cell>
          <cell r="G17">
            <v>7577.39</v>
          </cell>
        </row>
        <row r="18">
          <cell r="B18" t="str">
            <v>TRANSPORTE DE MATERIAIS ASFALTICO A QUENTE</v>
          </cell>
          <cell r="G18">
            <v>33348.910000000003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18.05</v>
          </cell>
        </row>
        <row r="23">
          <cell r="B23" t="str">
            <v xml:space="preserve">CIMENTO ASFALTICO CAP 50/70 EXCLUSIVE TRANSPORTE </v>
          </cell>
          <cell r="G23">
            <v>79.44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3">
        <row r="7">
          <cell r="E7">
            <v>5383.86</v>
          </cell>
        </row>
        <row r="8">
          <cell r="E8">
            <v>516.85</v>
          </cell>
        </row>
        <row r="9">
          <cell r="E9">
            <v>2711.91</v>
          </cell>
        </row>
        <row r="10">
          <cell r="E10">
            <v>11934.91</v>
          </cell>
        </row>
        <row r="14">
          <cell r="E14">
            <v>6.46</v>
          </cell>
        </row>
        <row r="15">
          <cell r="E15">
            <v>28.43</v>
          </cell>
        </row>
      </sheetData>
      <sheetData sheetId="4">
        <row r="15">
          <cell r="B15" t="str">
            <v>IMPRIMACAO EXCLUSIVE LIGANTE</v>
          </cell>
          <cell r="G15">
            <v>20473.16</v>
          </cell>
        </row>
        <row r="16">
          <cell r="B16" t="str">
            <v>CONCRETO BETUMINOSO USINADO A QUENTE EXC. LIGANTE</v>
          </cell>
          <cell r="G16">
            <v>1965.42</v>
          </cell>
        </row>
        <row r="17">
          <cell r="B17" t="str">
            <v>TRANSPORTE DE MATERIAIS ASFALTICO A FRIO</v>
          </cell>
          <cell r="G17">
            <v>10310.290000000001</v>
          </cell>
        </row>
        <row r="18">
          <cell r="B18" t="str">
            <v>TRANSPORTE DE MATERIAIS ASFALTICO A QUENTE</v>
          </cell>
          <cell r="G18">
            <v>45380.38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24.56</v>
          </cell>
        </row>
        <row r="23">
          <cell r="B23" t="str">
            <v xml:space="preserve">CIMENTO ASFALTICO CAP 50/70 EXCLUSIVE TRANSPORTE </v>
          </cell>
          <cell r="G23">
            <v>108.1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5">
        <row r="7">
          <cell r="B7" t="str">
            <v>IMPRIMACAO EXCLUSIVE LIGANTE</v>
          </cell>
          <cell r="E7">
            <v>5427.7</v>
          </cell>
        </row>
        <row r="8">
          <cell r="B8" t="str">
            <v>CONCRETO BETUMINOSO USINADO A QUENTE EXC. LIGANTE</v>
          </cell>
          <cell r="E8">
            <v>521.05999999999995</v>
          </cell>
        </row>
        <row r="9">
          <cell r="B9" t="str">
            <v>TRANSPORTE DE MATERIAIS ASFALTICO A FRIO</v>
          </cell>
          <cell r="E9">
            <v>2732.9</v>
          </cell>
        </row>
        <row r="10">
          <cell r="B10" t="str">
            <v>TRANSPORTE DE MATERIAIS ASFALTICO A QUENTE</v>
          </cell>
          <cell r="E10">
            <v>12031.47</v>
          </cell>
        </row>
        <row r="14">
          <cell r="E14">
            <v>6.51</v>
          </cell>
        </row>
        <row r="15">
          <cell r="E15">
            <v>28.66</v>
          </cell>
        </row>
      </sheetData>
      <sheetData sheetId="6">
        <row r="15">
          <cell r="G15">
            <v>41010.83</v>
          </cell>
        </row>
        <row r="16">
          <cell r="G16">
            <v>3937.04</v>
          </cell>
        </row>
        <row r="17">
          <cell r="G17">
            <v>20658.36</v>
          </cell>
        </row>
        <row r="18">
          <cell r="G18">
            <v>90903.49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49.21</v>
          </cell>
        </row>
        <row r="23">
          <cell r="B23" t="str">
            <v xml:space="preserve">CIMENTO ASFALTICO CAP 50/70 EXCLUSIVE TRANSPORTE </v>
          </cell>
          <cell r="G23">
            <v>108.1</v>
          </cell>
        </row>
        <row r="24">
          <cell r="B24" t="str">
            <v>CIMENTO ASFALTICO CAP 50/70 EXCLUSIVE TRANSPORTE (REAJUSTADO)</v>
          </cell>
          <cell r="G24">
            <v>108.44</v>
          </cell>
        </row>
        <row r="25">
          <cell r="A25" t="str">
            <v>4.0</v>
          </cell>
          <cell r="B25" t="str">
            <v>PLACA DA OBRA</v>
          </cell>
        </row>
        <row r="26">
          <cell r="B26" t="str">
            <v>PLACA INDICATIVA DE OBRA</v>
          </cell>
          <cell r="G26">
            <v>4.5</v>
          </cell>
        </row>
      </sheetData>
      <sheetData sheetId="7">
        <row r="7">
          <cell r="E7">
            <v>20537.669999999998</v>
          </cell>
        </row>
        <row r="8">
          <cell r="E8">
            <v>1971.62</v>
          </cell>
        </row>
        <row r="9">
          <cell r="E9">
            <v>10348.07</v>
          </cell>
        </row>
        <row r="10">
          <cell r="E10">
            <v>45523.11</v>
          </cell>
        </row>
        <row r="14">
          <cell r="E14">
            <v>24.65</v>
          </cell>
        </row>
        <row r="16">
          <cell r="E16">
            <v>108.44</v>
          </cell>
        </row>
      </sheetData>
      <sheetData sheetId="8"/>
      <sheetData sheetId="9"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2">
          <cell r="E12">
            <v>1688.99</v>
          </cell>
        </row>
        <row r="14">
          <cell r="E14">
            <v>0</v>
          </cell>
        </row>
        <row r="16">
          <cell r="E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5E71-A669-43E5-A717-8D57CD233404}">
  <sheetPr codeName="Plan17"/>
  <dimension ref="A1:K36"/>
  <sheetViews>
    <sheetView view="pageBreakPreview" topLeftCell="A18" zoomScale="90" zoomScaleNormal="100" zoomScaleSheetLayoutView="90" workbookViewId="0">
      <selection activeCell="C25" sqref="C25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7" t="s">
        <v>0</v>
      </c>
      <c r="B1" s="78"/>
      <c r="C1" s="78"/>
      <c r="D1" s="78"/>
      <c r="E1" s="78"/>
      <c r="F1" s="78"/>
      <c r="G1" s="78"/>
      <c r="H1" s="78"/>
      <c r="I1" s="79"/>
      <c r="J1" s="1" t="s">
        <v>1</v>
      </c>
    </row>
    <row r="2" spans="1:10" s="2" customFormat="1" ht="16.5" customHeight="1" x14ac:dyDescent="0.25">
      <c r="A2" s="80"/>
      <c r="B2" s="81"/>
      <c r="C2" s="81"/>
      <c r="D2" s="81"/>
      <c r="E2" s="81"/>
      <c r="F2" s="81"/>
      <c r="G2" s="81"/>
      <c r="H2" s="81"/>
      <c r="I2" s="82"/>
      <c r="J2" s="3" t="s">
        <v>2</v>
      </c>
    </row>
    <row r="3" spans="1:10" s="2" customFormat="1" ht="18.75" customHeight="1" x14ac:dyDescent="0.25">
      <c r="A3" s="83" t="s">
        <v>3</v>
      </c>
      <c r="B3" s="84"/>
      <c r="C3" s="83" t="s">
        <v>4</v>
      </c>
      <c r="D3" s="85"/>
      <c r="E3" s="85"/>
      <c r="F3" s="84"/>
      <c r="G3" s="83" t="s">
        <v>5</v>
      </c>
      <c r="H3" s="84"/>
      <c r="I3" s="4" t="s">
        <v>6</v>
      </c>
      <c r="J3" s="4" t="s">
        <v>7</v>
      </c>
    </row>
    <row r="4" spans="1:10" s="2" customFormat="1" ht="21.75" customHeight="1" x14ac:dyDescent="0.25">
      <c r="A4" s="86" t="s">
        <v>8</v>
      </c>
      <c r="B4" s="87"/>
      <c r="C4" s="88" t="s">
        <v>8</v>
      </c>
      <c r="D4" s="89"/>
      <c r="E4" s="89"/>
      <c r="F4" s="90"/>
      <c r="G4" s="88"/>
      <c r="H4" s="90"/>
      <c r="I4" s="5">
        <v>44475</v>
      </c>
      <c r="J4" s="5" t="s">
        <v>9</v>
      </c>
    </row>
    <row r="5" spans="1:10" s="2" customFormat="1" ht="18.75" customHeight="1" x14ac:dyDescent="0.25">
      <c r="A5" s="83" t="s">
        <v>10</v>
      </c>
      <c r="B5" s="84"/>
      <c r="C5" s="83" t="s">
        <v>11</v>
      </c>
      <c r="D5" s="84"/>
      <c r="E5" s="83" t="s">
        <v>12</v>
      </c>
      <c r="F5" s="84"/>
      <c r="G5" s="4" t="s">
        <v>13</v>
      </c>
      <c r="H5" s="4" t="s">
        <v>14</v>
      </c>
      <c r="I5" s="83" t="s">
        <v>15</v>
      </c>
      <c r="J5" s="84"/>
    </row>
    <row r="6" spans="1:10" s="2" customFormat="1" ht="24" customHeight="1" x14ac:dyDescent="0.25">
      <c r="A6" s="91" t="s">
        <v>16</v>
      </c>
      <c r="B6" s="92"/>
      <c r="C6" s="93"/>
      <c r="D6" s="94"/>
      <c r="E6" s="95" t="s">
        <v>17</v>
      </c>
      <c r="F6" s="96"/>
      <c r="G6" s="5">
        <v>44475</v>
      </c>
      <c r="H6" s="5" t="s">
        <v>18</v>
      </c>
      <c r="I6" s="97">
        <v>44586</v>
      </c>
      <c r="J6" s="98"/>
    </row>
    <row r="7" spans="1:10" s="2" customFormat="1" ht="18.75" customHeight="1" x14ac:dyDescent="0.25">
      <c r="A7" s="99" t="s">
        <v>19</v>
      </c>
      <c r="B7" s="100"/>
      <c r="C7" s="83" t="s">
        <v>20</v>
      </c>
      <c r="D7" s="85"/>
      <c r="E7" s="84"/>
      <c r="F7" s="6" t="s">
        <v>21</v>
      </c>
      <c r="G7" s="83" t="s">
        <v>22</v>
      </c>
      <c r="H7" s="84"/>
      <c r="I7" s="99" t="s">
        <v>23</v>
      </c>
      <c r="J7" s="100"/>
    </row>
    <row r="8" spans="1:10" s="2" customFormat="1" ht="32.25" customHeight="1" x14ac:dyDescent="0.25">
      <c r="A8" s="101" t="s">
        <v>24</v>
      </c>
      <c r="B8" s="102"/>
      <c r="C8" s="103" t="s">
        <v>25</v>
      </c>
      <c r="D8" s="104"/>
      <c r="E8" s="105"/>
      <c r="F8" s="7">
        <v>6960954.2000000002</v>
      </c>
      <c r="G8" s="106">
        <f>BM.01!$I$26</f>
        <v>408102.91000000003</v>
      </c>
      <c r="H8" s="107"/>
      <c r="I8" s="97" t="s">
        <v>26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8" t="s">
        <v>27</v>
      </c>
      <c r="F10" s="108"/>
      <c r="G10" s="108"/>
      <c r="H10" s="109" t="s">
        <v>28</v>
      </c>
      <c r="I10" s="108"/>
      <c r="J10" s="110"/>
    </row>
    <row r="11" spans="1:10" s="2" customFormat="1" x14ac:dyDescent="0.25">
      <c r="A11" s="111" t="s">
        <v>29</v>
      </c>
      <c r="B11" s="112" t="s">
        <v>30</v>
      </c>
      <c r="C11" s="113" t="s">
        <v>31</v>
      </c>
      <c r="D11" s="114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11"/>
      <c r="B12" s="112"/>
      <c r="C12" s="113"/>
      <c r="D12" s="114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141006.6</v>
      </c>
      <c r="J14" s="27">
        <f>SUM(J15:J18)</f>
        <v>141006.6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01'!E7</f>
        <v>9661.6</v>
      </c>
      <c r="G15" s="31">
        <f>F15</f>
        <v>9661.6</v>
      </c>
      <c r="H15" s="33">
        <v>51319.41</v>
      </c>
      <c r="I15" s="34">
        <f>ROUND(D15*F15,2)</f>
        <v>3091.71</v>
      </c>
      <c r="J15" s="33">
        <f>ROUND(D15*G15,2)</f>
        <v>3091.71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01'!E8</f>
        <v>927.51</v>
      </c>
      <c r="G16" s="31">
        <f t="shared" ref="G16:G18" si="0">F16</f>
        <v>927.51</v>
      </c>
      <c r="H16" s="33">
        <v>2028268.95</v>
      </c>
      <c r="I16" s="34">
        <f t="shared" ref="I16:I18" si="1">ROUND(D16*F16,2)</f>
        <v>121485.26</v>
      </c>
      <c r="J16" s="33">
        <f t="shared" ref="J16:J18" si="2">ROUND(D16*G16,2)</f>
        <v>121485.26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01'!E9</f>
        <v>4865.4799999999996</v>
      </c>
      <c r="G17" s="31">
        <f t="shared" si="0"/>
        <v>4865.4799999999996</v>
      </c>
      <c r="H17" s="33">
        <v>45739.33</v>
      </c>
      <c r="I17" s="34">
        <f t="shared" si="1"/>
        <v>2724.67</v>
      </c>
      <c r="J17" s="33">
        <f t="shared" si="2"/>
        <v>2724.67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01'!E10</f>
        <v>21414</v>
      </c>
      <c r="G18" s="31">
        <f t="shared" si="0"/>
        <v>21414</v>
      </c>
      <c r="H18" s="33">
        <v>230065.55</v>
      </c>
      <c r="I18" s="34">
        <f t="shared" si="1"/>
        <v>13704.96</v>
      </c>
      <c r="J18" s="33">
        <f t="shared" si="2"/>
        <v>13704.96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6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01'!E13</f>
        <v>0</v>
      </c>
      <c r="G20" s="31">
        <f>F20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6"/>
      <c r="H21" s="27">
        <v>4435744.29</v>
      </c>
      <c r="I21" s="27">
        <f>SUM(I22:I23)</f>
        <v>265641.82</v>
      </c>
      <c r="J21" s="27">
        <f>SUM(J22:J23)</f>
        <v>265641.82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7">
        <f>'[1]Memória 01'!E16</f>
        <v>11.59</v>
      </c>
      <c r="G22" s="36">
        <f>F22</f>
        <v>11.59</v>
      </c>
      <c r="H22" s="33">
        <v>1124981.42</v>
      </c>
      <c r="I22" s="34">
        <f t="shared" ref="I22:I23" si="3">ROUND(D22*F22,2)</f>
        <v>67358.3</v>
      </c>
      <c r="J22" s="33">
        <f t="shared" ref="J22:J23" si="4">ROUND(D22*G22,2)</f>
        <v>67358.3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7">
        <f>'[1]Memória 01'!E17</f>
        <v>51.01</v>
      </c>
      <c r="G23" s="36">
        <f>F23</f>
        <v>51.01</v>
      </c>
      <c r="H23" s="33">
        <v>3310762.87</v>
      </c>
      <c r="I23" s="34">
        <f t="shared" si="3"/>
        <v>198283.51999999999</v>
      </c>
      <c r="J23" s="33">
        <f t="shared" si="4"/>
        <v>198283.51999999999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6"/>
      <c r="H24" s="27">
        <v>1454.48</v>
      </c>
      <c r="I24" s="27">
        <f>SUM(I25:I25)</f>
        <v>1454.49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7">
        <f>'[1]Memória 01'!E19</f>
        <v>4.5</v>
      </c>
      <c r="G25" s="36">
        <f>F25</f>
        <v>4.5</v>
      </c>
      <c r="H25" s="33">
        <v>1454.48</v>
      </c>
      <c r="I25" s="34">
        <f>ROUND(D25*F25,2)</f>
        <v>1454.49</v>
      </c>
      <c r="J25" s="33">
        <f>ROUND(D25*G25,2)</f>
        <v>1454.49</v>
      </c>
    </row>
    <row r="26" spans="1:11" s="2" customFormat="1" ht="30" customHeight="1" x14ac:dyDescent="0.25">
      <c r="A26" s="115" t="s">
        <v>69</v>
      </c>
      <c r="B26" s="116"/>
      <c r="C26" s="116"/>
      <c r="D26" s="116"/>
      <c r="E26" s="116"/>
      <c r="F26" s="116"/>
      <c r="G26" s="117"/>
      <c r="H26" s="38">
        <v>6960954.2000000002</v>
      </c>
      <c r="I26" s="38">
        <f>I14+I19+I21+I24</f>
        <v>408102.91000000003</v>
      </c>
      <c r="J26" s="38">
        <f>J14+J19+J21+J24</f>
        <v>408102.91000000003</v>
      </c>
      <c r="K26" s="39">
        <f>J26/H26</f>
        <v>5.8627437887753958E-2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118" t="s">
        <v>70</v>
      </c>
      <c r="B28" s="118"/>
      <c r="C28" s="118"/>
      <c r="D28" s="119">
        <f>I26</f>
        <v>408102.91000000003</v>
      </c>
      <c r="E28" s="119"/>
      <c r="F28" s="120"/>
      <c r="G28" s="120"/>
      <c r="H28" s="120"/>
      <c r="I28" s="120"/>
      <c r="J28" s="120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121"/>
      <c r="H30" s="121"/>
      <c r="I30" s="121"/>
      <c r="J30" s="121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195F-54B3-4550-BD25-C59197302F56}">
  <dimension ref="A1:Y20"/>
  <sheetViews>
    <sheetView tabSelected="1" view="pageBreakPreview" topLeftCell="A11" zoomScale="90" zoomScaleNormal="100" zoomScaleSheetLayoutView="100" workbookViewId="0">
      <selection activeCell="E13" sqref="E13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25" ht="26.25" x14ac:dyDescent="0.25">
      <c r="A1" s="122" t="s">
        <v>106</v>
      </c>
      <c r="B1" s="123"/>
      <c r="C1" s="123"/>
      <c r="D1" s="124"/>
    </row>
    <row r="3" spans="1:25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25" x14ac:dyDescent="0.25">
      <c r="A4" s="53"/>
      <c r="B4" s="54"/>
      <c r="C4" s="55"/>
      <c r="D4" s="53"/>
    </row>
    <row r="5" spans="1:25" x14ac:dyDescent="0.25">
      <c r="A5" s="125"/>
      <c r="B5" s="125"/>
      <c r="C5" s="125"/>
      <c r="D5" s="125"/>
    </row>
    <row r="6" spans="1:25" x14ac:dyDescent="0.25">
      <c r="A6" s="56" t="s">
        <v>42</v>
      </c>
      <c r="B6" s="57" t="s">
        <v>43</v>
      </c>
      <c r="C6" s="58"/>
      <c r="D6" s="59"/>
    </row>
    <row r="7" spans="1:25" x14ac:dyDescent="0.25">
      <c r="A7" s="60" t="s">
        <v>44</v>
      </c>
      <c r="B7" s="61" t="str">
        <f>'[1]Memória 03'!B7</f>
        <v>IMPRIMACAO EXCLUSIVE LIGANTE</v>
      </c>
      <c r="C7" s="62" t="s">
        <v>75</v>
      </c>
      <c r="D7" s="54"/>
      <c r="E7" s="71"/>
      <c r="F7">
        <f>140.8*6.1</f>
        <v>858.88</v>
      </c>
      <c r="G7" s="63">
        <f>220.4*6.1</f>
        <v>1344.44</v>
      </c>
      <c r="H7">
        <f>291*6.48</f>
        <v>1885.68</v>
      </c>
      <c r="I7">
        <f>175.7*6.14</f>
        <v>1078.7979999999998</v>
      </c>
      <c r="K7">
        <f>163*6.05</f>
        <v>986.15</v>
      </c>
      <c r="L7">
        <f>181.8*6.02</f>
        <v>1094.4359999999999</v>
      </c>
      <c r="M7">
        <f>73.7*6.87</f>
        <v>506.31900000000002</v>
      </c>
      <c r="N7">
        <f>75*5.57</f>
        <v>417.75</v>
      </c>
      <c r="O7">
        <f>93.3*5.75</f>
        <v>536.47500000000002</v>
      </c>
      <c r="P7">
        <f>80.5*5.33</f>
        <v>429.065</v>
      </c>
      <c r="Q7">
        <f>413.6*7.09</f>
        <v>2932.424</v>
      </c>
      <c r="R7">
        <f>50*7</f>
        <v>350</v>
      </c>
      <c r="S7">
        <f>122*8</f>
        <v>976</v>
      </c>
      <c r="T7">
        <f>143*6.97</f>
        <v>996.70999999999992</v>
      </c>
      <c r="U7">
        <f>94*7</f>
        <v>658</v>
      </c>
      <c r="V7">
        <f>221*8.3</f>
        <v>1834.3000000000002</v>
      </c>
      <c r="W7">
        <f>148*4.1</f>
        <v>606.79999999999995</v>
      </c>
      <c r="X7">
        <f>200*11.08</f>
        <v>2216</v>
      </c>
      <c r="Y7">
        <f>(49.5+15.3)*25.6/2</f>
        <v>829.44</v>
      </c>
    </row>
    <row r="8" spans="1:25" ht="30" x14ac:dyDescent="0.25">
      <c r="A8" s="60" t="s">
        <v>47</v>
      </c>
      <c r="B8" s="61" t="str">
        <f>'[1]Memória 03'!B8</f>
        <v>CONCRETO BETUMINOSO USINADO A QUENTE EXC. LIGANTE</v>
      </c>
      <c r="C8" s="62" t="s">
        <v>77</v>
      </c>
      <c r="D8" s="64"/>
      <c r="E8" s="50">
        <f>E7*0.04*2.4</f>
        <v>0</v>
      </c>
      <c r="G8">
        <f>(6.2+6.2+6.1+5.7+6.2+6.2)/6</f>
        <v>6.1000000000000005</v>
      </c>
      <c r="H8">
        <f>(6.6+6.6+6.7+6.6+6.3+6+6.4)/7</f>
        <v>6.4571428571428564</v>
      </c>
      <c r="I8">
        <f>(6+6.15+6.2+6.2)/4</f>
        <v>6.1375000000000002</v>
      </c>
      <c r="K8">
        <f>(6.3+5.9+5.8+6.2)/4</f>
        <v>6.05</v>
      </c>
      <c r="L8">
        <f>(6.2+5.7+6.1+6+6.1)/5</f>
        <v>6.0200000000000005</v>
      </c>
      <c r="M8">
        <f>(6.9+6.8+6.9)/3</f>
        <v>6.8666666666666671</v>
      </c>
      <c r="N8">
        <f>(6+5+5.7)/3</f>
        <v>5.5666666666666664</v>
      </c>
      <c r="O8">
        <f>(5.7+5.8)/2</f>
        <v>5.75</v>
      </c>
      <c r="P8">
        <f>(5.3+5.2+5.5)/3</f>
        <v>5.333333333333333</v>
      </c>
      <c r="Q8">
        <f>(8+7.7+7.6+6.6+6+7+7+7+7+7)/10</f>
        <v>7.0900000000000007</v>
      </c>
      <c r="R8">
        <f>(7.3+7+7+6.6)/4</f>
        <v>6.9749999999999996</v>
      </c>
      <c r="X8">
        <f>(11.3+11+10.9+11.1)/4</f>
        <v>11.075000000000001</v>
      </c>
    </row>
    <row r="9" spans="1:25" x14ac:dyDescent="0.25">
      <c r="A9" s="60" t="s">
        <v>50</v>
      </c>
      <c r="B9" s="61" t="str">
        <f>'[1]Memória 03'!B9</f>
        <v>TRANSPORTE DE MATERIAIS ASFALTICO A FRIO</v>
      </c>
      <c r="C9" s="62" t="s">
        <v>79</v>
      </c>
      <c r="D9" s="53"/>
      <c r="E9" s="50">
        <f>E14*419.8</f>
        <v>0</v>
      </c>
    </row>
    <row r="10" spans="1:25" x14ac:dyDescent="0.25">
      <c r="A10" s="60" t="s">
        <v>53</v>
      </c>
      <c r="B10" s="61" t="str">
        <f>'[1]Memória 03'!B10</f>
        <v>TRANSPORTE DE MATERIAIS ASFALTICO A QUENTE</v>
      </c>
      <c r="C10" s="62" t="s">
        <v>79</v>
      </c>
      <c r="D10" s="54"/>
      <c r="E10" s="50">
        <f>E16*419.8</f>
        <v>0</v>
      </c>
    </row>
    <row r="11" spans="1:25" x14ac:dyDescent="0.25">
      <c r="A11" s="56" t="s">
        <v>55</v>
      </c>
      <c r="B11" s="57" t="s">
        <v>56</v>
      </c>
      <c r="C11" s="66"/>
      <c r="D11" s="66"/>
    </row>
    <row r="12" spans="1:25" ht="120" x14ac:dyDescent="0.25">
      <c r="A12" s="60" t="s">
        <v>57</v>
      </c>
      <c r="B12" s="65" t="str">
        <f>[1]BM.04!B20</f>
        <v>SINALIZACAO HORIZONTAL COM TINTA 2 ANOS DURACAO</v>
      </c>
      <c r="C12" s="67" t="s">
        <v>75</v>
      </c>
      <c r="D12" s="54" t="s">
        <v>107</v>
      </c>
      <c r="E12" s="50">
        <f>386.82+305.1+216.45+739.26+41.36</f>
        <v>1688.99</v>
      </c>
      <c r="F12">
        <f>232.9+69.5+115.4+237.6+121.2+121+121+62.8+208</f>
        <v>1289.4000000000001</v>
      </c>
      <c r="G12">
        <f>140.5+ 131.7+ 154.8+206+ 98+113 +173</f>
        <v>1017</v>
      </c>
      <c r="H12">
        <f>312.2 +125.4+ 63.3+111.2 +109.4</f>
        <v>721.5</v>
      </c>
      <c r="I12">
        <f>140.8 +220.4+291+ 175.7+163 +181.8+ 73.7+75 +93.3+80.5+50 +122+134 +94+221+ 148+200</f>
        <v>2464.1999999999998</v>
      </c>
      <c r="J12">
        <v>413.6</v>
      </c>
      <c r="K12" t="s">
        <v>108</v>
      </c>
    </row>
    <row r="13" spans="1:25" x14ac:dyDescent="0.25">
      <c r="A13" s="56" t="s">
        <v>59</v>
      </c>
      <c r="B13" s="57" t="s">
        <v>82</v>
      </c>
      <c r="C13" s="59"/>
      <c r="D13" s="59"/>
      <c r="F13">
        <f>F12*0.1*3</f>
        <v>386.82000000000005</v>
      </c>
      <c r="G13">
        <f>G12*0.1*3</f>
        <v>305.10000000000002</v>
      </c>
      <c r="H13">
        <f>H12*0.1*3</f>
        <v>216.45000000000002</v>
      </c>
      <c r="I13">
        <f>I12*0.1*3</f>
        <v>739.26</v>
      </c>
      <c r="J13">
        <f>J12*0.1</f>
        <v>41.360000000000007</v>
      </c>
      <c r="K13">
        <f>SUM(F13:J13)</f>
        <v>1688.99</v>
      </c>
    </row>
    <row r="14" spans="1:25" x14ac:dyDescent="0.25">
      <c r="A14" s="60" t="s">
        <v>61</v>
      </c>
      <c r="B14" s="65" t="str">
        <f>[1]BM.04!B22</f>
        <v>ASFALTO DILUIDO CM-30 EXCLUSIVE TRANSPORTE</v>
      </c>
      <c r="C14" s="55" t="s">
        <v>77</v>
      </c>
      <c r="D14" s="53"/>
      <c r="E14" s="50">
        <f>E7*0.0012</f>
        <v>0</v>
      </c>
      <c r="F14" s="68"/>
    </row>
    <row r="15" spans="1:25" x14ac:dyDescent="0.25">
      <c r="A15" s="60" t="s">
        <v>63</v>
      </c>
      <c r="B15" s="65" t="str">
        <f>[1]BM.04!B23</f>
        <v xml:space="preserve">CIMENTO ASFALTICO CAP 50/70 EXCLUSIVE TRANSPORTE </v>
      </c>
      <c r="C15" s="55" t="s">
        <v>77</v>
      </c>
      <c r="D15" s="54"/>
    </row>
    <row r="16" spans="1:25" ht="30" x14ac:dyDescent="0.25">
      <c r="A16" s="60" t="s">
        <v>97</v>
      </c>
      <c r="B16" s="65" t="str">
        <f>[1]BM.04!B24</f>
        <v>CIMENTO ASFALTICO CAP 50/70 EXCLUSIVE TRANSPORTE (REAJUSTADO)</v>
      </c>
      <c r="C16" s="55" t="s">
        <v>77</v>
      </c>
      <c r="D16" s="54"/>
      <c r="E16" s="50">
        <f>E8*0.055</f>
        <v>0</v>
      </c>
    </row>
    <row r="17" spans="1:13" x14ac:dyDescent="0.25">
      <c r="A17" s="69" t="str">
        <f>[1]BM.04!A25</f>
        <v>4.0</v>
      </c>
      <c r="B17" s="57" t="str">
        <f>[1]BM.04!B25</f>
        <v>PLACA DA OBRA</v>
      </c>
      <c r="C17" s="59"/>
      <c r="D17" s="59"/>
    </row>
    <row r="18" spans="1:13" s="50" customFormat="1" x14ac:dyDescent="0.25">
      <c r="A18" s="60" t="s">
        <v>67</v>
      </c>
      <c r="B18" s="65" t="str">
        <f>[1]BM.04!B26</f>
        <v>PLACA INDICATIVA DE OBRA</v>
      </c>
      <c r="C18" s="67" t="s">
        <v>85</v>
      </c>
      <c r="D18" s="53"/>
      <c r="F18"/>
      <c r="G18"/>
      <c r="H18"/>
      <c r="I18"/>
      <c r="J18"/>
      <c r="K18"/>
      <c r="L18"/>
      <c r="M18"/>
    </row>
    <row r="20" spans="1:13" s="50" customFormat="1" x14ac:dyDescent="0.25">
      <c r="A20" s="70"/>
      <c r="B20" s="70"/>
      <c r="C20" s="63"/>
      <c r="D20"/>
      <c r="F20"/>
      <c r="G20"/>
      <c r="H20"/>
      <c r="I20"/>
      <c r="J20"/>
      <c r="K20"/>
      <c r="L20"/>
      <c r="M2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0672-E37A-46BA-8FF2-0DE1E7D624A6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57D9-AFB9-4874-88A9-7CB0E2B666DE}">
  <dimension ref="A1:G21"/>
  <sheetViews>
    <sheetView view="pageBreakPreview" topLeftCell="A3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7" ht="26.25" x14ac:dyDescent="0.25">
      <c r="A1" s="122" t="s">
        <v>71</v>
      </c>
      <c r="B1" s="123"/>
      <c r="C1" s="123"/>
      <c r="D1" s="124"/>
    </row>
    <row r="3" spans="1:7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7" x14ac:dyDescent="0.25">
      <c r="A4" s="53"/>
      <c r="B4" s="54"/>
      <c r="C4" s="55"/>
      <c r="D4" s="53"/>
    </row>
    <row r="5" spans="1:7" x14ac:dyDescent="0.25">
      <c r="A5" s="125"/>
      <c r="B5" s="125"/>
      <c r="C5" s="125"/>
      <c r="D5" s="125"/>
    </row>
    <row r="6" spans="1:7" x14ac:dyDescent="0.25">
      <c r="A6" s="56" t="s">
        <v>42</v>
      </c>
      <c r="B6" s="57" t="s">
        <v>43</v>
      </c>
      <c r="C6" s="58"/>
      <c r="D6" s="59"/>
    </row>
    <row r="7" spans="1:7" ht="240" x14ac:dyDescent="0.25">
      <c r="A7" s="60" t="s">
        <v>44</v>
      </c>
      <c r="B7" s="61" t="str">
        <f>[1]BM.01!B15</f>
        <v>IMPRIMACAO EXCLUSIVE LIGANTE</v>
      </c>
      <c r="C7" s="62" t="s">
        <v>75</v>
      </c>
      <c r="D7" s="54" t="s">
        <v>76</v>
      </c>
      <c r="E7" s="50">
        <f>3342.4+4423.6+1895.6</f>
        <v>9661.6</v>
      </c>
      <c r="G7" s="63"/>
    </row>
    <row r="8" spans="1:7" ht="30" x14ac:dyDescent="0.25">
      <c r="A8" s="60" t="s">
        <v>47</v>
      </c>
      <c r="B8" s="61" t="str">
        <f>[1]BM.01!B16</f>
        <v>CONCRETO BETUMINOSO USINADO A QUENTE EXC. LIGANTE</v>
      </c>
      <c r="C8" s="62" t="s">
        <v>77</v>
      </c>
      <c r="D8" s="64" t="s">
        <v>78</v>
      </c>
      <c r="E8" s="50">
        <f>E7*0.04*2.4</f>
        <v>927.5136</v>
      </c>
    </row>
    <row r="9" spans="1:7" x14ac:dyDescent="0.25">
      <c r="A9" s="60" t="s">
        <v>50</v>
      </c>
      <c r="B9" s="61" t="str">
        <f>[1]BM.01!B17</f>
        <v>TRANSPORTE DE MATERIAIS ASFALTICO A FRIO</v>
      </c>
      <c r="C9" s="62" t="s">
        <v>79</v>
      </c>
      <c r="D9" s="53" t="s">
        <v>80</v>
      </c>
      <c r="E9" s="50">
        <f>E16*419.8</f>
        <v>4867.1276159999998</v>
      </c>
    </row>
    <row r="10" spans="1:7" x14ac:dyDescent="0.25">
      <c r="A10" s="60" t="s">
        <v>53</v>
      </c>
      <c r="B10" s="61" t="str">
        <f>[1]BM.01!B18</f>
        <v>TRANSPORTE DE MATERIAIS ASFALTICO A QUENTE</v>
      </c>
      <c r="C10" s="62" t="s">
        <v>79</v>
      </c>
      <c r="D10" s="54" t="s">
        <v>81</v>
      </c>
      <c r="E10" s="50">
        <f>E17*419.8</f>
        <v>21415.361510399998</v>
      </c>
    </row>
    <row r="11" spans="1:7" x14ac:dyDescent="0.25">
      <c r="A11" s="60"/>
      <c r="B11" s="65"/>
      <c r="C11" s="55"/>
      <c r="D11" s="53"/>
    </row>
    <row r="12" spans="1:7" x14ac:dyDescent="0.25">
      <c r="A12" s="56" t="s">
        <v>55</v>
      </c>
      <c r="B12" s="57" t="s">
        <v>56</v>
      </c>
      <c r="C12" s="66"/>
      <c r="D12" s="66"/>
    </row>
    <row r="13" spans="1:7" x14ac:dyDescent="0.25">
      <c r="A13" s="60" t="s">
        <v>57</v>
      </c>
      <c r="B13" s="65" t="str">
        <f>[1]BM.01!B20</f>
        <v>SINALIZACAO HORIZONTAL COM TINTA 2 ANOS DURACAO</v>
      </c>
      <c r="C13" s="67" t="s">
        <v>75</v>
      </c>
      <c r="D13" s="54"/>
    </row>
    <row r="14" spans="1:7" x14ac:dyDescent="0.25">
      <c r="A14" s="60"/>
      <c r="B14" s="65"/>
      <c r="C14" s="55"/>
      <c r="D14" s="53"/>
    </row>
    <row r="15" spans="1:7" x14ac:dyDescent="0.25">
      <c r="A15" s="56" t="s">
        <v>59</v>
      </c>
      <c r="B15" s="57" t="s">
        <v>82</v>
      </c>
      <c r="C15" s="59"/>
      <c r="D15" s="59"/>
    </row>
    <row r="16" spans="1:7" x14ac:dyDescent="0.25">
      <c r="A16" s="60" t="s">
        <v>61</v>
      </c>
      <c r="B16" s="65" t="str">
        <f>[1]BM.01!B22</f>
        <v>ASFALTO DILUIDO CM-30 EXCLUSIVE TRANSPORTE</v>
      </c>
      <c r="C16" s="55" t="s">
        <v>77</v>
      </c>
      <c r="D16" s="53" t="s">
        <v>83</v>
      </c>
      <c r="E16" s="50">
        <f>E7*0.0012</f>
        <v>11.593919999999999</v>
      </c>
      <c r="F16" s="68"/>
    </row>
    <row r="17" spans="1:5" ht="30" x14ac:dyDescent="0.25">
      <c r="A17" s="60" t="s">
        <v>63</v>
      </c>
      <c r="B17" s="65" t="str">
        <f>[1]BM.01!B23</f>
        <v xml:space="preserve">CIMENTO ASFALTICO CAP 50/70 EXCLUSIVE TRANSPORTE </v>
      </c>
      <c r="C17" s="55" t="s">
        <v>77</v>
      </c>
      <c r="D17" s="54" t="s">
        <v>84</v>
      </c>
      <c r="E17" s="50">
        <f>E8*0.055</f>
        <v>51.013247999999997</v>
      </c>
    </row>
    <row r="18" spans="1:5" x14ac:dyDescent="0.25">
      <c r="A18" s="69" t="e">
        <f>#REF!</f>
        <v>#REF!</v>
      </c>
      <c r="B18" s="57" t="str">
        <f>[1]BM.01!B24</f>
        <v>PLACA DA OBRA</v>
      </c>
      <c r="C18" s="59"/>
      <c r="D18" s="59"/>
    </row>
    <row r="19" spans="1:5" x14ac:dyDescent="0.25">
      <c r="A19" s="60" t="s">
        <v>67</v>
      </c>
      <c r="B19" s="65" t="str">
        <f>[1]BM.01!B25</f>
        <v>PLACA INDICATIVA DE OBRA</v>
      </c>
      <c r="C19" s="67" t="s">
        <v>85</v>
      </c>
      <c r="D19" s="53" t="s">
        <v>86</v>
      </c>
      <c r="E19" s="50">
        <v>4.5</v>
      </c>
    </row>
    <row r="21" spans="1:5" x14ac:dyDescent="0.25">
      <c r="A21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E3AE-E591-4C14-8219-DC39A4B74599}">
  <sheetPr codeName="Plan18"/>
  <dimension ref="A1:K36"/>
  <sheetViews>
    <sheetView view="pageBreakPreview" topLeftCell="A14" zoomScale="90" zoomScaleNormal="100" zoomScaleSheetLayoutView="90" workbookViewId="0">
      <selection activeCell="C14" sqref="C14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7" t="s">
        <v>0</v>
      </c>
      <c r="B1" s="78"/>
      <c r="C1" s="78"/>
      <c r="D1" s="78"/>
      <c r="E1" s="78"/>
      <c r="F1" s="78"/>
      <c r="G1" s="78"/>
      <c r="H1" s="78"/>
      <c r="I1" s="79"/>
      <c r="J1" s="1" t="s">
        <v>1</v>
      </c>
    </row>
    <row r="2" spans="1:10" s="2" customFormat="1" ht="16.5" customHeight="1" x14ac:dyDescent="0.25">
      <c r="A2" s="80"/>
      <c r="B2" s="81"/>
      <c r="C2" s="81"/>
      <c r="D2" s="81"/>
      <c r="E2" s="81"/>
      <c r="F2" s="81"/>
      <c r="G2" s="81"/>
      <c r="H2" s="81"/>
      <c r="I2" s="82"/>
      <c r="J2" s="3" t="s">
        <v>87</v>
      </c>
    </row>
    <row r="3" spans="1:10" s="2" customFormat="1" ht="18.75" customHeight="1" x14ac:dyDescent="0.25">
      <c r="A3" s="83" t="s">
        <v>3</v>
      </c>
      <c r="B3" s="84"/>
      <c r="C3" s="83" t="s">
        <v>4</v>
      </c>
      <c r="D3" s="85"/>
      <c r="E3" s="85"/>
      <c r="F3" s="84"/>
      <c r="G3" s="83" t="s">
        <v>5</v>
      </c>
      <c r="H3" s="84"/>
      <c r="I3" s="4" t="s">
        <v>6</v>
      </c>
      <c r="J3" s="4" t="s">
        <v>7</v>
      </c>
    </row>
    <row r="4" spans="1:10" s="2" customFormat="1" ht="21.75" customHeight="1" x14ac:dyDescent="0.25">
      <c r="A4" s="86" t="s">
        <v>8</v>
      </c>
      <c r="B4" s="87"/>
      <c r="C4" s="88" t="s">
        <v>8</v>
      </c>
      <c r="D4" s="89"/>
      <c r="E4" s="89"/>
      <c r="F4" s="90"/>
      <c r="G4" s="88"/>
      <c r="H4" s="90"/>
      <c r="I4" s="5">
        <v>44475</v>
      </c>
      <c r="J4" s="5" t="s">
        <v>9</v>
      </c>
    </row>
    <row r="5" spans="1:10" s="2" customFormat="1" ht="18.75" customHeight="1" x14ac:dyDescent="0.25">
      <c r="A5" s="83" t="s">
        <v>10</v>
      </c>
      <c r="B5" s="84"/>
      <c r="C5" s="83" t="s">
        <v>11</v>
      </c>
      <c r="D5" s="84"/>
      <c r="E5" s="83" t="s">
        <v>12</v>
      </c>
      <c r="F5" s="84"/>
      <c r="G5" s="4" t="s">
        <v>13</v>
      </c>
      <c r="H5" s="4" t="s">
        <v>14</v>
      </c>
      <c r="I5" s="83" t="s">
        <v>15</v>
      </c>
      <c r="J5" s="84"/>
    </row>
    <row r="6" spans="1:10" s="2" customFormat="1" ht="24" customHeight="1" x14ac:dyDescent="0.25">
      <c r="A6" s="91" t="s">
        <v>16</v>
      </c>
      <c r="B6" s="92"/>
      <c r="C6" s="93"/>
      <c r="D6" s="94"/>
      <c r="E6" s="95" t="s">
        <v>17</v>
      </c>
      <c r="F6" s="96"/>
      <c r="G6" s="5">
        <v>44475</v>
      </c>
      <c r="H6" s="5" t="s">
        <v>18</v>
      </c>
      <c r="I6" s="97">
        <v>44614</v>
      </c>
      <c r="J6" s="98"/>
    </row>
    <row r="7" spans="1:10" s="2" customFormat="1" ht="18.75" customHeight="1" x14ac:dyDescent="0.25">
      <c r="A7" s="99" t="s">
        <v>19</v>
      </c>
      <c r="B7" s="100"/>
      <c r="C7" s="83" t="s">
        <v>20</v>
      </c>
      <c r="D7" s="85"/>
      <c r="E7" s="84"/>
      <c r="F7" s="6" t="s">
        <v>21</v>
      </c>
      <c r="G7" s="83" t="s">
        <v>22</v>
      </c>
      <c r="H7" s="84"/>
      <c r="I7" s="99" t="s">
        <v>23</v>
      </c>
      <c r="J7" s="100"/>
    </row>
    <row r="8" spans="1:10" s="2" customFormat="1" ht="32.25" customHeight="1" x14ac:dyDescent="0.25">
      <c r="A8" s="101" t="s">
        <v>24</v>
      </c>
      <c r="B8" s="102"/>
      <c r="C8" s="103" t="s">
        <v>25</v>
      </c>
      <c r="D8" s="104"/>
      <c r="E8" s="105"/>
      <c r="F8" s="7">
        <v>6960954.2000000002</v>
      </c>
      <c r="G8" s="106">
        <f>BM.02!$I$26</f>
        <v>226632.5</v>
      </c>
      <c r="H8" s="107"/>
      <c r="I8" s="97" t="s">
        <v>88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8" t="s">
        <v>27</v>
      </c>
      <c r="F10" s="108"/>
      <c r="G10" s="108"/>
      <c r="H10" s="109" t="s">
        <v>28</v>
      </c>
      <c r="I10" s="108"/>
      <c r="J10" s="110"/>
    </row>
    <row r="11" spans="1:10" s="2" customFormat="1" x14ac:dyDescent="0.25">
      <c r="A11" s="111" t="s">
        <v>29</v>
      </c>
      <c r="B11" s="112" t="s">
        <v>30</v>
      </c>
      <c r="C11" s="113" t="s">
        <v>31</v>
      </c>
      <c r="D11" s="114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11"/>
      <c r="B12" s="112"/>
      <c r="C12" s="113"/>
      <c r="D12" s="114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78576.859999999986</v>
      </c>
      <c r="J14" s="27">
        <f>SUM(J15:J18)</f>
        <v>219583.45999999996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02'!E7</f>
        <v>5383.86</v>
      </c>
      <c r="G15" s="31">
        <f>F15+[1]BM.01!G15</f>
        <v>15045.46</v>
      </c>
      <c r="H15" s="33">
        <v>51319.41</v>
      </c>
      <c r="I15" s="34">
        <f>ROUND(D15*F15,2)</f>
        <v>1722.84</v>
      </c>
      <c r="J15" s="33">
        <f>ROUND(D15*G15,2)</f>
        <v>4814.55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02'!E8</f>
        <v>516.85</v>
      </c>
      <c r="G16" s="31">
        <f>F16+[1]BM.01!G16</f>
        <v>1444.3600000000001</v>
      </c>
      <c r="H16" s="33">
        <v>2028268.95</v>
      </c>
      <c r="I16" s="34">
        <f t="shared" ref="I16:I18" si="0">ROUND(D16*F16,2)</f>
        <v>67697.009999999995</v>
      </c>
      <c r="J16" s="33">
        <f t="shared" ref="J16:J18" si="1">ROUND(D16*G16,2)</f>
        <v>189182.27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02'!E9</f>
        <v>2711.91</v>
      </c>
      <c r="G17" s="31">
        <f>F17+[1]BM.01!G17</f>
        <v>7577.3899999999994</v>
      </c>
      <c r="H17" s="33">
        <v>45739.33</v>
      </c>
      <c r="I17" s="34">
        <f t="shared" si="0"/>
        <v>1518.67</v>
      </c>
      <c r="J17" s="33">
        <f t="shared" si="1"/>
        <v>4243.34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02'!E10</f>
        <v>11934.91</v>
      </c>
      <c r="G18" s="31">
        <f>F18+[1]BM.01!G18</f>
        <v>33348.910000000003</v>
      </c>
      <c r="H18" s="33">
        <v>230065.55</v>
      </c>
      <c r="I18" s="34">
        <f t="shared" si="0"/>
        <v>7638.34</v>
      </c>
      <c r="J18" s="33">
        <f t="shared" si="1"/>
        <v>21343.3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02'!E12</f>
        <v>0</v>
      </c>
      <c r="G20" s="31">
        <f>F20+[1]BM.01!G20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v>4435744.29</v>
      </c>
      <c r="I21" s="27">
        <f>SUM(I22:I23)</f>
        <v>148055.64000000001</v>
      </c>
      <c r="J21" s="27">
        <f>SUM(J22:J23)</f>
        <v>413697.47000000003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02'!E14</f>
        <v>6.46</v>
      </c>
      <c r="G22" s="31">
        <f>F22+[1]BM.01!G22</f>
        <v>18.05</v>
      </c>
      <c r="H22" s="33">
        <v>1124981.42</v>
      </c>
      <c r="I22" s="34">
        <f>ROUND(D22*F22,2)</f>
        <v>37543.97</v>
      </c>
      <c r="J22" s="33">
        <f t="shared" ref="J22:J23" si="2">ROUND(D22*G22,2)</f>
        <v>104902.27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2">
        <f>'[1]Memória 02'!E15</f>
        <v>28.43</v>
      </c>
      <c r="G23" s="31">
        <f>F23+[1]BM.01!G23</f>
        <v>79.44</v>
      </c>
      <c r="H23" s="33">
        <v>3310762.87</v>
      </c>
      <c r="I23" s="34">
        <f t="shared" ref="I23" si="3">ROUND(D23*F23,2)</f>
        <v>110511.67</v>
      </c>
      <c r="J23" s="33">
        <f t="shared" si="2"/>
        <v>308795.2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v>1454.48</v>
      </c>
      <c r="I24" s="27">
        <f>SUM(I25:I25)</f>
        <v>0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2">
        <f>'[1]Memória 02'!E17</f>
        <v>0</v>
      </c>
      <c r="G25" s="31">
        <f>F25+[1]BM.01!G25</f>
        <v>4.5</v>
      </c>
      <c r="H25" s="33">
        <v>1454.48</v>
      </c>
      <c r="I25" s="34">
        <f>ROUND(D25*F25,2)</f>
        <v>0</v>
      </c>
      <c r="J25" s="33">
        <f>ROUND(D25*G25,2)</f>
        <v>1454.49</v>
      </c>
    </row>
    <row r="26" spans="1:11" s="2" customFormat="1" ht="30" customHeight="1" x14ac:dyDescent="0.25">
      <c r="A26" s="115" t="s">
        <v>69</v>
      </c>
      <c r="B26" s="116"/>
      <c r="C26" s="116"/>
      <c r="D26" s="116"/>
      <c r="E26" s="116"/>
      <c r="F26" s="116"/>
      <c r="G26" s="117"/>
      <c r="H26" s="38">
        <v>6960954.2000000002</v>
      </c>
      <c r="I26" s="38">
        <f>I14+I19+I21+I24</f>
        <v>226632.5</v>
      </c>
      <c r="J26" s="38">
        <f>J14+J19+J21+J24</f>
        <v>634735.41999999993</v>
      </c>
      <c r="K26" s="39">
        <f>J26/H26</f>
        <v>9.1185116546234415E-2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118" t="s">
        <v>70</v>
      </c>
      <c r="B28" s="118"/>
      <c r="C28" s="118"/>
      <c r="D28" s="119">
        <f>I26</f>
        <v>226632.5</v>
      </c>
      <c r="E28" s="119"/>
      <c r="F28" s="120"/>
      <c r="G28" s="120"/>
      <c r="H28" s="120"/>
      <c r="I28" s="120"/>
      <c r="J28" s="120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121"/>
      <c r="H30" s="121"/>
      <c r="I30" s="121"/>
      <c r="J30" s="121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0C36-DD0F-4A75-9CF1-A869190B4A92}">
  <dimension ref="A1:M19"/>
  <sheetViews>
    <sheetView view="pageBreakPreview" topLeftCell="A7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13" ht="26.25" x14ac:dyDescent="0.25">
      <c r="A1" s="122" t="s">
        <v>89</v>
      </c>
      <c r="B1" s="123"/>
      <c r="C1" s="123"/>
      <c r="D1" s="124"/>
    </row>
    <row r="3" spans="1:13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13" x14ac:dyDescent="0.25">
      <c r="A4" s="53"/>
      <c r="B4" s="54"/>
      <c r="C4" s="55"/>
      <c r="D4" s="53"/>
    </row>
    <row r="5" spans="1:13" x14ac:dyDescent="0.25">
      <c r="A5" s="125"/>
      <c r="B5" s="125"/>
      <c r="C5" s="125"/>
      <c r="D5" s="125"/>
    </row>
    <row r="6" spans="1:13" x14ac:dyDescent="0.25">
      <c r="A6" s="56" t="s">
        <v>42</v>
      </c>
      <c r="B6" s="57" t="s">
        <v>43</v>
      </c>
      <c r="C6" s="58"/>
      <c r="D6" s="59"/>
      <c r="G6">
        <f>(4.85+5.7+5.8+5.7)/4</f>
        <v>5.5125000000000002</v>
      </c>
      <c r="H6">
        <f>(6.8+5.3+4.3+4.5)/4</f>
        <v>5.2249999999999996</v>
      </c>
      <c r="I6">
        <f>(3.6+3.7+4+4.5)/4</f>
        <v>3.95</v>
      </c>
      <c r="J6">
        <f>(5+5.4+5.3+6)/4</f>
        <v>5.4249999999999998</v>
      </c>
      <c r="K6">
        <f>(4.7+4.9+5.2)/3</f>
        <v>4.9333333333333336</v>
      </c>
      <c r="L6">
        <f>(5.1+4.5+3.7)/3</f>
        <v>4.4333333333333336</v>
      </c>
    </row>
    <row r="7" spans="1:13" ht="240" x14ac:dyDescent="0.25">
      <c r="A7" s="60" t="s">
        <v>44</v>
      </c>
      <c r="B7" s="61" t="str">
        <f>[1]BM.02!B15</f>
        <v>IMPRIMACAO EXCLUSIVE LIGANTE</v>
      </c>
      <c r="C7" s="62" t="s">
        <v>75</v>
      </c>
      <c r="D7" s="54" t="s">
        <v>90</v>
      </c>
      <c r="E7" s="71">
        <f>774.15+687+611.46+1116.52+483.14+500.59+1211</f>
        <v>5383.86</v>
      </c>
      <c r="G7" s="63">
        <f>5.51*140.5</f>
        <v>774.15499999999997</v>
      </c>
      <c r="H7">
        <f>5.22*131.7</f>
        <v>687.47399999999993</v>
      </c>
      <c r="I7">
        <f>3.95*154.8</f>
        <v>611.46</v>
      </c>
      <c r="J7">
        <f>5.42*206</f>
        <v>1116.52</v>
      </c>
      <c r="K7">
        <f>4.93*98</f>
        <v>483.14</v>
      </c>
      <c r="L7">
        <f>4.43*113</f>
        <v>500.59</v>
      </c>
      <c r="M7">
        <f>173*7</f>
        <v>1211</v>
      </c>
    </row>
    <row r="8" spans="1:13" ht="30" x14ac:dyDescent="0.25">
      <c r="A8" s="60" t="s">
        <v>47</v>
      </c>
      <c r="B8" s="61" t="str">
        <f>[1]BM.02!B16</f>
        <v>CONCRETO BETUMINOSO USINADO A QUENTE EXC. LIGANTE</v>
      </c>
      <c r="C8" s="62" t="s">
        <v>77</v>
      </c>
      <c r="D8" s="64" t="s">
        <v>78</v>
      </c>
      <c r="E8" s="50">
        <f>E7*0.04*2.4</f>
        <v>516.85055999999997</v>
      </c>
    </row>
    <row r="9" spans="1:13" x14ac:dyDescent="0.25">
      <c r="A9" s="60" t="s">
        <v>50</v>
      </c>
      <c r="B9" s="61" t="str">
        <f>[1]BM.02!B17</f>
        <v>TRANSPORTE DE MATERIAIS ASFALTICO A FRIO</v>
      </c>
      <c r="C9" s="62" t="s">
        <v>79</v>
      </c>
      <c r="D9" s="53" t="s">
        <v>80</v>
      </c>
      <c r="E9" s="50">
        <f>E14*419.8</f>
        <v>2712.1733135999993</v>
      </c>
    </row>
    <row r="10" spans="1:13" x14ac:dyDescent="0.25">
      <c r="A10" s="60" t="s">
        <v>53</v>
      </c>
      <c r="B10" s="61" t="str">
        <f>[1]BM.02!B18</f>
        <v>TRANSPORTE DE MATERIAIS ASFALTICO A QUENTE</v>
      </c>
      <c r="C10" s="62" t="s">
        <v>79</v>
      </c>
      <c r="D10" s="54" t="s">
        <v>81</v>
      </c>
      <c r="E10" s="50">
        <f>E15*419.8</f>
        <v>11933.56257984</v>
      </c>
    </row>
    <row r="11" spans="1:13" x14ac:dyDescent="0.25">
      <c r="A11" s="56" t="s">
        <v>55</v>
      </c>
      <c r="B11" s="57" t="s">
        <v>56</v>
      </c>
      <c r="C11" s="66"/>
      <c r="D11" s="66"/>
    </row>
    <row r="12" spans="1:13" x14ac:dyDescent="0.25">
      <c r="A12" s="60" t="s">
        <v>57</v>
      </c>
      <c r="B12" s="65" t="str">
        <f>[1]BM.02!B20</f>
        <v>SINALIZACAO HORIZONTAL COM TINTA 2 ANOS DURACAO</v>
      </c>
      <c r="C12" s="67" t="s">
        <v>75</v>
      </c>
      <c r="D12" s="54"/>
    </row>
    <row r="13" spans="1:13" x14ac:dyDescent="0.25">
      <c r="A13" s="56" t="s">
        <v>59</v>
      </c>
      <c r="B13" s="57" t="s">
        <v>82</v>
      </c>
      <c r="C13" s="59"/>
      <c r="D13" s="59"/>
    </row>
    <row r="14" spans="1:13" x14ac:dyDescent="0.25">
      <c r="A14" s="60" t="s">
        <v>61</v>
      </c>
      <c r="B14" s="65" t="str">
        <f>[1]BM.02!B22</f>
        <v>ASFALTO DILUIDO CM-30 EXCLUSIVE TRANSPORTE</v>
      </c>
      <c r="C14" s="55" t="s">
        <v>77</v>
      </c>
      <c r="D14" s="53" t="s">
        <v>83</v>
      </c>
      <c r="E14" s="50">
        <f>E7*0.0012</f>
        <v>6.4606319999999986</v>
      </c>
      <c r="F14" s="68"/>
    </row>
    <row r="15" spans="1:13" ht="30" x14ac:dyDescent="0.25">
      <c r="A15" s="60" t="s">
        <v>63</v>
      </c>
      <c r="B15" s="65" t="str">
        <f>[1]BM.02!B23</f>
        <v xml:space="preserve">CIMENTO ASFALTICO CAP 50/70 EXCLUSIVE TRANSPORTE </v>
      </c>
      <c r="C15" s="55" t="s">
        <v>77</v>
      </c>
      <c r="D15" s="54" t="s">
        <v>84</v>
      </c>
      <c r="E15" s="50">
        <f>E8*0.055</f>
        <v>28.4267808</v>
      </c>
    </row>
    <row r="16" spans="1:13" x14ac:dyDescent="0.25">
      <c r="A16" s="69" t="e">
        <f>#REF!</f>
        <v>#REF!</v>
      </c>
      <c r="B16" s="57" t="str">
        <f>[1]BM.02!B24</f>
        <v>PLACA DA OBRA</v>
      </c>
      <c r="C16" s="59"/>
      <c r="D16" s="59"/>
    </row>
    <row r="17" spans="1:4" x14ac:dyDescent="0.25">
      <c r="A17" s="60" t="s">
        <v>67</v>
      </c>
      <c r="B17" s="65" t="str">
        <f>[1]BM.02!B25</f>
        <v>PLACA INDICATIVA DE OBRA</v>
      </c>
      <c r="C17" s="67" t="s">
        <v>85</v>
      </c>
      <c r="D17" s="53"/>
    </row>
    <row r="19" spans="1:4" x14ac:dyDescent="0.25">
      <c r="A19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A8F7-F2EF-4508-BABB-FF8BCBC07EA9}">
  <sheetPr codeName="Plan19"/>
  <dimension ref="A1:P36"/>
  <sheetViews>
    <sheetView view="pageBreakPreview" topLeftCell="A22" zoomScale="90" zoomScaleNormal="100" zoomScaleSheetLayoutView="90" workbookViewId="0">
      <selection activeCell="G25" sqref="G25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5.5703125" style="9" customWidth="1"/>
    <col min="12" max="12" width="14.28515625" style="9" customWidth="1"/>
    <col min="13" max="13" width="13.140625" style="9" bestFit="1" customWidth="1"/>
    <col min="14" max="14" width="12.5703125" style="9" bestFit="1" customWidth="1"/>
    <col min="15" max="15" width="12.85546875" style="9" bestFit="1" customWidth="1"/>
    <col min="16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7" t="s">
        <v>0</v>
      </c>
      <c r="B1" s="78"/>
      <c r="C1" s="78"/>
      <c r="D1" s="78"/>
      <c r="E1" s="78"/>
      <c r="F1" s="78"/>
      <c r="G1" s="78"/>
      <c r="H1" s="78"/>
      <c r="I1" s="79"/>
      <c r="J1" s="1" t="s">
        <v>1</v>
      </c>
    </row>
    <row r="2" spans="1:10" s="2" customFormat="1" ht="16.5" customHeight="1" x14ac:dyDescent="0.25">
      <c r="A2" s="80"/>
      <c r="B2" s="81"/>
      <c r="C2" s="81"/>
      <c r="D2" s="81"/>
      <c r="E2" s="81"/>
      <c r="F2" s="81"/>
      <c r="G2" s="81"/>
      <c r="H2" s="81"/>
      <c r="I2" s="82"/>
      <c r="J2" s="3" t="s">
        <v>91</v>
      </c>
    </row>
    <row r="3" spans="1:10" s="2" customFormat="1" ht="18.75" customHeight="1" x14ac:dyDescent="0.25">
      <c r="A3" s="83" t="s">
        <v>3</v>
      </c>
      <c r="B3" s="84"/>
      <c r="C3" s="83" t="s">
        <v>4</v>
      </c>
      <c r="D3" s="85"/>
      <c r="E3" s="85"/>
      <c r="F3" s="84"/>
      <c r="G3" s="83" t="s">
        <v>5</v>
      </c>
      <c r="H3" s="84"/>
      <c r="I3" s="4" t="s">
        <v>6</v>
      </c>
      <c r="J3" s="4" t="s">
        <v>7</v>
      </c>
    </row>
    <row r="4" spans="1:10" s="2" customFormat="1" ht="21.75" customHeight="1" x14ac:dyDescent="0.25">
      <c r="A4" s="86" t="s">
        <v>8</v>
      </c>
      <c r="B4" s="87"/>
      <c r="C4" s="88" t="s">
        <v>8</v>
      </c>
      <c r="D4" s="89"/>
      <c r="E4" s="89"/>
      <c r="F4" s="90"/>
      <c r="G4" s="88"/>
      <c r="H4" s="90"/>
      <c r="I4" s="5">
        <v>44475</v>
      </c>
      <c r="J4" s="5" t="s">
        <v>9</v>
      </c>
    </row>
    <row r="5" spans="1:10" s="2" customFormat="1" ht="18.75" customHeight="1" x14ac:dyDescent="0.25">
      <c r="A5" s="83" t="s">
        <v>10</v>
      </c>
      <c r="B5" s="84"/>
      <c r="C5" s="83" t="s">
        <v>11</v>
      </c>
      <c r="D5" s="84"/>
      <c r="E5" s="83" t="s">
        <v>12</v>
      </c>
      <c r="F5" s="84"/>
      <c r="G5" s="4" t="s">
        <v>13</v>
      </c>
      <c r="H5" s="4" t="s">
        <v>14</v>
      </c>
      <c r="I5" s="83" t="s">
        <v>15</v>
      </c>
      <c r="J5" s="84"/>
    </row>
    <row r="6" spans="1:10" s="2" customFormat="1" ht="24" customHeight="1" x14ac:dyDescent="0.25">
      <c r="A6" s="91" t="s">
        <v>16</v>
      </c>
      <c r="B6" s="92"/>
      <c r="C6" s="93"/>
      <c r="D6" s="94"/>
      <c r="E6" s="95" t="s">
        <v>17</v>
      </c>
      <c r="F6" s="96"/>
      <c r="G6" s="5">
        <v>44475</v>
      </c>
      <c r="H6" s="5" t="s">
        <v>18</v>
      </c>
      <c r="I6" s="97">
        <v>44679</v>
      </c>
      <c r="J6" s="98"/>
    </row>
    <row r="7" spans="1:10" s="2" customFormat="1" ht="18.75" customHeight="1" x14ac:dyDescent="0.25">
      <c r="A7" s="99" t="s">
        <v>19</v>
      </c>
      <c r="B7" s="100"/>
      <c r="C7" s="83" t="s">
        <v>20</v>
      </c>
      <c r="D7" s="85"/>
      <c r="E7" s="84"/>
      <c r="F7" s="6" t="s">
        <v>21</v>
      </c>
      <c r="G7" s="83" t="s">
        <v>22</v>
      </c>
      <c r="H7" s="84"/>
      <c r="I7" s="99" t="s">
        <v>23</v>
      </c>
      <c r="J7" s="100"/>
    </row>
    <row r="8" spans="1:10" s="2" customFormat="1" ht="32.25" customHeight="1" x14ac:dyDescent="0.25">
      <c r="A8" s="101" t="s">
        <v>24</v>
      </c>
      <c r="B8" s="102"/>
      <c r="C8" s="103" t="s">
        <v>25</v>
      </c>
      <c r="D8" s="104"/>
      <c r="E8" s="105"/>
      <c r="F8" s="7">
        <v>6960954.2000000002</v>
      </c>
      <c r="G8" s="106">
        <f>BM.03!$I$26</f>
        <v>228456.14</v>
      </c>
      <c r="H8" s="107"/>
      <c r="I8" s="97" t="s">
        <v>92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8" t="s">
        <v>27</v>
      </c>
      <c r="F10" s="108"/>
      <c r="G10" s="108"/>
      <c r="H10" s="109" t="s">
        <v>28</v>
      </c>
      <c r="I10" s="108"/>
      <c r="J10" s="110"/>
    </row>
    <row r="11" spans="1:10" s="2" customFormat="1" x14ac:dyDescent="0.25">
      <c r="A11" s="111" t="s">
        <v>29</v>
      </c>
      <c r="B11" s="112" t="s">
        <v>30</v>
      </c>
      <c r="C11" s="113" t="s">
        <v>31</v>
      </c>
      <c r="D11" s="114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11"/>
      <c r="B12" s="112"/>
      <c r="C12" s="113"/>
      <c r="D12" s="114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79215.86</v>
      </c>
      <c r="J14" s="27">
        <f>SUM(J15:J18)</f>
        <v>298799.32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03'!E7</f>
        <v>5427.7</v>
      </c>
      <c r="G15" s="31">
        <f>F15+[1]BM.02!G15</f>
        <v>20473.16</v>
      </c>
      <c r="H15" s="33">
        <v>51319.41</v>
      </c>
      <c r="I15" s="34">
        <f>ROUND(D15*F15,2)</f>
        <v>1736.86</v>
      </c>
      <c r="J15" s="33">
        <f>ROUND(D15*G15,2)</f>
        <v>6551.41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03'!E8</f>
        <v>521.05999999999995</v>
      </c>
      <c r="G16" s="31">
        <f>F16+[1]BM.02!G16</f>
        <v>1965.4199999999998</v>
      </c>
      <c r="H16" s="33">
        <v>2028268.95</v>
      </c>
      <c r="I16" s="34">
        <f t="shared" ref="I16:I18" si="0">ROUND(D16*F16,2)</f>
        <v>68248.44</v>
      </c>
      <c r="J16" s="33">
        <f t="shared" ref="J16:J18" si="1">ROUND(D16*G16,2)</f>
        <v>257430.71</v>
      </c>
    </row>
    <row r="17" spans="1:16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03'!E9</f>
        <v>2732.9</v>
      </c>
      <c r="G17" s="31">
        <f>F17+[1]BM.02!G17</f>
        <v>10310.290000000001</v>
      </c>
      <c r="H17" s="33">
        <v>45739.33</v>
      </c>
      <c r="I17" s="34">
        <f t="shared" si="0"/>
        <v>1530.42</v>
      </c>
      <c r="J17" s="33">
        <f t="shared" si="1"/>
        <v>5773.76</v>
      </c>
    </row>
    <row r="18" spans="1:16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03'!E10</f>
        <v>12031.47</v>
      </c>
      <c r="G18" s="31">
        <f>F18+[1]BM.02!G18</f>
        <v>45380.380000000005</v>
      </c>
      <c r="H18" s="33">
        <v>230065.55</v>
      </c>
      <c r="I18" s="34">
        <f t="shared" si="0"/>
        <v>7700.14</v>
      </c>
      <c r="J18" s="33">
        <f t="shared" si="1"/>
        <v>29043.439999999999</v>
      </c>
    </row>
    <row r="19" spans="1:16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6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03'!E12</f>
        <v>0</v>
      </c>
      <c r="G20" s="31">
        <f>F20+[1]BM.02!G20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6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v>4435744.29</v>
      </c>
      <c r="I21" s="27">
        <f>SUM(I22:I23)</f>
        <v>149240.28</v>
      </c>
      <c r="J21" s="27">
        <f>SUM(J22:J23)</f>
        <v>562937.75</v>
      </c>
    </row>
    <row r="22" spans="1:16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03'!E14</f>
        <v>6.51</v>
      </c>
      <c r="G22" s="31">
        <f>F22+[1]BM.02!G22</f>
        <v>24.560000000000002</v>
      </c>
      <c r="H22" s="33">
        <v>1124981.42</v>
      </c>
      <c r="I22" s="34">
        <f>ROUND(D22*F22,2)</f>
        <v>37834.559999999998</v>
      </c>
      <c r="J22" s="33">
        <f t="shared" ref="J22:J23" si="2">ROUND(D22*G22,2)</f>
        <v>142736.82999999999</v>
      </c>
      <c r="M22" s="72">
        <f>H23-J23</f>
        <v>2890561.95</v>
      </c>
      <c r="N22" s="72">
        <f>K23*5798.4</f>
        <v>4311806.2079999996</v>
      </c>
      <c r="O22" s="72">
        <f>N22-M22</f>
        <v>1421244.2579999994</v>
      </c>
      <c r="P22" s="2">
        <f>O22/H26</f>
        <v>0.20417376945246951</v>
      </c>
    </row>
    <row r="23" spans="1:16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2">
        <f>'[1]Memória 03'!E15</f>
        <v>28.66</v>
      </c>
      <c r="G23" s="31">
        <f>F23+[1]BM.02!G23</f>
        <v>108.1</v>
      </c>
      <c r="H23" s="33">
        <v>3310762.87</v>
      </c>
      <c r="I23" s="34">
        <f t="shared" ref="I23" si="3">ROUND(D23*F23,2)</f>
        <v>111405.72</v>
      </c>
      <c r="J23" s="33">
        <f t="shared" si="2"/>
        <v>420200.92</v>
      </c>
      <c r="K23" s="39">
        <f>E23-G23</f>
        <v>743.62</v>
      </c>
    </row>
    <row r="24" spans="1:16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v>1454.48</v>
      </c>
      <c r="I24" s="27">
        <f>SUM(I25:I25)</f>
        <v>0</v>
      </c>
      <c r="J24" s="27">
        <f>SUM(J25:J25)</f>
        <v>1454.49</v>
      </c>
      <c r="K24" s="72">
        <f>K25*0.0976</f>
        <v>595141.63366400008</v>
      </c>
      <c r="L24" s="72">
        <f>K25*0.1211</f>
        <v>738439.05570400006</v>
      </c>
      <c r="M24" s="72">
        <f>L24-K24</f>
        <v>143297.42203999998</v>
      </c>
    </row>
    <row r="25" spans="1:16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2">
        <f>'[1]Memória 03'!E17</f>
        <v>0</v>
      </c>
      <c r="G25" s="31">
        <f>F25+[1]BM.02!G25</f>
        <v>4.5</v>
      </c>
      <c r="H25" s="33">
        <v>1454.48</v>
      </c>
      <c r="I25" s="34">
        <f>ROUND(D25*F25,2)</f>
        <v>0</v>
      </c>
      <c r="J25" s="33">
        <f>ROUND(D25*G25,2)</f>
        <v>1454.49</v>
      </c>
      <c r="K25" s="72">
        <f>H26-J26</f>
        <v>6097762.6400000006</v>
      </c>
      <c r="L25" s="72">
        <f>K25*1.0976</f>
        <v>6692904.2736640004</v>
      </c>
    </row>
    <row r="26" spans="1:16" s="2" customFormat="1" ht="30" customHeight="1" x14ac:dyDescent="0.25">
      <c r="A26" s="115" t="s">
        <v>69</v>
      </c>
      <c r="B26" s="116"/>
      <c r="C26" s="116"/>
      <c r="D26" s="116"/>
      <c r="E26" s="116"/>
      <c r="F26" s="116"/>
      <c r="G26" s="117"/>
      <c r="H26" s="38">
        <v>6960954.2000000002</v>
      </c>
      <c r="I26" s="38">
        <f>I14+I19+I21+I24</f>
        <v>228456.14</v>
      </c>
      <c r="J26" s="38">
        <f>J14+J19+J21+J24</f>
        <v>863191.56</v>
      </c>
      <c r="K26" s="73">
        <f>J26/H26</f>
        <v>0.12400477509247224</v>
      </c>
    </row>
    <row r="27" spans="1:16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6" ht="22.5" customHeight="1" x14ac:dyDescent="0.25">
      <c r="A28" s="118" t="s">
        <v>70</v>
      </c>
      <c r="B28" s="118"/>
      <c r="C28" s="118"/>
      <c r="D28" s="119">
        <f>I26</f>
        <v>228456.14</v>
      </c>
      <c r="E28" s="119"/>
      <c r="F28" s="120"/>
      <c r="G28" s="120"/>
      <c r="H28" s="120"/>
      <c r="I28" s="120"/>
      <c r="J28" s="120"/>
    </row>
    <row r="29" spans="1:16" ht="8.25" customHeight="1" x14ac:dyDescent="0.25">
      <c r="C29" s="44"/>
      <c r="E29" s="45"/>
      <c r="F29" s="45"/>
    </row>
    <row r="30" spans="1:16" ht="17.25" customHeight="1" x14ac:dyDescent="0.25">
      <c r="C30" s="46"/>
      <c r="D30" s="46"/>
      <c r="E30" s="46"/>
      <c r="G30" s="121"/>
      <c r="H30" s="121"/>
      <c r="I30" s="121"/>
      <c r="J30" s="121"/>
    </row>
    <row r="31" spans="1:16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31CF-55A3-4499-9683-CD35D4A5E92F}">
  <dimension ref="A1:L19"/>
  <sheetViews>
    <sheetView view="pageBreakPreview" topLeftCell="A4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12" ht="26.25" x14ac:dyDescent="0.25">
      <c r="A1" s="122" t="s">
        <v>93</v>
      </c>
      <c r="B1" s="123"/>
      <c r="C1" s="123"/>
      <c r="D1" s="124"/>
    </row>
    <row r="3" spans="1:12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12" x14ac:dyDescent="0.25">
      <c r="A4" s="53"/>
      <c r="B4" s="54"/>
      <c r="C4" s="55"/>
      <c r="D4" s="53"/>
    </row>
    <row r="5" spans="1:12" x14ac:dyDescent="0.25">
      <c r="A5" s="125"/>
      <c r="B5" s="125"/>
      <c r="C5" s="125"/>
      <c r="D5" s="125"/>
    </row>
    <row r="6" spans="1:12" x14ac:dyDescent="0.25">
      <c r="A6" s="56" t="s">
        <v>42</v>
      </c>
      <c r="B6" s="57" t="s">
        <v>43</v>
      </c>
      <c r="C6" s="58"/>
      <c r="D6" s="59"/>
      <c r="G6">
        <f>(8+8.3+7.6+6.5+6.6)/5</f>
        <v>7.4</v>
      </c>
    </row>
    <row r="7" spans="1:12" ht="165" x14ac:dyDescent="0.25">
      <c r="A7" s="60" t="s">
        <v>44</v>
      </c>
      <c r="B7" s="61" t="str">
        <f>[1]BM.03!B15</f>
        <v>IMPRIMACAO EXCLUSIVE LIGANTE</v>
      </c>
      <c r="C7" s="62" t="s">
        <v>75</v>
      </c>
      <c r="D7" s="54" t="s">
        <v>94</v>
      </c>
      <c r="E7" s="71">
        <f>2310.28+802.56+417.78+409.2+678.32+809.56</f>
        <v>5427.6999999999989</v>
      </c>
      <c r="G7" s="63">
        <f>312.2*G6</f>
        <v>2310.2800000000002</v>
      </c>
      <c r="H7">
        <f>125.4*6.4</f>
        <v>802.56000000000006</v>
      </c>
      <c r="I7">
        <f>63.3*6.6</f>
        <v>417.78</v>
      </c>
      <c r="J7">
        <f>(41.7+60.6)*8/2</f>
        <v>409.20000000000005</v>
      </c>
      <c r="K7">
        <f>111.2*6.1</f>
        <v>678.31999999999994</v>
      </c>
      <c r="L7">
        <f>109.4*7.4</f>
        <v>809.56000000000006</v>
      </c>
    </row>
    <row r="8" spans="1:12" ht="30" x14ac:dyDescent="0.25">
      <c r="A8" s="60" t="s">
        <v>47</v>
      </c>
      <c r="B8" s="61" t="str">
        <f>[1]BM.03!B16</f>
        <v>CONCRETO BETUMINOSO USINADO A QUENTE EXC. LIGANTE</v>
      </c>
      <c r="C8" s="62" t="s">
        <v>77</v>
      </c>
      <c r="D8" s="64" t="s">
        <v>78</v>
      </c>
      <c r="E8" s="50">
        <f>E7*0.04*2.4</f>
        <v>521.05919999999981</v>
      </c>
    </row>
    <row r="9" spans="1:12" x14ac:dyDescent="0.25">
      <c r="A9" s="60" t="s">
        <v>50</v>
      </c>
      <c r="B9" s="61" t="str">
        <f>[1]BM.03!B17</f>
        <v>TRANSPORTE DE MATERIAIS ASFALTICO A FRIO</v>
      </c>
      <c r="C9" s="62" t="s">
        <v>79</v>
      </c>
      <c r="D9" s="53" t="s">
        <v>80</v>
      </c>
      <c r="E9" s="50">
        <f>E14*419.8</f>
        <v>2734.2581519999994</v>
      </c>
    </row>
    <row r="10" spans="1:12" x14ac:dyDescent="0.25">
      <c r="A10" s="60" t="s">
        <v>53</v>
      </c>
      <c r="B10" s="61" t="str">
        <f>[1]BM.03!B18</f>
        <v>TRANSPORTE DE MATERIAIS ASFALTICO A QUENTE</v>
      </c>
      <c r="C10" s="62" t="s">
        <v>79</v>
      </c>
      <c r="D10" s="54" t="s">
        <v>81</v>
      </c>
      <c r="E10" s="50">
        <f>E15*419.8</f>
        <v>12030.735868799997</v>
      </c>
      <c r="H10">
        <f>(49*2)+13.2</f>
        <v>111.2</v>
      </c>
    </row>
    <row r="11" spans="1:12" x14ac:dyDescent="0.25">
      <c r="A11" s="56" t="s">
        <v>55</v>
      </c>
      <c r="B11" s="57" t="s">
        <v>56</v>
      </c>
      <c r="C11" s="66"/>
      <c r="D11" s="66"/>
    </row>
    <row r="12" spans="1:12" x14ac:dyDescent="0.25">
      <c r="A12" s="60" t="s">
        <v>57</v>
      </c>
      <c r="B12" s="65" t="str">
        <f>[1]BM.03!B20</f>
        <v>SINALIZACAO HORIZONTAL COM TINTA 2 ANOS DURACAO</v>
      </c>
      <c r="C12" s="67" t="s">
        <v>75</v>
      </c>
      <c r="D12" s="54"/>
    </row>
    <row r="13" spans="1:12" x14ac:dyDescent="0.25">
      <c r="A13" s="56" t="s">
        <v>59</v>
      </c>
      <c r="B13" s="57" t="s">
        <v>82</v>
      </c>
      <c r="C13" s="59"/>
      <c r="D13" s="59"/>
    </row>
    <row r="14" spans="1:12" x14ac:dyDescent="0.25">
      <c r="A14" s="60" t="s">
        <v>61</v>
      </c>
      <c r="B14" s="65" t="str">
        <f>[1]BM.03!B22</f>
        <v>ASFALTO DILUIDO CM-30 EXCLUSIVE TRANSPORTE</v>
      </c>
      <c r="C14" s="55" t="s">
        <v>77</v>
      </c>
      <c r="D14" s="53" t="s">
        <v>83</v>
      </c>
      <c r="E14" s="50">
        <f>E7*0.0012</f>
        <v>6.5132399999999979</v>
      </c>
      <c r="F14" s="68"/>
    </row>
    <row r="15" spans="1:12" ht="30" x14ac:dyDescent="0.25">
      <c r="A15" s="60" t="s">
        <v>63</v>
      </c>
      <c r="B15" s="65" t="str">
        <f>[1]BM.03!B23</f>
        <v xml:space="preserve">CIMENTO ASFALTICO CAP 50/70 EXCLUSIVE TRANSPORTE </v>
      </c>
      <c r="C15" s="55" t="s">
        <v>77</v>
      </c>
      <c r="D15" s="54" t="s">
        <v>84</v>
      </c>
      <c r="E15" s="50">
        <f>E8*0.055</f>
        <v>28.658255999999991</v>
      </c>
    </row>
    <row r="16" spans="1:12" x14ac:dyDescent="0.25">
      <c r="A16" s="69" t="e">
        <f>#REF!</f>
        <v>#REF!</v>
      </c>
      <c r="B16" s="57" t="str">
        <f>[1]BM.03!B24</f>
        <v>PLACA DA OBRA</v>
      </c>
      <c r="C16" s="59"/>
      <c r="D16" s="59"/>
    </row>
    <row r="17" spans="1:4" x14ac:dyDescent="0.25">
      <c r="A17" s="60" t="s">
        <v>67</v>
      </c>
      <c r="B17" s="65" t="str">
        <f>[1]BM.03!B25</f>
        <v>PLACA INDICATIVA DE OBRA</v>
      </c>
      <c r="C17" s="67" t="s">
        <v>85</v>
      </c>
      <c r="D17" s="53"/>
    </row>
    <row r="19" spans="1:4" x14ac:dyDescent="0.25">
      <c r="A19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B525-10F9-49C5-9668-9794C0A5F40E}">
  <sheetPr codeName="Plan20"/>
  <dimension ref="A1:O37"/>
  <sheetViews>
    <sheetView view="pageBreakPreview" topLeftCell="A19" zoomScale="90" zoomScaleNormal="100" zoomScaleSheetLayoutView="90" workbookViewId="0">
      <selection activeCell="K22" sqref="K22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5.5703125" style="9" customWidth="1"/>
    <col min="12" max="12" width="14.28515625" style="9" customWidth="1"/>
    <col min="13" max="13" width="13.140625" style="9" bestFit="1" customWidth="1"/>
    <col min="14" max="14" width="12.5703125" style="9" bestFit="1" customWidth="1"/>
    <col min="15" max="15" width="12.85546875" style="9" bestFit="1" customWidth="1"/>
    <col min="16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7" t="s">
        <v>0</v>
      </c>
      <c r="B1" s="78"/>
      <c r="C1" s="78"/>
      <c r="D1" s="78"/>
      <c r="E1" s="78"/>
      <c r="F1" s="78"/>
      <c r="G1" s="78"/>
      <c r="H1" s="78"/>
      <c r="I1" s="79"/>
      <c r="J1" s="1" t="s">
        <v>1</v>
      </c>
    </row>
    <row r="2" spans="1:10" s="2" customFormat="1" ht="16.5" customHeight="1" x14ac:dyDescent="0.25">
      <c r="A2" s="80"/>
      <c r="B2" s="81"/>
      <c r="C2" s="81"/>
      <c r="D2" s="81"/>
      <c r="E2" s="81"/>
      <c r="F2" s="81"/>
      <c r="G2" s="81"/>
      <c r="H2" s="81"/>
      <c r="I2" s="82"/>
      <c r="J2" s="3" t="s">
        <v>95</v>
      </c>
    </row>
    <row r="3" spans="1:10" s="2" customFormat="1" ht="18.75" customHeight="1" x14ac:dyDescent="0.25">
      <c r="A3" s="83" t="s">
        <v>3</v>
      </c>
      <c r="B3" s="84"/>
      <c r="C3" s="83" t="s">
        <v>4</v>
      </c>
      <c r="D3" s="85"/>
      <c r="E3" s="85"/>
      <c r="F3" s="84"/>
      <c r="G3" s="83" t="s">
        <v>5</v>
      </c>
      <c r="H3" s="84"/>
      <c r="I3" s="4" t="s">
        <v>6</v>
      </c>
      <c r="J3" s="4" t="s">
        <v>7</v>
      </c>
    </row>
    <row r="4" spans="1:10" s="2" customFormat="1" ht="21.75" customHeight="1" x14ac:dyDescent="0.25">
      <c r="A4" s="86" t="s">
        <v>8</v>
      </c>
      <c r="B4" s="87"/>
      <c r="C4" s="88" t="s">
        <v>8</v>
      </c>
      <c r="D4" s="89"/>
      <c r="E4" s="89"/>
      <c r="F4" s="90"/>
      <c r="G4" s="88"/>
      <c r="H4" s="90"/>
      <c r="I4" s="5">
        <v>44475</v>
      </c>
      <c r="J4" s="5" t="s">
        <v>9</v>
      </c>
    </row>
    <row r="5" spans="1:10" s="2" customFormat="1" ht="18.75" customHeight="1" x14ac:dyDescent="0.25">
      <c r="A5" s="83" t="s">
        <v>10</v>
      </c>
      <c r="B5" s="84"/>
      <c r="C5" s="83" t="s">
        <v>11</v>
      </c>
      <c r="D5" s="84"/>
      <c r="E5" s="83" t="s">
        <v>12</v>
      </c>
      <c r="F5" s="84"/>
      <c r="G5" s="4" t="s">
        <v>13</v>
      </c>
      <c r="H5" s="4" t="s">
        <v>14</v>
      </c>
      <c r="I5" s="83" t="s">
        <v>15</v>
      </c>
      <c r="J5" s="84"/>
    </row>
    <row r="6" spans="1:10" s="2" customFormat="1" ht="24" customHeight="1" x14ac:dyDescent="0.25">
      <c r="A6" s="91" t="s">
        <v>16</v>
      </c>
      <c r="B6" s="92"/>
      <c r="C6" s="93"/>
      <c r="D6" s="94"/>
      <c r="E6" s="95" t="s">
        <v>17</v>
      </c>
      <c r="F6" s="96"/>
      <c r="G6" s="5">
        <v>44475</v>
      </c>
      <c r="H6" s="5" t="s">
        <v>18</v>
      </c>
      <c r="I6" s="97">
        <v>44679</v>
      </c>
      <c r="J6" s="98"/>
    </row>
    <row r="7" spans="1:10" s="2" customFormat="1" ht="18.75" customHeight="1" x14ac:dyDescent="0.25">
      <c r="A7" s="99" t="s">
        <v>19</v>
      </c>
      <c r="B7" s="100"/>
      <c r="C7" s="83" t="s">
        <v>20</v>
      </c>
      <c r="D7" s="85"/>
      <c r="E7" s="84"/>
      <c r="F7" s="6" t="s">
        <v>21</v>
      </c>
      <c r="G7" s="83" t="s">
        <v>22</v>
      </c>
      <c r="H7" s="84"/>
      <c r="I7" s="99" t="s">
        <v>23</v>
      </c>
      <c r="J7" s="100"/>
    </row>
    <row r="8" spans="1:10" s="2" customFormat="1" ht="32.25" customHeight="1" x14ac:dyDescent="0.25">
      <c r="A8" s="101" t="s">
        <v>24</v>
      </c>
      <c r="B8" s="102"/>
      <c r="C8" s="103" t="s">
        <v>25</v>
      </c>
      <c r="D8" s="104"/>
      <c r="E8" s="105"/>
      <c r="F8" s="7">
        <v>6960954.2000000002</v>
      </c>
      <c r="G8" s="106">
        <f>BM.04!$I$27</f>
        <v>966035.49</v>
      </c>
      <c r="H8" s="107"/>
      <c r="I8" s="97" t="s">
        <v>96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8" t="s">
        <v>27</v>
      </c>
      <c r="F10" s="108"/>
      <c r="G10" s="108"/>
      <c r="H10" s="109" t="s">
        <v>28</v>
      </c>
      <c r="I10" s="108"/>
      <c r="J10" s="110"/>
    </row>
    <row r="11" spans="1:10" s="2" customFormat="1" x14ac:dyDescent="0.25">
      <c r="A11" s="111" t="s">
        <v>29</v>
      </c>
      <c r="B11" s="112" t="s">
        <v>30</v>
      </c>
      <c r="C11" s="113" t="s">
        <v>31</v>
      </c>
      <c r="D11" s="114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11"/>
      <c r="B12" s="112"/>
      <c r="C12" s="113"/>
      <c r="D12" s="114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299744.55</v>
      </c>
      <c r="J14" s="27">
        <f>SUM(J15:J18)</f>
        <v>598543.88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04'!E7</f>
        <v>20537.669999999998</v>
      </c>
      <c r="G15" s="31">
        <f>F15+[1]BM.03!G15</f>
        <v>41010.83</v>
      </c>
      <c r="H15" s="33">
        <v>51319.41</v>
      </c>
      <c r="I15" s="34">
        <f>ROUND(D15*F15,2)</f>
        <v>6572.05</v>
      </c>
      <c r="J15" s="33">
        <f>ROUND(D15*G15,2)</f>
        <v>13123.47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04'!E8</f>
        <v>1971.62</v>
      </c>
      <c r="G16" s="31">
        <f>F16+[1]BM.03!G16</f>
        <v>3937.04</v>
      </c>
      <c r="H16" s="33">
        <v>2028268.95</v>
      </c>
      <c r="I16" s="34">
        <f t="shared" ref="I16:I18" si="0">ROUND(D16*F16,2)</f>
        <v>258242.79</v>
      </c>
      <c r="J16" s="33">
        <f t="shared" ref="J16:J18" si="1">ROUND(D16*G16,2)</f>
        <v>515673.5</v>
      </c>
    </row>
    <row r="17" spans="1:15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04'!E9</f>
        <v>10348.07</v>
      </c>
      <c r="G17" s="31">
        <f>F17+[1]BM.03!G17</f>
        <v>20658.36</v>
      </c>
      <c r="H17" s="33">
        <v>45739.33</v>
      </c>
      <c r="I17" s="34">
        <f t="shared" si="0"/>
        <v>5794.92</v>
      </c>
      <c r="J17" s="33">
        <f t="shared" si="1"/>
        <v>11568.68</v>
      </c>
    </row>
    <row r="18" spans="1:15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04'!E10</f>
        <v>45523.11</v>
      </c>
      <c r="G18" s="31">
        <f>F18+[1]BM.03!G18</f>
        <v>90903.489999999991</v>
      </c>
      <c r="H18" s="33">
        <v>230065.55</v>
      </c>
      <c r="I18" s="34">
        <f t="shared" si="0"/>
        <v>29134.79</v>
      </c>
      <c r="J18" s="33">
        <f t="shared" si="1"/>
        <v>58178.23</v>
      </c>
    </row>
    <row r="19" spans="1:15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5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04'!E12</f>
        <v>0</v>
      </c>
      <c r="G20" s="31">
        <f>F20+[1]BM.03!G20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5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f>SUM(H22:H24)</f>
        <v>5131832.63</v>
      </c>
      <c r="I21" s="27">
        <f>SUM(I22:I24)</f>
        <v>666290.93999999994</v>
      </c>
      <c r="J21" s="27">
        <f>SUM(J22:J24)</f>
        <v>1229228.69</v>
      </c>
    </row>
    <row r="22" spans="1:15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04'!E14</f>
        <v>24.65</v>
      </c>
      <c r="G22" s="31">
        <f>F22+[1]BM.03!G22</f>
        <v>49.209999999999994</v>
      </c>
      <c r="H22" s="33">
        <v>1124981.42</v>
      </c>
      <c r="I22" s="34">
        <f>ROUND(D22*F22,2)</f>
        <v>143259.88</v>
      </c>
      <c r="J22" s="33">
        <f t="shared" ref="J22:J24" si="2">ROUND(D22*G22,2)</f>
        <v>285996.71000000002</v>
      </c>
      <c r="K22" s="39"/>
      <c r="M22" s="72"/>
      <c r="N22" s="72"/>
      <c r="O22" s="72"/>
    </row>
    <row r="23" spans="1:15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108.1</v>
      </c>
      <c r="F23" s="32">
        <f>'[1]Memória 04'!E15</f>
        <v>0</v>
      </c>
      <c r="G23" s="31">
        <f>F23+[1]BM.03!G23</f>
        <v>108.1</v>
      </c>
      <c r="H23" s="33">
        <v>420200.92</v>
      </c>
      <c r="I23" s="34">
        <f t="shared" ref="I23:I24" si="3">ROUND(D23*F23,2)</f>
        <v>0</v>
      </c>
      <c r="J23" s="33">
        <f t="shared" si="2"/>
        <v>420200.92</v>
      </c>
      <c r="K23" s="39">
        <f>E23*D23</f>
        <v>420200.91499999998</v>
      </c>
    </row>
    <row r="24" spans="1:15" s="2" customFormat="1" ht="30" customHeight="1" x14ac:dyDescent="0.25">
      <c r="A24" s="28" t="s">
        <v>97</v>
      </c>
      <c r="B24" s="35" t="s">
        <v>98</v>
      </c>
      <c r="C24" s="28" t="s">
        <v>49</v>
      </c>
      <c r="D24" s="36">
        <v>4823.2299999999996</v>
      </c>
      <c r="E24" s="36">
        <f>851.72-E23</f>
        <v>743.62</v>
      </c>
      <c r="F24" s="32">
        <f>'[1]Memória 04'!E16</f>
        <v>108.44</v>
      </c>
      <c r="G24" s="31">
        <f>F24+[1]BM.03!G24</f>
        <v>108.44</v>
      </c>
      <c r="H24" s="33">
        <f>ROUND(E24*D24,2)</f>
        <v>3586650.29</v>
      </c>
      <c r="I24" s="34">
        <f t="shared" si="3"/>
        <v>523031.06</v>
      </c>
      <c r="J24" s="33">
        <f t="shared" si="2"/>
        <v>523031.06</v>
      </c>
      <c r="K24" s="39"/>
    </row>
    <row r="25" spans="1:15" s="2" customFormat="1" ht="30" customHeight="1" x14ac:dyDescent="0.25">
      <c r="A25" s="22" t="s">
        <v>65</v>
      </c>
      <c r="B25" s="23" t="s">
        <v>66</v>
      </c>
      <c r="C25" s="24"/>
      <c r="D25" s="25"/>
      <c r="E25" s="25"/>
      <c r="F25" s="25"/>
      <c r="G25" s="25"/>
      <c r="H25" s="27">
        <v>1454.48</v>
      </c>
      <c r="I25" s="27">
        <f>SUM(I26:I26)</f>
        <v>0</v>
      </c>
      <c r="J25" s="27">
        <f>SUM(J26:J26)</f>
        <v>1454.49</v>
      </c>
      <c r="K25" s="72"/>
      <c r="L25" s="72"/>
      <c r="M25" s="72"/>
    </row>
    <row r="26" spans="1:15" s="2" customFormat="1" ht="30" customHeight="1" x14ac:dyDescent="0.25">
      <c r="A26" s="28" t="s">
        <v>67</v>
      </c>
      <c r="B26" s="35" t="s">
        <v>68</v>
      </c>
      <c r="C26" s="28" t="s">
        <v>46</v>
      </c>
      <c r="D26" s="36">
        <v>323.22000000000003</v>
      </c>
      <c r="E26" s="36">
        <v>4.5</v>
      </c>
      <c r="F26" s="32">
        <f>'[1]Memória 04'!E18</f>
        <v>0</v>
      </c>
      <c r="G26" s="31">
        <f>F26+[1]BM.03!G25</f>
        <v>4.5</v>
      </c>
      <c r="H26" s="33">
        <v>1454.48</v>
      </c>
      <c r="I26" s="34">
        <f>ROUND(D26*F26,2)</f>
        <v>0</v>
      </c>
      <c r="J26" s="33">
        <f>ROUND(D26*G26,2)</f>
        <v>1454.49</v>
      </c>
      <c r="K26" s="72"/>
      <c r="L26" s="72"/>
    </row>
    <row r="27" spans="1:15" s="2" customFormat="1" ht="30" customHeight="1" x14ac:dyDescent="0.25">
      <c r="A27" s="74" t="s">
        <v>69</v>
      </c>
      <c r="B27" s="75" t="s">
        <v>99</v>
      </c>
      <c r="C27" s="126">
        <v>6960954.2000000002</v>
      </c>
      <c r="D27" s="126"/>
      <c r="E27" s="116" t="s">
        <v>100</v>
      </c>
      <c r="F27" s="116"/>
      <c r="G27" s="117"/>
      <c r="H27" s="38">
        <f>H25+H21+H19+H14</f>
        <v>7657042.5300000003</v>
      </c>
      <c r="I27" s="38">
        <f>I14+I19+I21+I25</f>
        <v>966035.49</v>
      </c>
      <c r="J27" s="38">
        <f>J14+J19+J21+J25</f>
        <v>1829227.0599999998</v>
      </c>
      <c r="K27" s="76">
        <f>I27/F15</f>
        <v>47.037248626548198</v>
      </c>
    </row>
    <row r="28" spans="1:15" s="2" customFormat="1" ht="6" customHeight="1" x14ac:dyDescent="0.25">
      <c r="A28" s="40"/>
      <c r="B28" s="40"/>
      <c r="C28" s="40"/>
      <c r="D28" s="40"/>
      <c r="E28" s="40"/>
      <c r="F28" s="41"/>
      <c r="G28" s="41"/>
      <c r="H28" s="42"/>
      <c r="I28" s="42"/>
      <c r="J28" s="42"/>
    </row>
    <row r="29" spans="1:15" ht="22.5" customHeight="1" x14ac:dyDescent="0.25">
      <c r="A29" s="118" t="s">
        <v>70</v>
      </c>
      <c r="B29" s="118"/>
      <c r="C29" s="118"/>
      <c r="D29" s="119">
        <f>I27</f>
        <v>966035.49</v>
      </c>
      <c r="E29" s="119"/>
      <c r="F29" s="120"/>
      <c r="G29" s="120"/>
      <c r="H29" s="120"/>
      <c r="I29" s="120"/>
      <c r="J29" s="120"/>
    </row>
    <row r="30" spans="1:15" ht="8.25" customHeight="1" thickBot="1" x14ac:dyDescent="0.3">
      <c r="C30" s="44"/>
      <c r="E30" s="45"/>
      <c r="F30" s="45"/>
    </row>
    <row r="31" spans="1:15" ht="17.25" customHeight="1" x14ac:dyDescent="0.25">
      <c r="A31" s="127" t="s">
        <v>101</v>
      </c>
      <c r="B31" s="128"/>
      <c r="C31" s="128"/>
      <c r="D31" s="128"/>
      <c r="E31" s="128"/>
      <c r="F31" s="128"/>
      <c r="G31" s="128"/>
      <c r="H31" s="128"/>
      <c r="I31" s="128"/>
      <c r="J31" s="129"/>
    </row>
    <row r="32" spans="1:15" ht="13.5" thickBot="1" x14ac:dyDescent="0.3">
      <c r="A32" s="130"/>
      <c r="B32" s="131"/>
      <c r="C32" s="131"/>
      <c r="D32" s="131"/>
      <c r="E32" s="131"/>
      <c r="F32" s="131"/>
      <c r="G32" s="131"/>
      <c r="H32" s="131"/>
      <c r="I32" s="131"/>
      <c r="J32" s="132"/>
    </row>
    <row r="35" spans="8:10" x14ac:dyDescent="0.25">
      <c r="H35" s="48"/>
    </row>
    <row r="37" spans="8:10" x14ac:dyDescent="0.25">
      <c r="J37" s="49"/>
    </row>
  </sheetData>
  <mergeCells count="35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A31:J32"/>
    <mergeCell ref="E10:G10"/>
    <mergeCell ref="H10:J10"/>
    <mergeCell ref="A11:A12"/>
    <mergeCell ref="B11:B12"/>
    <mergeCell ref="C11:C12"/>
    <mergeCell ref="D11:D12"/>
    <mergeCell ref="C27:D27"/>
    <mergeCell ref="E27:G27"/>
    <mergeCell ref="A29:C29"/>
    <mergeCell ref="D29:E29"/>
    <mergeCell ref="F29:J29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2" orientation="landscape" horizontalDpi="300" verticalDpi="300" r:id="rId1"/>
  <headerFooter>
    <oddFooter>Página &amp;P de &amp;N</oddFooter>
  </headerFooter>
  <rowBreaks count="1" manualBreakCount="1">
    <brk id="24" max="9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4589-1FB5-4D93-B388-605D728F0190}">
  <dimension ref="A1:X20"/>
  <sheetViews>
    <sheetView view="pageBreakPreview" topLeftCell="A7" zoomScale="90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24" ht="26.25" x14ac:dyDescent="0.25">
      <c r="A1" s="122" t="s">
        <v>102</v>
      </c>
      <c r="B1" s="123"/>
      <c r="C1" s="123"/>
      <c r="D1" s="124"/>
    </row>
    <row r="3" spans="1:24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24" x14ac:dyDescent="0.25">
      <c r="A4" s="53"/>
      <c r="B4" s="54"/>
      <c r="C4" s="55"/>
      <c r="D4" s="53"/>
    </row>
    <row r="5" spans="1:24" x14ac:dyDescent="0.25">
      <c r="A5" s="125"/>
      <c r="B5" s="125"/>
      <c r="C5" s="125"/>
      <c r="D5" s="125"/>
    </row>
    <row r="6" spans="1:24" x14ac:dyDescent="0.25">
      <c r="A6" s="56" t="s">
        <v>42</v>
      </c>
      <c r="B6" s="57" t="s">
        <v>43</v>
      </c>
      <c r="C6" s="58"/>
      <c r="D6" s="59"/>
    </row>
    <row r="7" spans="1:24" ht="409.5" x14ac:dyDescent="0.25">
      <c r="A7" s="60" t="s">
        <v>44</v>
      </c>
      <c r="B7" s="61" t="str">
        <f>'[1]Memória 03'!B7</f>
        <v>IMPRIMACAO EXCLUSIVE LIGANTE</v>
      </c>
      <c r="C7" s="62" t="s">
        <v>75</v>
      </c>
      <c r="D7" s="54" t="s">
        <v>103</v>
      </c>
      <c r="E7" s="71">
        <v>20537.669999999998</v>
      </c>
      <c r="F7">
        <f>140.8*6.1</f>
        <v>858.88</v>
      </c>
      <c r="G7" s="63">
        <f>220.4*6.1</f>
        <v>1344.44</v>
      </c>
      <c r="H7">
        <f>291*6.48</f>
        <v>1885.68</v>
      </c>
      <c r="I7">
        <f>175.7*6.14</f>
        <v>1078.7979999999998</v>
      </c>
      <c r="J7">
        <f>163*6.05</f>
        <v>986.15</v>
      </c>
      <c r="K7">
        <f>181.8*6.02</f>
        <v>1094.4359999999999</v>
      </c>
      <c r="L7">
        <f>73.7*6.87</f>
        <v>506.31900000000002</v>
      </c>
      <c r="M7">
        <f>75*5.57</f>
        <v>417.75</v>
      </c>
      <c r="N7">
        <f>93.3*5.75</f>
        <v>536.47500000000002</v>
      </c>
      <c r="O7">
        <f>80.5*5.33</f>
        <v>429.065</v>
      </c>
      <c r="P7">
        <f>413.6*7.09</f>
        <v>2932.424</v>
      </c>
      <c r="Q7">
        <f>50*7</f>
        <v>350</v>
      </c>
      <c r="R7">
        <f>122*8</f>
        <v>976</v>
      </c>
      <c r="S7">
        <f>143*6.97</f>
        <v>996.70999999999992</v>
      </c>
      <c r="T7">
        <f>94*7</f>
        <v>658</v>
      </c>
      <c r="U7">
        <f>221*8.3</f>
        <v>1834.3000000000002</v>
      </c>
      <c r="V7">
        <f>148*4.1</f>
        <v>606.79999999999995</v>
      </c>
      <c r="W7">
        <f>200*11.08</f>
        <v>2216</v>
      </c>
      <c r="X7">
        <f>(49.5+15.3)*25.6/2</f>
        <v>829.44</v>
      </c>
    </row>
    <row r="8" spans="1:24" ht="30" x14ac:dyDescent="0.25">
      <c r="A8" s="60" t="s">
        <v>47</v>
      </c>
      <c r="B8" s="61" t="str">
        <f>'[1]Memória 03'!B8</f>
        <v>CONCRETO BETUMINOSO USINADO A QUENTE EXC. LIGANTE</v>
      </c>
      <c r="C8" s="62" t="s">
        <v>77</v>
      </c>
      <c r="D8" s="64" t="s">
        <v>78</v>
      </c>
      <c r="E8" s="50">
        <f>E7*0.04*2.4</f>
        <v>1971.6163199999999</v>
      </c>
      <c r="G8">
        <f>(6.2+6.2+6.1+5.7+6.2+6.2)/6</f>
        <v>6.1000000000000005</v>
      </c>
      <c r="H8">
        <f>(6.6+6.6+6.7+6.6+6.3+6+6.4)/7</f>
        <v>6.4571428571428564</v>
      </c>
      <c r="I8">
        <f>(6+6.15+6.2+6.2)/4</f>
        <v>6.1375000000000002</v>
      </c>
      <c r="J8">
        <f>(6.3+5.9+5.8+6.2)/4</f>
        <v>6.05</v>
      </c>
      <c r="K8">
        <f>(6.2+5.7+6.1+6+6.1)/5</f>
        <v>6.0200000000000005</v>
      </c>
      <c r="L8">
        <f>(6.9+6.8+6.9)/3</f>
        <v>6.8666666666666671</v>
      </c>
      <c r="M8">
        <f>(6+5+5.7)/3</f>
        <v>5.5666666666666664</v>
      </c>
      <c r="N8">
        <f>(5.7+5.8)/2</f>
        <v>5.75</v>
      </c>
      <c r="O8">
        <f>(5.3+5.2+5.5)/3</f>
        <v>5.333333333333333</v>
      </c>
      <c r="P8">
        <f>(8+7.7+7.6+6.6+6+7+7+7+7+7)/10</f>
        <v>7.0900000000000007</v>
      </c>
      <c r="Q8">
        <f>(7.3+7+7+6.6)/4</f>
        <v>6.9749999999999996</v>
      </c>
      <c r="W8">
        <f>(11.3+11+10.9+11.1)/4</f>
        <v>11.075000000000001</v>
      </c>
    </row>
    <row r="9" spans="1:24" x14ac:dyDescent="0.25">
      <c r="A9" s="60" t="s">
        <v>50</v>
      </c>
      <c r="B9" s="61" t="str">
        <f>'[1]Memória 03'!B9</f>
        <v>TRANSPORTE DE MATERIAIS ASFALTICO A FRIO</v>
      </c>
      <c r="C9" s="62" t="s">
        <v>79</v>
      </c>
      <c r="D9" s="53" t="s">
        <v>80</v>
      </c>
      <c r="E9" s="50">
        <f>E14*419.8</f>
        <v>10346.056639199998</v>
      </c>
    </row>
    <row r="10" spans="1:24" x14ac:dyDescent="0.25">
      <c r="A10" s="60" t="s">
        <v>53</v>
      </c>
      <c r="B10" s="61" t="str">
        <f>'[1]Memória 03'!B10</f>
        <v>TRANSPORTE DE MATERIAIS ASFALTICO A QUENTE</v>
      </c>
      <c r="C10" s="62" t="s">
        <v>79</v>
      </c>
      <c r="D10" s="54" t="s">
        <v>81</v>
      </c>
      <c r="E10" s="50">
        <f>E16*419.8</f>
        <v>45522.649212479999</v>
      </c>
    </row>
    <row r="11" spans="1:24" x14ac:dyDescent="0.25">
      <c r="A11" s="56" t="s">
        <v>55</v>
      </c>
      <c r="B11" s="57" t="s">
        <v>56</v>
      </c>
      <c r="C11" s="66"/>
      <c r="D11" s="66"/>
    </row>
    <row r="12" spans="1:24" x14ac:dyDescent="0.25">
      <c r="A12" s="60" t="s">
        <v>57</v>
      </c>
      <c r="B12" s="65" t="str">
        <f>[1]BM.04!B20</f>
        <v>SINALIZACAO HORIZONTAL COM TINTA 2 ANOS DURACAO</v>
      </c>
      <c r="C12" s="67" t="s">
        <v>75</v>
      </c>
      <c r="D12" s="54"/>
    </row>
    <row r="13" spans="1:24" x14ac:dyDescent="0.25">
      <c r="A13" s="56" t="s">
        <v>59</v>
      </c>
      <c r="B13" s="57" t="s">
        <v>82</v>
      </c>
      <c r="C13" s="59"/>
      <c r="D13" s="59"/>
    </row>
    <row r="14" spans="1:24" x14ac:dyDescent="0.25">
      <c r="A14" s="60" t="s">
        <v>61</v>
      </c>
      <c r="B14" s="65" t="str">
        <f>[1]BM.04!B22</f>
        <v>ASFALTO DILUIDO CM-30 EXCLUSIVE TRANSPORTE</v>
      </c>
      <c r="C14" s="55" t="s">
        <v>77</v>
      </c>
      <c r="D14" s="53" t="s">
        <v>83</v>
      </c>
      <c r="E14" s="50">
        <f>E7*0.0012</f>
        <v>24.645203999999996</v>
      </c>
      <c r="F14" s="68"/>
    </row>
    <row r="15" spans="1:24" ht="30" x14ac:dyDescent="0.25">
      <c r="A15" s="60" t="s">
        <v>63</v>
      </c>
      <c r="B15" s="65" t="str">
        <f>[1]BM.04!B23</f>
        <v xml:space="preserve">CIMENTO ASFALTICO CAP 50/70 EXCLUSIVE TRANSPORTE </v>
      </c>
      <c r="C15" s="55" t="s">
        <v>77</v>
      </c>
      <c r="D15" s="54" t="s">
        <v>84</v>
      </c>
    </row>
    <row r="16" spans="1:24" ht="30" x14ac:dyDescent="0.25">
      <c r="A16" s="60" t="s">
        <v>97</v>
      </c>
      <c r="B16" s="65" t="str">
        <f>[1]BM.04!B24</f>
        <v>CIMENTO ASFALTICO CAP 50/70 EXCLUSIVE TRANSPORTE (REAJUSTADO)</v>
      </c>
      <c r="C16" s="55" t="s">
        <v>77</v>
      </c>
      <c r="D16" s="54" t="s">
        <v>84</v>
      </c>
      <c r="E16" s="50">
        <f>E8*0.055</f>
        <v>108.43889759999999</v>
      </c>
    </row>
    <row r="17" spans="1:12" x14ac:dyDescent="0.25">
      <c r="A17" s="69" t="str">
        <f>[1]BM.04!A25</f>
        <v>4.0</v>
      </c>
      <c r="B17" s="57" t="str">
        <f>[1]BM.04!B25</f>
        <v>PLACA DA OBRA</v>
      </c>
      <c r="C17" s="59"/>
      <c r="D17" s="59"/>
    </row>
    <row r="18" spans="1:12" s="50" customFormat="1" x14ac:dyDescent="0.25">
      <c r="A18" s="60" t="s">
        <v>67</v>
      </c>
      <c r="B18" s="65" t="str">
        <f>[1]BM.04!B26</f>
        <v>PLACA INDICATIVA DE OBRA</v>
      </c>
      <c r="C18" s="67" t="s">
        <v>85</v>
      </c>
      <c r="D18" s="53"/>
      <c r="F18"/>
      <c r="G18"/>
      <c r="H18"/>
      <c r="I18"/>
      <c r="J18"/>
      <c r="K18"/>
      <c r="L18"/>
    </row>
    <row r="20" spans="1:12" s="50" customFormat="1" x14ac:dyDescent="0.25">
      <c r="A20" s="70"/>
      <c r="B20" s="70"/>
      <c r="C20" s="63"/>
      <c r="D20"/>
      <c r="F20"/>
      <c r="G20"/>
      <c r="H20"/>
      <c r="I20"/>
      <c r="J20"/>
      <c r="K20"/>
      <c r="L2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DFC3-91B4-46EC-AF6C-BE19CA2C29B2}">
  <sheetPr codeName="Plan21"/>
  <dimension ref="A1:O37"/>
  <sheetViews>
    <sheetView view="pageBreakPreview" zoomScale="90" zoomScaleNormal="100" zoomScaleSheetLayoutView="90" workbookViewId="0">
      <selection activeCell="K11" sqref="K11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5.5703125" style="9" customWidth="1"/>
    <col min="12" max="12" width="14.28515625" style="9" customWidth="1"/>
    <col min="13" max="13" width="13.140625" style="9" bestFit="1" customWidth="1"/>
    <col min="14" max="14" width="12.5703125" style="9" bestFit="1" customWidth="1"/>
    <col min="15" max="15" width="12.85546875" style="9" bestFit="1" customWidth="1"/>
    <col min="16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7" t="s">
        <v>0</v>
      </c>
      <c r="B1" s="78"/>
      <c r="C1" s="78"/>
      <c r="D1" s="78"/>
      <c r="E1" s="78"/>
      <c r="F1" s="78"/>
      <c r="G1" s="78"/>
      <c r="H1" s="78"/>
      <c r="I1" s="79"/>
      <c r="J1" s="1" t="s">
        <v>1</v>
      </c>
    </row>
    <row r="2" spans="1:10" s="2" customFormat="1" ht="16.5" customHeight="1" x14ac:dyDescent="0.25">
      <c r="A2" s="80"/>
      <c r="B2" s="81"/>
      <c r="C2" s="81"/>
      <c r="D2" s="81"/>
      <c r="E2" s="81"/>
      <c r="F2" s="81"/>
      <c r="G2" s="81"/>
      <c r="H2" s="81"/>
      <c r="I2" s="82"/>
      <c r="J2" s="3" t="s">
        <v>104</v>
      </c>
    </row>
    <row r="3" spans="1:10" s="2" customFormat="1" ht="18.75" customHeight="1" x14ac:dyDescent="0.25">
      <c r="A3" s="83" t="s">
        <v>3</v>
      </c>
      <c r="B3" s="84"/>
      <c r="C3" s="83" t="s">
        <v>4</v>
      </c>
      <c r="D3" s="85"/>
      <c r="E3" s="85"/>
      <c r="F3" s="84"/>
      <c r="G3" s="83" t="s">
        <v>5</v>
      </c>
      <c r="H3" s="84"/>
      <c r="I3" s="4" t="s">
        <v>6</v>
      </c>
      <c r="J3" s="4" t="s">
        <v>7</v>
      </c>
    </row>
    <row r="4" spans="1:10" s="2" customFormat="1" ht="21.75" customHeight="1" x14ac:dyDescent="0.25">
      <c r="A4" s="86" t="s">
        <v>8</v>
      </c>
      <c r="B4" s="87"/>
      <c r="C4" s="88" t="s">
        <v>8</v>
      </c>
      <c r="D4" s="89"/>
      <c r="E4" s="89"/>
      <c r="F4" s="90"/>
      <c r="G4" s="88"/>
      <c r="H4" s="90"/>
      <c r="I4" s="5">
        <v>44475</v>
      </c>
      <c r="J4" s="5" t="s">
        <v>9</v>
      </c>
    </row>
    <row r="5" spans="1:10" s="2" customFormat="1" ht="18.75" customHeight="1" x14ac:dyDescent="0.25">
      <c r="A5" s="83" t="s">
        <v>10</v>
      </c>
      <c r="B5" s="84"/>
      <c r="C5" s="83" t="s">
        <v>11</v>
      </c>
      <c r="D5" s="84"/>
      <c r="E5" s="83" t="s">
        <v>12</v>
      </c>
      <c r="F5" s="84"/>
      <c r="G5" s="4" t="s">
        <v>13</v>
      </c>
      <c r="H5" s="4" t="s">
        <v>14</v>
      </c>
      <c r="I5" s="83" t="s">
        <v>15</v>
      </c>
      <c r="J5" s="84"/>
    </row>
    <row r="6" spans="1:10" s="2" customFormat="1" ht="24" customHeight="1" x14ac:dyDescent="0.25">
      <c r="A6" s="91" t="s">
        <v>16</v>
      </c>
      <c r="B6" s="92"/>
      <c r="C6" s="93"/>
      <c r="D6" s="94"/>
      <c r="E6" s="95" t="s">
        <v>17</v>
      </c>
      <c r="F6" s="96"/>
      <c r="G6" s="5">
        <v>44475</v>
      </c>
      <c r="H6" s="5" t="s">
        <v>18</v>
      </c>
      <c r="I6" s="97">
        <v>45147</v>
      </c>
      <c r="J6" s="98"/>
    </row>
    <row r="7" spans="1:10" s="2" customFormat="1" ht="18.75" customHeight="1" x14ac:dyDescent="0.25">
      <c r="A7" s="99" t="s">
        <v>19</v>
      </c>
      <c r="B7" s="100"/>
      <c r="C7" s="83" t="s">
        <v>20</v>
      </c>
      <c r="D7" s="85"/>
      <c r="E7" s="84"/>
      <c r="F7" s="6" t="s">
        <v>21</v>
      </c>
      <c r="G7" s="83" t="s">
        <v>22</v>
      </c>
      <c r="H7" s="84"/>
      <c r="I7" s="99" t="s">
        <v>23</v>
      </c>
      <c r="J7" s="100"/>
    </row>
    <row r="8" spans="1:10" s="2" customFormat="1" ht="32.25" customHeight="1" x14ac:dyDescent="0.25">
      <c r="A8" s="101" t="s">
        <v>24</v>
      </c>
      <c r="B8" s="102"/>
      <c r="C8" s="103" t="s">
        <v>25</v>
      </c>
      <c r="D8" s="104"/>
      <c r="E8" s="105"/>
      <c r="F8" s="7">
        <v>6960954.2000000002</v>
      </c>
      <c r="G8" s="106">
        <f>BM.05!$I$27</f>
        <v>35891.040000000001</v>
      </c>
      <c r="H8" s="107"/>
      <c r="I8" s="97" t="s">
        <v>105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8" t="s">
        <v>27</v>
      </c>
      <c r="F10" s="108"/>
      <c r="G10" s="108"/>
      <c r="H10" s="109" t="s">
        <v>28</v>
      </c>
      <c r="I10" s="108"/>
      <c r="J10" s="110"/>
    </row>
    <row r="11" spans="1:10" s="2" customFormat="1" x14ac:dyDescent="0.25">
      <c r="A11" s="111" t="s">
        <v>29</v>
      </c>
      <c r="B11" s="112" t="s">
        <v>30</v>
      </c>
      <c r="C11" s="113" t="s">
        <v>31</v>
      </c>
      <c r="D11" s="114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11"/>
      <c r="B12" s="112"/>
      <c r="C12" s="113"/>
      <c r="D12" s="114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0</v>
      </c>
      <c r="J14" s="27">
        <f>SUM(J15:J18)</f>
        <v>598543.88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05'!E7</f>
        <v>0</v>
      </c>
      <c r="G15" s="31">
        <f>F15+[1]BM.04!G15</f>
        <v>41010.83</v>
      </c>
      <c r="H15" s="33">
        <v>51319.41</v>
      </c>
      <c r="I15" s="34">
        <f>ROUND(D15*F15,2)</f>
        <v>0</v>
      </c>
      <c r="J15" s="33">
        <f>ROUND(D15*G15,2)</f>
        <v>13123.47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05'!E8</f>
        <v>0</v>
      </c>
      <c r="G16" s="31">
        <f>F16+[1]BM.04!G16</f>
        <v>3937.04</v>
      </c>
      <c r="H16" s="33">
        <v>2028268.95</v>
      </c>
      <c r="I16" s="34">
        <f t="shared" ref="I16:I18" si="0">ROUND(D16*F16,2)</f>
        <v>0</v>
      </c>
      <c r="J16" s="33">
        <f t="shared" ref="J16:J18" si="1">ROUND(D16*G16,2)</f>
        <v>515673.5</v>
      </c>
    </row>
    <row r="17" spans="1:15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05'!E9</f>
        <v>0</v>
      </c>
      <c r="G17" s="31">
        <f>F17+[1]BM.04!G17</f>
        <v>20658.36</v>
      </c>
      <c r="H17" s="33">
        <v>45739.33</v>
      </c>
      <c r="I17" s="34">
        <f t="shared" si="0"/>
        <v>0</v>
      </c>
      <c r="J17" s="33">
        <f t="shared" si="1"/>
        <v>11568.68</v>
      </c>
    </row>
    <row r="18" spans="1:15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05'!E10</f>
        <v>0</v>
      </c>
      <c r="G18" s="31">
        <f>F18+[1]BM.04!G18</f>
        <v>90903.49</v>
      </c>
      <c r="H18" s="33">
        <v>230065.55</v>
      </c>
      <c r="I18" s="34">
        <f t="shared" si="0"/>
        <v>0</v>
      </c>
      <c r="J18" s="33">
        <f t="shared" si="1"/>
        <v>58178.23</v>
      </c>
    </row>
    <row r="19" spans="1:15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35891.040000000001</v>
      </c>
      <c r="J19" s="27">
        <f>SUM(J20:J20)</f>
        <v>35891.040000000001</v>
      </c>
    </row>
    <row r="20" spans="1:15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05'!E12</f>
        <v>1688.99</v>
      </c>
      <c r="G20" s="31">
        <f>F20+[1]BM.04!G20</f>
        <v>1688.99</v>
      </c>
      <c r="H20" s="33">
        <v>168362.18</v>
      </c>
      <c r="I20" s="34">
        <f>ROUND(D20*F20,2)</f>
        <v>35891.040000000001</v>
      </c>
      <c r="J20" s="33">
        <f>ROUND(D20*G20,2)</f>
        <v>35891.040000000001</v>
      </c>
    </row>
    <row r="21" spans="1:15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f>SUM(H22:H24)</f>
        <v>5131832.63</v>
      </c>
      <c r="I21" s="27">
        <f>SUM(I22:I24)</f>
        <v>0</v>
      </c>
      <c r="J21" s="27">
        <f>SUM(J22:J24)</f>
        <v>1229228.69</v>
      </c>
    </row>
    <row r="22" spans="1:15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05'!E14</f>
        <v>0</v>
      </c>
      <c r="G22" s="31">
        <f>F22+[1]BM.04!G22</f>
        <v>49.21</v>
      </c>
      <c r="H22" s="33">
        <v>1124981.42</v>
      </c>
      <c r="I22" s="34">
        <f>ROUND(D22*F22,2)</f>
        <v>0</v>
      </c>
      <c r="J22" s="33">
        <f t="shared" ref="J22:J24" si="2">ROUND(D22*G22,2)</f>
        <v>285996.71000000002</v>
      </c>
      <c r="K22" s="39"/>
      <c r="M22" s="72"/>
      <c r="N22" s="72"/>
      <c r="O22" s="72"/>
    </row>
    <row r="23" spans="1:15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108.1</v>
      </c>
      <c r="F23" s="32">
        <f>'[1]Memória 05'!E15</f>
        <v>0</v>
      </c>
      <c r="G23" s="31">
        <f>F23+[1]BM.04!G23</f>
        <v>108.1</v>
      </c>
      <c r="H23" s="33">
        <v>420200.92</v>
      </c>
      <c r="I23" s="34">
        <f t="shared" ref="I23:I24" si="3">ROUND(D23*F23,2)</f>
        <v>0</v>
      </c>
      <c r="J23" s="33">
        <f t="shared" si="2"/>
        <v>420200.92</v>
      </c>
      <c r="K23" s="39">
        <f>E23*D23</f>
        <v>420200.91499999998</v>
      </c>
    </row>
    <row r="24" spans="1:15" s="2" customFormat="1" ht="30" customHeight="1" x14ac:dyDescent="0.25">
      <c r="A24" s="28" t="s">
        <v>97</v>
      </c>
      <c r="B24" s="35" t="s">
        <v>98</v>
      </c>
      <c r="C24" s="28" t="s">
        <v>49</v>
      </c>
      <c r="D24" s="36">
        <v>4823.2299999999996</v>
      </c>
      <c r="E24" s="36">
        <f>851.72-E23</f>
        <v>743.62</v>
      </c>
      <c r="F24" s="32">
        <f>'[1]Memória 05'!E16</f>
        <v>0</v>
      </c>
      <c r="G24" s="31">
        <f>F24+[1]BM.04!G24</f>
        <v>108.44</v>
      </c>
      <c r="H24" s="33">
        <f>ROUND(E24*D24,2)</f>
        <v>3586650.29</v>
      </c>
      <c r="I24" s="34">
        <f t="shared" si="3"/>
        <v>0</v>
      </c>
      <c r="J24" s="33">
        <f t="shared" si="2"/>
        <v>523031.06</v>
      </c>
      <c r="K24" s="39"/>
    </row>
    <row r="25" spans="1:15" s="2" customFormat="1" ht="30" customHeight="1" x14ac:dyDescent="0.25">
      <c r="A25" s="22" t="s">
        <v>65</v>
      </c>
      <c r="B25" s="23" t="s">
        <v>66</v>
      </c>
      <c r="C25" s="24"/>
      <c r="D25" s="25"/>
      <c r="E25" s="25"/>
      <c r="F25" s="25"/>
      <c r="G25" s="25"/>
      <c r="H25" s="27">
        <v>1454.48</v>
      </c>
      <c r="I25" s="27">
        <f>SUM(I26:I26)</f>
        <v>0</v>
      </c>
      <c r="J25" s="27">
        <f>SUM(J26:J26)</f>
        <v>1454.49</v>
      </c>
      <c r="K25" s="72"/>
      <c r="L25" s="72"/>
      <c r="M25" s="72"/>
    </row>
    <row r="26" spans="1:15" s="2" customFormat="1" ht="30" customHeight="1" x14ac:dyDescent="0.25">
      <c r="A26" s="28" t="s">
        <v>67</v>
      </c>
      <c r="B26" s="35" t="s">
        <v>68</v>
      </c>
      <c r="C26" s="28" t="s">
        <v>46</v>
      </c>
      <c r="D26" s="36">
        <v>323.22000000000003</v>
      </c>
      <c r="E26" s="36">
        <v>4.5</v>
      </c>
      <c r="F26" s="32">
        <f>'[1]Memória 05'!E18</f>
        <v>0</v>
      </c>
      <c r="G26" s="31">
        <f>F26+[1]BM.04!G26</f>
        <v>4.5</v>
      </c>
      <c r="H26" s="33">
        <v>1454.48</v>
      </c>
      <c r="I26" s="34">
        <f>ROUND(D26*F26,2)</f>
        <v>0</v>
      </c>
      <c r="J26" s="33">
        <f>ROUND(D26*G26,2)</f>
        <v>1454.49</v>
      </c>
      <c r="K26" s="72"/>
      <c r="L26" s="72"/>
    </row>
    <row r="27" spans="1:15" s="2" customFormat="1" ht="30" customHeight="1" x14ac:dyDescent="0.25">
      <c r="A27" s="74" t="s">
        <v>69</v>
      </c>
      <c r="B27" s="75" t="s">
        <v>99</v>
      </c>
      <c r="C27" s="126">
        <v>6960954.2000000002</v>
      </c>
      <c r="D27" s="126"/>
      <c r="E27" s="116" t="s">
        <v>100</v>
      </c>
      <c r="F27" s="116"/>
      <c r="G27" s="117"/>
      <c r="H27" s="38">
        <f>H25+H21+H19+H14</f>
        <v>7657042.5300000003</v>
      </c>
      <c r="I27" s="38">
        <f>I14+I19+I21+I25</f>
        <v>35891.040000000001</v>
      </c>
      <c r="J27" s="38">
        <f>J14+J19+J21+J25</f>
        <v>1865118.0999999999</v>
      </c>
      <c r="K27" s="76" t="e">
        <f>I27/F15</f>
        <v>#DIV/0!</v>
      </c>
    </row>
    <row r="28" spans="1:15" s="2" customFormat="1" ht="6" customHeight="1" x14ac:dyDescent="0.25">
      <c r="A28" s="40"/>
      <c r="B28" s="40"/>
      <c r="C28" s="40"/>
      <c r="D28" s="40"/>
      <c r="E28" s="40"/>
      <c r="F28" s="41"/>
      <c r="G28" s="41"/>
      <c r="H28" s="42"/>
      <c r="I28" s="42"/>
      <c r="J28" s="42"/>
    </row>
    <row r="29" spans="1:15" ht="22.5" customHeight="1" x14ac:dyDescent="0.25">
      <c r="A29" s="118" t="s">
        <v>70</v>
      </c>
      <c r="B29" s="118"/>
      <c r="C29" s="118"/>
      <c r="D29" s="119">
        <f>I27</f>
        <v>35891.040000000001</v>
      </c>
      <c r="E29" s="119"/>
      <c r="F29" s="120"/>
      <c r="G29" s="120"/>
      <c r="H29" s="120"/>
      <c r="I29" s="120"/>
      <c r="J29" s="120"/>
    </row>
    <row r="30" spans="1:15" ht="8.25" customHeight="1" thickBot="1" x14ac:dyDescent="0.3">
      <c r="C30" s="44"/>
      <c r="E30" s="45"/>
      <c r="F30" s="45"/>
    </row>
    <row r="31" spans="1:15" ht="17.25" customHeight="1" x14ac:dyDescent="0.25">
      <c r="A31" s="127" t="s">
        <v>101</v>
      </c>
      <c r="B31" s="128"/>
      <c r="C31" s="128"/>
      <c r="D31" s="128"/>
      <c r="E31" s="128"/>
      <c r="F31" s="128"/>
      <c r="G31" s="128"/>
      <c r="H31" s="128"/>
      <c r="I31" s="128"/>
      <c r="J31" s="129"/>
    </row>
    <row r="32" spans="1:15" ht="13.5" thickBot="1" x14ac:dyDescent="0.3">
      <c r="A32" s="130"/>
      <c r="B32" s="131"/>
      <c r="C32" s="131"/>
      <c r="D32" s="131"/>
      <c r="E32" s="131"/>
      <c r="F32" s="131"/>
      <c r="G32" s="131"/>
      <c r="H32" s="131"/>
      <c r="I32" s="131"/>
      <c r="J32" s="132"/>
    </row>
    <row r="35" spans="8:10" x14ac:dyDescent="0.25">
      <c r="H35" s="48"/>
    </row>
    <row r="37" spans="8:10" x14ac:dyDescent="0.25">
      <c r="J37" s="49"/>
    </row>
  </sheetData>
  <mergeCells count="35">
    <mergeCell ref="C27:D27"/>
    <mergeCell ref="E27:G27"/>
    <mergeCell ref="A29:C29"/>
    <mergeCell ref="D29:E29"/>
    <mergeCell ref="F29:J29"/>
    <mergeCell ref="A31:J32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2" orientation="landscape" horizontalDpi="300" verticalDpi="300" r:id="rId1"/>
  <headerFooter>
    <oddFooter>Página &amp;P de &amp;N</oddFooter>
  </headerFooter>
  <rowBreaks count="1" manualBreakCount="1">
    <brk id="24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15</vt:i4>
      </vt:variant>
    </vt:vector>
  </HeadingPairs>
  <TitlesOfParts>
    <vt:vector size="26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Planilha1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2025-02-21T17:03:58Z</dcterms:created>
  <dcterms:modified xsi:type="dcterms:W3CDTF">2025-02-21T17:17:37Z</dcterms:modified>
</cp:coreProperties>
</file>