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ThisWorkbook" defaultThemeVersion="166925"/>
  <xr:revisionPtr revIDLastSave="0" documentId="13_ncr:1_{6CA05324-8016-4A78-8EB8-434507BC715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OLETIM DE MEDIÇÃO 02" sheetId="2" r:id="rId1"/>
    <sheet name="MEMORIAL DE CALCULO 01" sheetId="3" state="hidden" r:id="rId2"/>
    <sheet name="MEMORIAL DE CALCULO 02" sheetId="5" r:id="rId3"/>
    <sheet name="MEMORIAL FOTOGRÁFICO 01" sheetId="4" state="hidden" r:id="rId4"/>
    <sheet name="MEMORIAL FOTOGRÁFICO 02" sheetId="6" r:id="rId5"/>
    <sheet name="orcamento" sheetId="1" state="hidden" r:id="rId6"/>
  </sheets>
  <definedNames>
    <definedName name="_xlnm.Print_Area" localSheetId="0">'BOLETIM DE MEDIÇÃO 02'!$B$2:$AA$198</definedName>
    <definedName name="_xlnm.Print_Area" localSheetId="1">'MEMORIAL DE CALCULO 01'!$B$2:$N$220</definedName>
    <definedName name="_xlnm.Print_Area" localSheetId="2">'MEMORIAL DE CALCULO 02'!$B$2:$N$451</definedName>
    <definedName name="_xlnm.Print_Area" localSheetId="3">'MEMORIAL FOTOGRÁFICO 01'!$B$2:$Z$198</definedName>
    <definedName name="_xlnm.Print_Area" localSheetId="4">'MEMORIAL FOTOGRÁFICO 02'!$B$2:$Z$108</definedName>
    <definedName name="JR_PAGE_ANCHOR_0_1">orcamento!$A$1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30" i="5" l="1"/>
  <c r="I32" i="2"/>
  <c r="AA15" i="2"/>
  <c r="AA16" i="2"/>
  <c r="AA17" i="2"/>
  <c r="AA18" i="2"/>
  <c r="AA19" i="2"/>
  <c r="AA21" i="2"/>
  <c r="AA22" i="2"/>
  <c r="AA23" i="2"/>
  <c r="AA24" i="2"/>
  <c r="AA26" i="2"/>
  <c r="AA27" i="2"/>
  <c r="AA28" i="2"/>
  <c r="AA29" i="2"/>
  <c r="AA30" i="2"/>
  <c r="AA33" i="2"/>
  <c r="AA34" i="2"/>
  <c r="AA35" i="2"/>
  <c r="AA36" i="2"/>
  <c r="AA37" i="2"/>
  <c r="AA38" i="2"/>
  <c r="AA40" i="2"/>
  <c r="AA41" i="2"/>
  <c r="AA42" i="2"/>
  <c r="AA43" i="2"/>
  <c r="AA44" i="2"/>
  <c r="AA45" i="2"/>
  <c r="AA46" i="2"/>
  <c r="AA47" i="2"/>
  <c r="AA48" i="2"/>
  <c r="AA49" i="2"/>
  <c r="AA50" i="2"/>
  <c r="AA51" i="2"/>
  <c r="AA52" i="2"/>
  <c r="AA53" i="2"/>
  <c r="AA54" i="2"/>
  <c r="AA56" i="2"/>
  <c r="AA57" i="2"/>
  <c r="AA58" i="2"/>
  <c r="AA59" i="2"/>
  <c r="AA61" i="2"/>
  <c r="AA62" i="2"/>
  <c r="AA63" i="2"/>
  <c r="AA64" i="2"/>
  <c r="AA66" i="2"/>
  <c r="AA67" i="2"/>
  <c r="AA68" i="2"/>
  <c r="AA69" i="2"/>
  <c r="AA70" i="2"/>
  <c r="AA71" i="2"/>
  <c r="AA72" i="2"/>
  <c r="AA73" i="2"/>
  <c r="AA75" i="2"/>
  <c r="AA76" i="2"/>
  <c r="AA77" i="2"/>
  <c r="AA78" i="2"/>
  <c r="AA79" i="2"/>
  <c r="AA80" i="2"/>
  <c r="AA82" i="2"/>
  <c r="AA83" i="2"/>
  <c r="AA84" i="2"/>
  <c r="AA85" i="2"/>
  <c r="AA86" i="2"/>
  <c r="AA87" i="2"/>
  <c r="AA88" i="2"/>
  <c r="AA90" i="2"/>
  <c r="AA91" i="2"/>
  <c r="AA92" i="2"/>
  <c r="AA93" i="2"/>
  <c r="AA94" i="2"/>
  <c r="AA95" i="2"/>
  <c r="AA96" i="2"/>
  <c r="AA97" i="2"/>
  <c r="AA98" i="2"/>
  <c r="AA99" i="2"/>
  <c r="AA100" i="2"/>
  <c r="AA101" i="2"/>
  <c r="AA102" i="2"/>
  <c r="AA103" i="2"/>
  <c r="AA104" i="2"/>
  <c r="AA105" i="2"/>
  <c r="AA106" i="2"/>
  <c r="AA107" i="2"/>
  <c r="AA108" i="2"/>
  <c r="AA109" i="2"/>
  <c r="AA110" i="2"/>
  <c r="AA111" i="2"/>
  <c r="AA112" i="2"/>
  <c r="AA113" i="2"/>
  <c r="AA114" i="2"/>
  <c r="AA115" i="2"/>
  <c r="AA116" i="2"/>
  <c r="AA117" i="2"/>
  <c r="AA119" i="2"/>
  <c r="AA120" i="2"/>
  <c r="AA121" i="2"/>
  <c r="AA122" i="2"/>
  <c r="AA123" i="2"/>
  <c r="AA124" i="2"/>
  <c r="AA125" i="2"/>
  <c r="AA126" i="2"/>
  <c r="AA128" i="2"/>
  <c r="AA129" i="2"/>
  <c r="AA130" i="2"/>
  <c r="AA131" i="2"/>
  <c r="AA132" i="2"/>
  <c r="AA133" i="2"/>
  <c r="AA134" i="2"/>
  <c r="AA135" i="2"/>
  <c r="AA136" i="2"/>
  <c r="AA138" i="2"/>
  <c r="AA139" i="2"/>
  <c r="AA140" i="2"/>
  <c r="AA141" i="2"/>
  <c r="AA142" i="2"/>
  <c r="AA143" i="2"/>
  <c r="AA144" i="2"/>
  <c r="AA145" i="2"/>
  <c r="AA146" i="2"/>
  <c r="AA147" i="2"/>
  <c r="AA148" i="2"/>
  <c r="AA149" i="2"/>
  <c r="AA150" i="2"/>
  <c r="AA151" i="2"/>
  <c r="AA152" i="2"/>
  <c r="AA153" i="2"/>
  <c r="AA154" i="2"/>
  <c r="AA155" i="2"/>
  <c r="AA156" i="2"/>
  <c r="AA157" i="2"/>
  <c r="AA158" i="2"/>
  <c r="AA159" i="2"/>
  <c r="AA161" i="2"/>
  <c r="AA162" i="2"/>
  <c r="AA163" i="2"/>
  <c r="AA164" i="2"/>
  <c r="AA165" i="2"/>
  <c r="AA166" i="2"/>
  <c r="AA167" i="2"/>
  <c r="AA168" i="2"/>
  <c r="AA169" i="2"/>
  <c r="AA170" i="2"/>
  <c r="AA171" i="2"/>
  <c r="AA172" i="2"/>
  <c r="AA174" i="2"/>
  <c r="AA175" i="2"/>
  <c r="AA176" i="2"/>
  <c r="AA177" i="2"/>
  <c r="AA178" i="2"/>
  <c r="AA179" i="2"/>
  <c r="AA180" i="2"/>
  <c r="AA181" i="2"/>
  <c r="AA182" i="2"/>
  <c r="AA183" i="2"/>
  <c r="AA184" i="2"/>
  <c r="AA185" i="2"/>
  <c r="AA186" i="2"/>
  <c r="AA187" i="2"/>
  <c r="AA188" i="2"/>
  <c r="AA189" i="2"/>
  <c r="AA190" i="2"/>
  <c r="AA191" i="2"/>
  <c r="AA192" i="2"/>
  <c r="AA194" i="2"/>
  <c r="AA195" i="2"/>
  <c r="AA14" i="2"/>
  <c r="K111" i="5"/>
  <c r="I186" i="2"/>
  <c r="I185" i="2"/>
  <c r="I184" i="2"/>
  <c r="I183" i="2"/>
  <c r="I181" i="2"/>
  <c r="I180" i="2"/>
  <c r="I179" i="2"/>
  <c r="I178" i="2"/>
  <c r="K423" i="5"/>
  <c r="K422" i="5"/>
  <c r="I176" i="2"/>
  <c r="K418" i="5"/>
  <c r="G50" i="5"/>
  <c r="K139" i="5"/>
  <c r="K148" i="5"/>
  <c r="K138" i="5"/>
  <c r="K137" i="5"/>
  <c r="K136" i="5"/>
  <c r="K135" i="5"/>
  <c r="K134" i="5"/>
  <c r="K133" i="5"/>
  <c r="K132" i="5"/>
  <c r="K131" i="5"/>
  <c r="K130" i="5"/>
  <c r="K129" i="5"/>
  <c r="K128" i="5"/>
  <c r="K127" i="5"/>
  <c r="K126" i="5"/>
  <c r="K125" i="5"/>
  <c r="K124" i="5"/>
  <c r="K123" i="5"/>
  <c r="K122" i="5"/>
  <c r="K121" i="5"/>
  <c r="K120" i="5"/>
  <c r="K119" i="5"/>
  <c r="K118" i="5"/>
  <c r="K117" i="5"/>
  <c r="K116" i="5"/>
  <c r="K115" i="5"/>
  <c r="K114" i="5"/>
  <c r="K113" i="5"/>
  <c r="K112" i="5"/>
  <c r="K110" i="5"/>
  <c r="K109" i="5"/>
  <c r="K107" i="5"/>
  <c r="K106" i="5"/>
  <c r="K105" i="5"/>
  <c r="K104" i="5"/>
  <c r="K103" i="5"/>
  <c r="K102" i="5"/>
  <c r="K101" i="5"/>
  <c r="K278" i="5"/>
  <c r="J278" i="5" s="1"/>
  <c r="K279" i="5"/>
  <c r="K280" i="5"/>
  <c r="J280" i="5" s="1"/>
  <c r="K281" i="5"/>
  <c r="J281" i="5" s="1"/>
  <c r="K282" i="5"/>
  <c r="J282" i="5" s="1"/>
  <c r="K283" i="5"/>
  <c r="J283" i="5" s="1"/>
  <c r="K284" i="5"/>
  <c r="J284" i="5" s="1"/>
  <c r="K285" i="5"/>
  <c r="J285" i="5" s="1"/>
  <c r="K286" i="5"/>
  <c r="J286" i="5" s="1"/>
  <c r="K287" i="5"/>
  <c r="K288" i="5"/>
  <c r="K289" i="5"/>
  <c r="K290" i="5"/>
  <c r="K291" i="5"/>
  <c r="K292" i="5"/>
  <c r="K293" i="5"/>
  <c r="K294" i="5"/>
  <c r="K295" i="5"/>
  <c r="K296" i="5"/>
  <c r="K297" i="5"/>
  <c r="K298" i="5"/>
  <c r="K299" i="5"/>
  <c r="K300" i="5"/>
  <c r="K301" i="5"/>
  <c r="K302" i="5"/>
  <c r="K303" i="5"/>
  <c r="K304" i="5"/>
  <c r="K305" i="5"/>
  <c r="K306" i="5"/>
  <c r="K307" i="5"/>
  <c r="K308" i="5"/>
  <c r="K309" i="5"/>
  <c r="K310" i="5"/>
  <c r="K311" i="5"/>
  <c r="K312" i="5"/>
  <c r="K313" i="5"/>
  <c r="K314" i="5"/>
  <c r="K315" i="5"/>
  <c r="K316" i="5"/>
  <c r="K317" i="5"/>
  <c r="K318" i="5"/>
  <c r="K319" i="5"/>
  <c r="K320" i="5"/>
  <c r="K321" i="5"/>
  <c r="K322" i="5"/>
  <c r="K323" i="5"/>
  <c r="K324" i="5"/>
  <c r="K325" i="5"/>
  <c r="K326" i="5"/>
  <c r="K327" i="5"/>
  <c r="K328" i="5"/>
  <c r="K329" i="5"/>
  <c r="K330" i="5"/>
  <c r="K331" i="5"/>
  <c r="K332" i="5"/>
  <c r="K333" i="5"/>
  <c r="K334" i="5"/>
  <c r="K335" i="5"/>
  <c r="K336" i="5"/>
  <c r="K337" i="5"/>
  <c r="K338" i="5"/>
  <c r="K339" i="5"/>
  <c r="K340" i="5"/>
  <c r="K341" i="5"/>
  <c r="K342" i="5"/>
  <c r="K343" i="5"/>
  <c r="K344" i="5"/>
  <c r="K345" i="5"/>
  <c r="K346" i="5"/>
  <c r="K347" i="5"/>
  <c r="K348" i="5"/>
  <c r="K349" i="5"/>
  <c r="K350" i="5"/>
  <c r="K351" i="5"/>
  <c r="K352" i="5"/>
  <c r="K353" i="5"/>
  <c r="K354" i="5"/>
  <c r="K355" i="5"/>
  <c r="K356" i="5"/>
  <c r="K357" i="5"/>
  <c r="K358" i="5"/>
  <c r="K359" i="5"/>
  <c r="K360" i="5"/>
  <c r="K361" i="5"/>
  <c r="K362" i="5"/>
  <c r="K363" i="5"/>
  <c r="K364" i="5"/>
  <c r="K365" i="5"/>
  <c r="K366" i="5"/>
  <c r="K367" i="5"/>
  <c r="K368" i="5"/>
  <c r="K369" i="5"/>
  <c r="K370" i="5"/>
  <c r="K371" i="5"/>
  <c r="K372" i="5"/>
  <c r="K373" i="5"/>
  <c r="K374" i="5"/>
  <c r="K375" i="5"/>
  <c r="K376" i="5"/>
  <c r="K377" i="5"/>
  <c r="K378" i="5"/>
  <c r="K379" i="5"/>
  <c r="K380" i="5"/>
  <c r="K381" i="5"/>
  <c r="K382" i="5"/>
  <c r="K383" i="5"/>
  <c r="K384" i="5"/>
  <c r="K385" i="5"/>
  <c r="K386" i="5"/>
  <c r="K387" i="5"/>
  <c r="K388" i="5"/>
  <c r="K389" i="5"/>
  <c r="K390" i="5"/>
  <c r="K391" i="5"/>
  <c r="K392" i="5"/>
  <c r="K393" i="5"/>
  <c r="K394" i="5"/>
  <c r="K395" i="5"/>
  <c r="K396" i="5"/>
  <c r="K397" i="5"/>
  <c r="K398" i="5"/>
  <c r="K399" i="5"/>
  <c r="K400" i="5"/>
  <c r="K401" i="5"/>
  <c r="K402" i="5"/>
  <c r="K403" i="5"/>
  <c r="K404" i="5"/>
  <c r="K405" i="5"/>
  <c r="K406" i="5"/>
  <c r="K407" i="5"/>
  <c r="K408" i="5"/>
  <c r="K409" i="5"/>
  <c r="K410" i="5"/>
  <c r="K411" i="5"/>
  <c r="K412" i="5"/>
  <c r="G277" i="5"/>
  <c r="K277" i="5" s="1"/>
  <c r="G276" i="5"/>
  <c r="K276" i="5" s="1"/>
  <c r="G275" i="5"/>
  <c r="K275" i="5" s="1"/>
  <c r="G274" i="5"/>
  <c r="K274" i="5" s="1"/>
  <c r="G273" i="5"/>
  <c r="K273" i="5" s="1"/>
  <c r="G272" i="5"/>
  <c r="K272" i="5" s="1"/>
  <c r="G271" i="5"/>
  <c r="K271" i="5" s="1"/>
  <c r="G270" i="5"/>
  <c r="K270" i="5" s="1"/>
  <c r="G269" i="5"/>
  <c r="K269" i="5" s="1"/>
  <c r="G268" i="5"/>
  <c r="K268" i="5" s="1"/>
  <c r="G267" i="5"/>
  <c r="K267" i="5" s="1"/>
  <c r="G266" i="5"/>
  <c r="K266" i="5" s="1"/>
  <c r="G265" i="5"/>
  <c r="K265" i="5" s="1"/>
  <c r="G264" i="5"/>
  <c r="K264" i="5" s="1"/>
  <c r="G263" i="5"/>
  <c r="K263" i="5" s="1"/>
  <c r="G262" i="5"/>
  <c r="K262" i="5" s="1"/>
  <c r="G261" i="5"/>
  <c r="K261" i="5" s="1"/>
  <c r="G260" i="5"/>
  <c r="K260" i="5" s="1"/>
  <c r="G259" i="5"/>
  <c r="K259" i="5" s="1"/>
  <c r="G258" i="5"/>
  <c r="K258" i="5" s="1"/>
  <c r="G257" i="5"/>
  <c r="K257" i="5" s="1"/>
  <c r="G256" i="5"/>
  <c r="K256" i="5" s="1"/>
  <c r="G255" i="5"/>
  <c r="K255" i="5" s="1"/>
  <c r="G254" i="5"/>
  <c r="K254" i="5" s="1"/>
  <c r="G253" i="5"/>
  <c r="K253" i="5" s="1"/>
  <c r="G252" i="5"/>
  <c r="K252" i="5" s="1"/>
  <c r="G251" i="5"/>
  <c r="K251" i="5" s="1"/>
  <c r="G250" i="5"/>
  <c r="K250" i="5" s="1"/>
  <c r="G249" i="5"/>
  <c r="K249" i="5" s="1"/>
  <c r="G248" i="5"/>
  <c r="K248" i="5" s="1"/>
  <c r="G155" i="5"/>
  <c r="K155" i="5" s="1"/>
  <c r="G156" i="5"/>
  <c r="K156" i="5" s="1"/>
  <c r="G157" i="5"/>
  <c r="K157" i="5" s="1"/>
  <c r="G158" i="5"/>
  <c r="K158" i="5" s="1"/>
  <c r="G159" i="5"/>
  <c r="K159" i="5" s="1"/>
  <c r="G160" i="5"/>
  <c r="K160" i="5" s="1"/>
  <c r="G161" i="5"/>
  <c r="K161" i="5" s="1"/>
  <c r="G162" i="5"/>
  <c r="K162" i="5" s="1"/>
  <c r="G163" i="5"/>
  <c r="K163" i="5" s="1"/>
  <c r="G164" i="5"/>
  <c r="K164" i="5" s="1"/>
  <c r="G165" i="5"/>
  <c r="K165" i="5" s="1"/>
  <c r="G166" i="5"/>
  <c r="K166" i="5" s="1"/>
  <c r="G167" i="5"/>
  <c r="K167" i="5" s="1"/>
  <c r="G168" i="5"/>
  <c r="K168" i="5" s="1"/>
  <c r="G169" i="5"/>
  <c r="K169" i="5" s="1"/>
  <c r="G170" i="5"/>
  <c r="K170" i="5" s="1"/>
  <c r="G171" i="5"/>
  <c r="K171" i="5" s="1"/>
  <c r="G172" i="5"/>
  <c r="K172" i="5" s="1"/>
  <c r="G173" i="5"/>
  <c r="K173" i="5" s="1"/>
  <c r="G174" i="5"/>
  <c r="K174" i="5" s="1"/>
  <c r="G175" i="5"/>
  <c r="K175" i="5" s="1"/>
  <c r="G176" i="5"/>
  <c r="K176" i="5" s="1"/>
  <c r="G177" i="5"/>
  <c r="K177" i="5" s="1"/>
  <c r="G178" i="5"/>
  <c r="K178" i="5" s="1"/>
  <c r="G179" i="5"/>
  <c r="K179" i="5" s="1"/>
  <c r="G180" i="5"/>
  <c r="K180" i="5" s="1"/>
  <c r="G181" i="5"/>
  <c r="K181" i="5" s="1"/>
  <c r="G182" i="5"/>
  <c r="K182" i="5" s="1"/>
  <c r="G183" i="5"/>
  <c r="K183" i="5" s="1"/>
  <c r="G184" i="5"/>
  <c r="K184" i="5" s="1"/>
  <c r="G186" i="5"/>
  <c r="K186" i="5" s="1"/>
  <c r="G187" i="5"/>
  <c r="K187" i="5" s="1"/>
  <c r="G188" i="5"/>
  <c r="K188" i="5" s="1"/>
  <c r="G189" i="5"/>
  <c r="K189" i="5" s="1"/>
  <c r="G190" i="5"/>
  <c r="K190" i="5" s="1"/>
  <c r="G191" i="5"/>
  <c r="K191" i="5" s="1"/>
  <c r="G192" i="5"/>
  <c r="K192" i="5" s="1"/>
  <c r="K194" i="5"/>
  <c r="K193" i="5" s="1"/>
  <c r="G198" i="5"/>
  <c r="K198" i="5" s="1"/>
  <c r="G199" i="5"/>
  <c r="K199" i="5" s="1"/>
  <c r="G200" i="5"/>
  <c r="K200" i="5" s="1"/>
  <c r="G201" i="5"/>
  <c r="K201" i="5" s="1"/>
  <c r="G202" i="5"/>
  <c r="K202" i="5" s="1"/>
  <c r="G203" i="5"/>
  <c r="K203" i="5" s="1"/>
  <c r="G204" i="5"/>
  <c r="K204" i="5" s="1"/>
  <c r="G205" i="5"/>
  <c r="K205" i="5" s="1"/>
  <c r="G206" i="5"/>
  <c r="K206" i="5" s="1"/>
  <c r="G207" i="5"/>
  <c r="K207" i="5" s="1"/>
  <c r="G208" i="5"/>
  <c r="K208" i="5" s="1"/>
  <c r="G209" i="5"/>
  <c r="K209" i="5" s="1"/>
  <c r="G210" i="5"/>
  <c r="K210" i="5" s="1"/>
  <c r="G211" i="5"/>
  <c r="K211" i="5" s="1"/>
  <c r="G212" i="5"/>
  <c r="K212" i="5" s="1"/>
  <c r="G213" i="5"/>
  <c r="K213" i="5" s="1"/>
  <c r="G214" i="5"/>
  <c r="K214" i="5" s="1"/>
  <c r="G215" i="5"/>
  <c r="K215" i="5" s="1"/>
  <c r="G216" i="5"/>
  <c r="K216" i="5" s="1"/>
  <c r="G217" i="5"/>
  <c r="K217" i="5" s="1"/>
  <c r="G218" i="5"/>
  <c r="K218" i="5" s="1"/>
  <c r="G219" i="5"/>
  <c r="K219" i="5" s="1"/>
  <c r="G220" i="5"/>
  <c r="K220" i="5" s="1"/>
  <c r="G223" i="5"/>
  <c r="K223" i="5" s="1"/>
  <c r="G224" i="5"/>
  <c r="K224" i="5" s="1"/>
  <c r="G225" i="5"/>
  <c r="K225" i="5" s="1"/>
  <c r="G226" i="5"/>
  <c r="K226" i="5" s="1"/>
  <c r="G227" i="5"/>
  <c r="K227" i="5" s="1"/>
  <c r="G228" i="5"/>
  <c r="K228" i="5" s="1"/>
  <c r="G229" i="5"/>
  <c r="K229" i="5" s="1"/>
  <c r="K240" i="5"/>
  <c r="K241" i="5"/>
  <c r="K242" i="5"/>
  <c r="K243" i="5"/>
  <c r="K244" i="5"/>
  <c r="K245" i="5"/>
  <c r="K246" i="5"/>
  <c r="K70" i="5"/>
  <c r="K69" i="5"/>
  <c r="K68" i="5"/>
  <c r="K67" i="5"/>
  <c r="K66" i="5"/>
  <c r="K65" i="5"/>
  <c r="K64" i="5"/>
  <c r="K63" i="5"/>
  <c r="K62" i="5"/>
  <c r="K60" i="5"/>
  <c r="K61" i="5"/>
  <c r="K56" i="5"/>
  <c r="K59" i="5"/>
  <c r="K58" i="5"/>
  <c r="K57" i="5"/>
  <c r="M423" i="5"/>
  <c r="K238" i="5" l="1"/>
  <c r="I37" i="2" s="1"/>
  <c r="S37" i="2" s="1"/>
  <c r="K221" i="5"/>
  <c r="K195" i="5"/>
  <c r="K153" i="5"/>
  <c r="K54" i="5"/>
  <c r="I34" i="2"/>
  <c r="S34" i="2" s="1"/>
  <c r="K142" i="5"/>
  <c r="K143" i="5"/>
  <c r="K144" i="5"/>
  <c r="K145" i="5"/>
  <c r="K146" i="5"/>
  <c r="K147" i="5"/>
  <c r="K141" i="5"/>
  <c r="G98" i="5"/>
  <c r="K98" i="5" s="1"/>
  <c r="G97" i="5"/>
  <c r="K97" i="5" s="1"/>
  <c r="G96" i="5"/>
  <c r="K96" i="5" s="1"/>
  <c r="G95" i="5"/>
  <c r="K95" i="5" s="1"/>
  <c r="G94" i="5"/>
  <c r="K94" i="5" s="1"/>
  <c r="G93" i="5"/>
  <c r="K93" i="5" s="1"/>
  <c r="G92" i="5"/>
  <c r="K92" i="5" s="1"/>
  <c r="K89" i="5"/>
  <c r="K88" i="5"/>
  <c r="K87" i="5"/>
  <c r="K86" i="5"/>
  <c r="K85" i="5"/>
  <c r="K84" i="5"/>
  <c r="K83" i="5"/>
  <c r="K74" i="5"/>
  <c r="K75" i="5"/>
  <c r="K76" i="5"/>
  <c r="K77" i="5"/>
  <c r="K78" i="5"/>
  <c r="K79" i="5"/>
  <c r="K80" i="5"/>
  <c r="S19" i="2"/>
  <c r="K36" i="5"/>
  <c r="K37" i="5"/>
  <c r="K38" i="5"/>
  <c r="K39" i="5"/>
  <c r="K40" i="5"/>
  <c r="K41" i="5"/>
  <c r="K35" i="5"/>
  <c r="K22" i="5"/>
  <c r="K21" i="5" s="1"/>
  <c r="K20" i="5"/>
  <c r="K19" i="5" s="1"/>
  <c r="S18" i="2" s="1"/>
  <c r="K18" i="5"/>
  <c r="K17" i="5" s="1"/>
  <c r="I17" i="2" s="1"/>
  <c r="S17" i="2" s="1"/>
  <c r="M448" i="5"/>
  <c r="J448" i="5"/>
  <c r="L448" i="5" s="1"/>
  <c r="M447" i="5"/>
  <c r="J447" i="5"/>
  <c r="L447" i="5" s="1"/>
  <c r="M445" i="5"/>
  <c r="J445" i="5"/>
  <c r="L445" i="5" s="1"/>
  <c r="M444" i="5"/>
  <c r="J444" i="5"/>
  <c r="L444" i="5" s="1"/>
  <c r="M443" i="5"/>
  <c r="J443" i="5"/>
  <c r="L443" i="5" s="1"/>
  <c r="M442" i="5"/>
  <c r="J442" i="5"/>
  <c r="L442" i="5" s="1"/>
  <c r="M441" i="5"/>
  <c r="J441" i="5"/>
  <c r="L441" i="5" s="1"/>
  <c r="M440" i="5"/>
  <c r="J440" i="5"/>
  <c r="L440" i="5" s="1"/>
  <c r="K439" i="5"/>
  <c r="K438" i="5"/>
  <c r="M437" i="5"/>
  <c r="K436" i="5"/>
  <c r="K435" i="5" s="1"/>
  <c r="M435" i="5"/>
  <c r="K434" i="5"/>
  <c r="K433" i="5" s="1"/>
  <c r="M433" i="5"/>
  <c r="M431" i="5"/>
  <c r="M430" i="5"/>
  <c r="K430" i="5"/>
  <c r="K428" i="5"/>
  <c r="K427" i="5"/>
  <c r="M426" i="5"/>
  <c r="M424" i="5"/>
  <c r="K424" i="5"/>
  <c r="M422" i="5"/>
  <c r="M421" i="5"/>
  <c r="M418" i="5"/>
  <c r="K417" i="5"/>
  <c r="K416" i="5"/>
  <c r="M415" i="5"/>
  <c r="M414" i="5"/>
  <c r="K414" i="5"/>
  <c r="J414" i="5" s="1"/>
  <c r="L414" i="5" s="1"/>
  <c r="M412" i="5"/>
  <c r="J412" i="5"/>
  <c r="L412" i="5" s="1"/>
  <c r="M411" i="5"/>
  <c r="J411" i="5"/>
  <c r="L411" i="5" s="1"/>
  <c r="M410" i="5"/>
  <c r="J410" i="5"/>
  <c r="L410" i="5" s="1"/>
  <c r="M409" i="5"/>
  <c r="J409" i="5"/>
  <c r="L409" i="5" s="1"/>
  <c r="M408" i="5"/>
  <c r="J408" i="5"/>
  <c r="L408" i="5" s="1"/>
  <c r="M407" i="5"/>
  <c r="J407" i="5"/>
  <c r="L407" i="5" s="1"/>
  <c r="M406" i="5"/>
  <c r="J406" i="5"/>
  <c r="L406" i="5" s="1"/>
  <c r="M405" i="5"/>
  <c r="J405" i="5"/>
  <c r="L405" i="5" s="1"/>
  <c r="M404" i="5"/>
  <c r="J404" i="5"/>
  <c r="L404" i="5" s="1"/>
  <c r="M403" i="5"/>
  <c r="J403" i="5"/>
  <c r="L403" i="5" s="1"/>
  <c r="M402" i="5"/>
  <c r="J402" i="5"/>
  <c r="L402" i="5" s="1"/>
  <c r="M401" i="5"/>
  <c r="J401" i="5"/>
  <c r="L401" i="5" s="1"/>
  <c r="M399" i="5"/>
  <c r="J399" i="5"/>
  <c r="L399" i="5" s="1"/>
  <c r="M398" i="5"/>
  <c r="J398" i="5"/>
  <c r="L398" i="5" s="1"/>
  <c r="M397" i="5"/>
  <c r="J397" i="5"/>
  <c r="L397" i="5" s="1"/>
  <c r="M396" i="5"/>
  <c r="J396" i="5"/>
  <c r="L396" i="5" s="1"/>
  <c r="M395" i="5"/>
  <c r="J395" i="5"/>
  <c r="L395" i="5" s="1"/>
  <c r="M394" i="5"/>
  <c r="J394" i="5"/>
  <c r="L394" i="5" s="1"/>
  <c r="M393" i="5"/>
  <c r="J393" i="5"/>
  <c r="L393" i="5" s="1"/>
  <c r="M392" i="5"/>
  <c r="J392" i="5"/>
  <c r="L392" i="5" s="1"/>
  <c r="M391" i="5"/>
  <c r="J391" i="5"/>
  <c r="L391" i="5" s="1"/>
  <c r="M390" i="5"/>
  <c r="J390" i="5"/>
  <c r="L390" i="5" s="1"/>
  <c r="M389" i="5"/>
  <c r="J389" i="5"/>
  <c r="L389" i="5" s="1"/>
  <c r="M388" i="5"/>
  <c r="J388" i="5"/>
  <c r="L388" i="5" s="1"/>
  <c r="M387" i="5"/>
  <c r="J387" i="5"/>
  <c r="L387" i="5" s="1"/>
  <c r="M386" i="5"/>
  <c r="J386" i="5"/>
  <c r="L386" i="5" s="1"/>
  <c r="M385" i="5"/>
  <c r="J385" i="5"/>
  <c r="L385" i="5" s="1"/>
  <c r="M384" i="5"/>
  <c r="J384" i="5"/>
  <c r="L384" i="5" s="1"/>
  <c r="M383" i="5"/>
  <c r="J383" i="5"/>
  <c r="L383" i="5" s="1"/>
  <c r="M382" i="5"/>
  <c r="J382" i="5"/>
  <c r="L382" i="5" s="1"/>
  <c r="M381" i="5"/>
  <c r="J381" i="5"/>
  <c r="L381" i="5" s="1"/>
  <c r="M380" i="5"/>
  <c r="J380" i="5"/>
  <c r="L380" i="5" s="1"/>
  <c r="M379" i="5"/>
  <c r="J379" i="5"/>
  <c r="L379" i="5" s="1"/>
  <c r="M378" i="5"/>
  <c r="J378" i="5"/>
  <c r="L378" i="5" s="1"/>
  <c r="M376" i="5"/>
  <c r="J376" i="5"/>
  <c r="L376" i="5" s="1"/>
  <c r="M375" i="5"/>
  <c r="J375" i="5"/>
  <c r="L375" i="5" s="1"/>
  <c r="M374" i="5"/>
  <c r="J374" i="5"/>
  <c r="L374" i="5" s="1"/>
  <c r="M373" i="5"/>
  <c r="J373" i="5"/>
  <c r="L373" i="5" s="1"/>
  <c r="M372" i="5"/>
  <c r="J372" i="5"/>
  <c r="L372" i="5" s="1"/>
  <c r="M371" i="5"/>
  <c r="J371" i="5"/>
  <c r="L371" i="5" s="1"/>
  <c r="M370" i="5"/>
  <c r="J370" i="5"/>
  <c r="L370" i="5" s="1"/>
  <c r="M369" i="5"/>
  <c r="J369" i="5"/>
  <c r="L369" i="5" s="1"/>
  <c r="M368" i="5"/>
  <c r="J368" i="5"/>
  <c r="L368" i="5" s="1"/>
  <c r="M366" i="5"/>
  <c r="J366" i="5"/>
  <c r="L366" i="5" s="1"/>
  <c r="M365" i="5"/>
  <c r="J365" i="5"/>
  <c r="L365" i="5" s="1"/>
  <c r="M364" i="5"/>
  <c r="J364" i="5"/>
  <c r="L364" i="5" s="1"/>
  <c r="M363" i="5"/>
  <c r="J363" i="5"/>
  <c r="L363" i="5" s="1"/>
  <c r="M362" i="5"/>
  <c r="J362" i="5"/>
  <c r="L362" i="5" s="1"/>
  <c r="M361" i="5"/>
  <c r="J361" i="5"/>
  <c r="L361" i="5" s="1"/>
  <c r="M360" i="5"/>
  <c r="J360" i="5"/>
  <c r="L360" i="5" s="1"/>
  <c r="M359" i="5"/>
  <c r="J359" i="5"/>
  <c r="L359" i="5" s="1"/>
  <c r="M357" i="5"/>
  <c r="J357" i="5"/>
  <c r="L357" i="5" s="1"/>
  <c r="M356" i="5"/>
  <c r="J356" i="5"/>
  <c r="L356" i="5" s="1"/>
  <c r="M355" i="5"/>
  <c r="J355" i="5"/>
  <c r="L355" i="5" s="1"/>
  <c r="M354" i="5"/>
  <c r="J354" i="5"/>
  <c r="L354" i="5" s="1"/>
  <c r="M353" i="5"/>
  <c r="J353" i="5"/>
  <c r="L353" i="5" s="1"/>
  <c r="M352" i="5"/>
  <c r="J352" i="5"/>
  <c r="L352" i="5" s="1"/>
  <c r="M351" i="5"/>
  <c r="J351" i="5"/>
  <c r="L351" i="5" s="1"/>
  <c r="M350" i="5"/>
  <c r="J350" i="5"/>
  <c r="L350" i="5" s="1"/>
  <c r="M349" i="5"/>
  <c r="J349" i="5"/>
  <c r="L349" i="5" s="1"/>
  <c r="M348" i="5"/>
  <c r="J348" i="5"/>
  <c r="L348" i="5" s="1"/>
  <c r="M347" i="5"/>
  <c r="J347" i="5"/>
  <c r="L347" i="5" s="1"/>
  <c r="M346" i="5"/>
  <c r="J346" i="5"/>
  <c r="L346" i="5" s="1"/>
  <c r="M345" i="5"/>
  <c r="J345" i="5"/>
  <c r="L345" i="5" s="1"/>
  <c r="M344" i="5"/>
  <c r="J344" i="5"/>
  <c r="L344" i="5" s="1"/>
  <c r="M343" i="5"/>
  <c r="J343" i="5"/>
  <c r="L343" i="5" s="1"/>
  <c r="M342" i="5"/>
  <c r="J342" i="5"/>
  <c r="L342" i="5" s="1"/>
  <c r="M341" i="5"/>
  <c r="J341" i="5"/>
  <c r="L341" i="5" s="1"/>
  <c r="M340" i="5"/>
  <c r="J340" i="5"/>
  <c r="L340" i="5" s="1"/>
  <c r="M339" i="5"/>
  <c r="J339" i="5"/>
  <c r="L339" i="5" s="1"/>
  <c r="M338" i="5"/>
  <c r="J338" i="5"/>
  <c r="L338" i="5" s="1"/>
  <c r="M337" i="5"/>
  <c r="J337" i="5"/>
  <c r="L337" i="5" s="1"/>
  <c r="M336" i="5"/>
  <c r="J336" i="5"/>
  <c r="L336" i="5" s="1"/>
  <c r="M335" i="5"/>
  <c r="J335" i="5"/>
  <c r="L335" i="5" s="1"/>
  <c r="M334" i="5"/>
  <c r="J334" i="5"/>
  <c r="L334" i="5" s="1"/>
  <c r="M333" i="5"/>
  <c r="J333" i="5"/>
  <c r="L333" i="5" s="1"/>
  <c r="M332" i="5"/>
  <c r="J332" i="5"/>
  <c r="L332" i="5" s="1"/>
  <c r="M331" i="5"/>
  <c r="J331" i="5"/>
  <c r="L331" i="5" s="1"/>
  <c r="M330" i="5"/>
  <c r="J330" i="5"/>
  <c r="L330" i="5" s="1"/>
  <c r="M328" i="5"/>
  <c r="J328" i="5"/>
  <c r="L328" i="5" s="1"/>
  <c r="M327" i="5"/>
  <c r="J327" i="5"/>
  <c r="L327" i="5" s="1"/>
  <c r="M326" i="5"/>
  <c r="J326" i="5"/>
  <c r="L326" i="5" s="1"/>
  <c r="M325" i="5"/>
  <c r="J325" i="5"/>
  <c r="L325" i="5" s="1"/>
  <c r="M324" i="5"/>
  <c r="J324" i="5"/>
  <c r="L324" i="5" s="1"/>
  <c r="M323" i="5"/>
  <c r="J323" i="5"/>
  <c r="L323" i="5" s="1"/>
  <c r="M322" i="5"/>
  <c r="J322" i="5"/>
  <c r="L322" i="5" s="1"/>
  <c r="M320" i="5"/>
  <c r="J320" i="5"/>
  <c r="L320" i="5" s="1"/>
  <c r="M319" i="5"/>
  <c r="J319" i="5"/>
  <c r="L319" i="5" s="1"/>
  <c r="M318" i="5"/>
  <c r="J318" i="5"/>
  <c r="L318" i="5" s="1"/>
  <c r="M317" i="5"/>
  <c r="J317" i="5"/>
  <c r="L317" i="5" s="1"/>
  <c r="M316" i="5"/>
  <c r="J316" i="5"/>
  <c r="L316" i="5" s="1"/>
  <c r="M315" i="5"/>
  <c r="J315" i="5"/>
  <c r="L315" i="5" s="1"/>
  <c r="M313" i="5"/>
  <c r="J313" i="5"/>
  <c r="L313" i="5" s="1"/>
  <c r="M312" i="5"/>
  <c r="J312" i="5"/>
  <c r="L312" i="5" s="1"/>
  <c r="M311" i="5"/>
  <c r="J311" i="5"/>
  <c r="L311" i="5" s="1"/>
  <c r="M310" i="5"/>
  <c r="J310" i="5"/>
  <c r="L310" i="5" s="1"/>
  <c r="M309" i="5"/>
  <c r="J309" i="5"/>
  <c r="L309" i="5" s="1"/>
  <c r="M308" i="5"/>
  <c r="J308" i="5"/>
  <c r="L308" i="5" s="1"/>
  <c r="M307" i="5"/>
  <c r="J307" i="5"/>
  <c r="L307" i="5" s="1"/>
  <c r="M306" i="5"/>
  <c r="J306" i="5"/>
  <c r="L306" i="5" s="1"/>
  <c r="M304" i="5"/>
  <c r="J304" i="5"/>
  <c r="L304" i="5" s="1"/>
  <c r="M303" i="5"/>
  <c r="J303" i="5"/>
  <c r="L303" i="5" s="1"/>
  <c r="M302" i="5"/>
  <c r="J302" i="5"/>
  <c r="L302" i="5" s="1"/>
  <c r="M301" i="5"/>
  <c r="J301" i="5"/>
  <c r="L301" i="5" s="1"/>
  <c r="M299" i="5"/>
  <c r="J299" i="5"/>
  <c r="L299" i="5" s="1"/>
  <c r="M298" i="5"/>
  <c r="J298" i="5"/>
  <c r="L298" i="5" s="1"/>
  <c r="M297" i="5"/>
  <c r="J297" i="5"/>
  <c r="L297" i="5" s="1"/>
  <c r="M296" i="5"/>
  <c r="J296" i="5"/>
  <c r="L296" i="5" s="1"/>
  <c r="M294" i="5"/>
  <c r="J294" i="5"/>
  <c r="L294" i="5" s="1"/>
  <c r="M293" i="5"/>
  <c r="J293" i="5"/>
  <c r="L293" i="5" s="1"/>
  <c r="M292" i="5"/>
  <c r="J292" i="5"/>
  <c r="L292" i="5" s="1"/>
  <c r="M291" i="5"/>
  <c r="J291" i="5"/>
  <c r="L291" i="5" s="1"/>
  <c r="M290" i="5"/>
  <c r="J290" i="5"/>
  <c r="L290" i="5" s="1"/>
  <c r="M289" i="5"/>
  <c r="J289" i="5"/>
  <c r="L289" i="5" s="1"/>
  <c r="M288" i="5"/>
  <c r="J288" i="5"/>
  <c r="L288" i="5" s="1"/>
  <c r="M287" i="5"/>
  <c r="J287" i="5"/>
  <c r="L287" i="5" s="1"/>
  <c r="M286" i="5"/>
  <c r="L286" i="5"/>
  <c r="M285" i="5"/>
  <c r="L285" i="5"/>
  <c r="M284" i="5"/>
  <c r="L284" i="5"/>
  <c r="M283" i="5"/>
  <c r="L283" i="5"/>
  <c r="M282" i="5"/>
  <c r="L282" i="5"/>
  <c r="M281" i="5"/>
  <c r="L281" i="5"/>
  <c r="M280" i="5"/>
  <c r="L280" i="5"/>
  <c r="M278" i="5"/>
  <c r="M238" i="5"/>
  <c r="M221" i="5"/>
  <c r="M195" i="5"/>
  <c r="M193" i="5"/>
  <c r="M153" i="5"/>
  <c r="M151" i="5"/>
  <c r="M148" i="5"/>
  <c r="M99" i="5"/>
  <c r="M90" i="5"/>
  <c r="M81" i="5"/>
  <c r="M72" i="5"/>
  <c r="M54" i="5"/>
  <c r="M52" i="5"/>
  <c r="J52" i="5"/>
  <c r="L52" i="5" s="1"/>
  <c r="M48" i="5"/>
  <c r="K33" i="5"/>
  <c r="K32" i="5"/>
  <c r="K31" i="5"/>
  <c r="K30" i="5"/>
  <c r="K29" i="5"/>
  <c r="K28" i="5"/>
  <c r="K27" i="5"/>
  <c r="M25" i="5"/>
  <c r="M24" i="5"/>
  <c r="K24" i="5"/>
  <c r="J24" i="5" s="1"/>
  <c r="L24" i="5" s="1"/>
  <c r="M21" i="5"/>
  <c r="M19" i="5"/>
  <c r="M17" i="5"/>
  <c r="M16" i="5"/>
  <c r="K16" i="5"/>
  <c r="I16" i="2" s="1"/>
  <c r="S16" i="2" s="1"/>
  <c r="M15" i="5"/>
  <c r="K15" i="5"/>
  <c r="I15" i="2" s="1"/>
  <c r="S15" i="2" s="1"/>
  <c r="M14" i="5"/>
  <c r="K14" i="5"/>
  <c r="J14" i="5" s="1"/>
  <c r="L14" i="5" s="1"/>
  <c r="S20" i="2"/>
  <c r="S21" i="2"/>
  <c r="S23" i="2"/>
  <c r="S24" i="2"/>
  <c r="S25" i="2"/>
  <c r="S27" i="2"/>
  <c r="S28" i="2"/>
  <c r="S35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62" i="2"/>
  <c r="S63" i="2"/>
  <c r="S64" i="2"/>
  <c r="S65" i="2"/>
  <c r="S66" i="2"/>
  <c r="S67" i="2"/>
  <c r="S68" i="2"/>
  <c r="S69" i="2"/>
  <c r="S70" i="2"/>
  <c r="S71" i="2"/>
  <c r="S72" i="2"/>
  <c r="S73" i="2"/>
  <c r="S74" i="2"/>
  <c r="S75" i="2"/>
  <c r="S76" i="2"/>
  <c r="S77" i="2"/>
  <c r="S78" i="2"/>
  <c r="S79" i="2"/>
  <c r="S80" i="2"/>
  <c r="S81" i="2"/>
  <c r="S82" i="2"/>
  <c r="S83" i="2"/>
  <c r="S84" i="2"/>
  <c r="S85" i="2"/>
  <c r="S86" i="2"/>
  <c r="S87" i="2"/>
  <c r="S88" i="2"/>
  <c r="S89" i="2"/>
  <c r="S90" i="2"/>
  <c r="S91" i="2"/>
  <c r="S92" i="2"/>
  <c r="S93" i="2"/>
  <c r="S94" i="2"/>
  <c r="S95" i="2"/>
  <c r="S96" i="2"/>
  <c r="S97" i="2"/>
  <c r="S98" i="2"/>
  <c r="S99" i="2"/>
  <c r="S100" i="2"/>
  <c r="S101" i="2"/>
  <c r="S102" i="2"/>
  <c r="S103" i="2"/>
  <c r="S104" i="2"/>
  <c r="S105" i="2"/>
  <c r="S106" i="2"/>
  <c r="S107" i="2"/>
  <c r="S108" i="2"/>
  <c r="S109" i="2"/>
  <c r="S110" i="2"/>
  <c r="S111" i="2"/>
  <c r="S112" i="2"/>
  <c r="S113" i="2"/>
  <c r="S114" i="2"/>
  <c r="S115" i="2"/>
  <c r="S116" i="2"/>
  <c r="S117" i="2"/>
  <c r="S118" i="2"/>
  <c r="S119" i="2"/>
  <c r="S120" i="2"/>
  <c r="S121" i="2"/>
  <c r="S122" i="2"/>
  <c r="S123" i="2"/>
  <c r="S124" i="2"/>
  <c r="S125" i="2"/>
  <c r="S126" i="2"/>
  <c r="S127" i="2"/>
  <c r="S128" i="2"/>
  <c r="S129" i="2"/>
  <c r="S130" i="2"/>
  <c r="S131" i="2"/>
  <c r="S132" i="2"/>
  <c r="S133" i="2"/>
  <c r="S134" i="2"/>
  <c r="S135" i="2"/>
  <c r="S136" i="2"/>
  <c r="S137" i="2"/>
  <c r="S138" i="2"/>
  <c r="S139" i="2"/>
  <c r="S140" i="2"/>
  <c r="S141" i="2"/>
  <c r="S142" i="2"/>
  <c r="S143" i="2"/>
  <c r="S144" i="2"/>
  <c r="S145" i="2"/>
  <c r="S146" i="2"/>
  <c r="S147" i="2"/>
  <c r="S148" i="2"/>
  <c r="S149" i="2"/>
  <c r="S150" i="2"/>
  <c r="S151" i="2"/>
  <c r="S152" i="2"/>
  <c r="S153" i="2"/>
  <c r="S154" i="2"/>
  <c r="S155" i="2"/>
  <c r="S156" i="2"/>
  <c r="S157" i="2"/>
  <c r="S158" i="2"/>
  <c r="S159" i="2"/>
  <c r="S160" i="2"/>
  <c r="S161" i="2"/>
  <c r="S162" i="2"/>
  <c r="S163" i="2"/>
  <c r="S164" i="2"/>
  <c r="S165" i="2"/>
  <c r="S166" i="2"/>
  <c r="S167" i="2"/>
  <c r="S168" i="2"/>
  <c r="S169" i="2"/>
  <c r="S170" i="2"/>
  <c r="S171" i="2"/>
  <c r="S172" i="2"/>
  <c r="S173" i="2"/>
  <c r="S174" i="2"/>
  <c r="S175" i="2"/>
  <c r="S176" i="2"/>
  <c r="S177" i="2"/>
  <c r="S178" i="2"/>
  <c r="S179" i="2"/>
  <c r="S180" i="2"/>
  <c r="S181" i="2"/>
  <c r="S182" i="2"/>
  <c r="S183" i="2"/>
  <c r="S184" i="2"/>
  <c r="S185" i="2"/>
  <c r="S186" i="2"/>
  <c r="S187" i="2"/>
  <c r="S188" i="2"/>
  <c r="S189" i="2"/>
  <c r="S190" i="2"/>
  <c r="S191" i="2"/>
  <c r="S192" i="2"/>
  <c r="S193" i="2"/>
  <c r="S194" i="2"/>
  <c r="S195" i="2"/>
  <c r="S14" i="2"/>
  <c r="K17" i="3"/>
  <c r="K99" i="5" l="1"/>
  <c r="S31" i="2"/>
  <c r="Y31" i="2" s="1"/>
  <c r="AA31" i="2" s="1"/>
  <c r="G152" i="5"/>
  <c r="K152" i="5" s="1"/>
  <c r="I33" i="2"/>
  <c r="S33" i="2" s="1"/>
  <c r="Y33" i="2" s="1"/>
  <c r="I36" i="2"/>
  <c r="S36" i="2" s="1"/>
  <c r="Y36" i="2" s="1"/>
  <c r="K90" i="5"/>
  <c r="I29" i="2" s="1"/>
  <c r="S29" i="2" s="1"/>
  <c r="Y29" i="2" s="1"/>
  <c r="K81" i="5"/>
  <c r="K72" i="5"/>
  <c r="I26" i="2"/>
  <c r="S26" i="2" s="1"/>
  <c r="Y26" i="2" s="1"/>
  <c r="K25" i="5"/>
  <c r="I22" i="2" s="1"/>
  <c r="S22" i="2" s="1"/>
  <c r="N390" i="5"/>
  <c r="N394" i="5"/>
  <c r="N398" i="5"/>
  <c r="N407" i="5"/>
  <c r="N411" i="5"/>
  <c r="N441" i="5"/>
  <c r="N445" i="5"/>
  <c r="N380" i="5"/>
  <c r="N298" i="5"/>
  <c r="N369" i="5"/>
  <c r="N308" i="5"/>
  <c r="N283" i="5"/>
  <c r="N291" i="5"/>
  <c r="N319" i="5"/>
  <c r="N324" i="5"/>
  <c r="N349" i="5"/>
  <c r="N353" i="5"/>
  <c r="K437" i="5"/>
  <c r="N443" i="5"/>
  <c r="N378" i="5"/>
  <c r="N24" i="5"/>
  <c r="N317" i="5"/>
  <c r="N335" i="5"/>
  <c r="N327" i="5"/>
  <c r="N366" i="5"/>
  <c r="N310" i="5"/>
  <c r="N328" i="5"/>
  <c r="N330" i="5"/>
  <c r="N346" i="5"/>
  <c r="N285" i="5"/>
  <c r="N289" i="5"/>
  <c r="N293" i="5"/>
  <c r="N331" i="5"/>
  <c r="N347" i="5"/>
  <c r="N355" i="5"/>
  <c r="N360" i="5"/>
  <c r="N309" i="5"/>
  <c r="N14" i="5"/>
  <c r="N301" i="5"/>
  <c r="N306" i="5"/>
  <c r="N343" i="5"/>
  <c r="N351" i="5"/>
  <c r="N373" i="5"/>
  <c r="N333" i="5"/>
  <c r="N348" i="5"/>
  <c r="N386" i="5"/>
  <c r="N403" i="5"/>
  <c r="N281" i="5"/>
  <c r="N357" i="5"/>
  <c r="N303" i="5"/>
  <c r="N345" i="5"/>
  <c r="N371" i="5"/>
  <c r="N375" i="5"/>
  <c r="N404" i="5"/>
  <c r="N408" i="5"/>
  <c r="N412" i="5"/>
  <c r="N294" i="5"/>
  <c r="N326" i="5"/>
  <c r="N362" i="5"/>
  <c r="N405" i="5"/>
  <c r="N409" i="5"/>
  <c r="N448" i="5"/>
  <c r="N442" i="5"/>
  <c r="N447" i="5"/>
  <c r="N440" i="5"/>
  <c r="N444" i="5"/>
  <c r="N313" i="5"/>
  <c r="N361" i="5"/>
  <c r="N381" i="5"/>
  <c r="N292" i="5"/>
  <c r="N315" i="5"/>
  <c r="N339" i="5"/>
  <c r="N365" i="5"/>
  <c r="N382" i="5"/>
  <c r="N414" i="5"/>
  <c r="N332" i="5"/>
  <c r="N379" i="5"/>
  <c r="N287" i="5"/>
  <c r="N290" i="5"/>
  <c r="N311" i="5"/>
  <c r="N383" i="5"/>
  <c r="K415" i="5"/>
  <c r="J415" i="5" s="1"/>
  <c r="L415" i="5" s="1"/>
  <c r="N415" i="5" s="1"/>
  <c r="N312" i="5"/>
  <c r="N337" i="5"/>
  <c r="N341" i="5"/>
  <c r="N344" i="5"/>
  <c r="N363" i="5"/>
  <c r="N384" i="5"/>
  <c r="N296" i="5"/>
  <c r="N322" i="5"/>
  <c r="N364" i="5"/>
  <c r="N388" i="5"/>
  <c r="N392" i="5"/>
  <c r="N396" i="5"/>
  <c r="N401" i="5"/>
  <c r="K426" i="5"/>
  <c r="G432" i="5" s="1"/>
  <c r="K431" i="5" s="1"/>
  <c r="N376" i="5"/>
  <c r="N52" i="5"/>
  <c r="N282" i="5"/>
  <c r="N299" i="5"/>
  <c r="N318" i="5"/>
  <c r="N336" i="5"/>
  <c r="N352" i="5"/>
  <c r="N370" i="5"/>
  <c r="N387" i="5"/>
  <c r="N406" i="5"/>
  <c r="N410" i="5"/>
  <c r="N325" i="5"/>
  <c r="N359" i="5"/>
  <c r="N307" i="5"/>
  <c r="N286" i="5"/>
  <c r="N304" i="5"/>
  <c r="N323" i="5"/>
  <c r="N340" i="5"/>
  <c r="N356" i="5"/>
  <c r="N374" i="5"/>
  <c r="N391" i="5"/>
  <c r="N342" i="5"/>
  <c r="N393" i="5"/>
  <c r="N280" i="5"/>
  <c r="N297" i="5"/>
  <c r="N316" i="5"/>
  <c r="N334" i="5"/>
  <c r="N350" i="5"/>
  <c r="N368" i="5"/>
  <c r="N385" i="5"/>
  <c r="N395" i="5"/>
  <c r="N399" i="5"/>
  <c r="N288" i="5"/>
  <c r="N397" i="5"/>
  <c r="N402" i="5"/>
  <c r="N284" i="5"/>
  <c r="N302" i="5"/>
  <c r="N320" i="5"/>
  <c r="N338" i="5"/>
  <c r="N354" i="5"/>
  <c r="N372" i="5"/>
  <c r="N389" i="5"/>
  <c r="K205" i="3"/>
  <c r="K204" i="3" s="1"/>
  <c r="H185" i="2" s="1"/>
  <c r="R185" i="2" s="1"/>
  <c r="Y185" i="2" s="1"/>
  <c r="K197" i="3"/>
  <c r="K203" i="3"/>
  <c r="K202" i="3" s="1"/>
  <c r="H184" i="2" s="1"/>
  <c r="R184" i="2" s="1"/>
  <c r="Y184" i="2" s="1"/>
  <c r="K208" i="3"/>
  <c r="K207" i="3"/>
  <c r="K206" i="3" s="1"/>
  <c r="H186" i="2" s="1"/>
  <c r="R186" i="2" s="1"/>
  <c r="Y186" i="2" s="1"/>
  <c r="K193" i="3"/>
  <c r="H180" i="2" s="1"/>
  <c r="R180" i="2" s="1"/>
  <c r="Y180" i="2" s="1"/>
  <c r="R176" i="2"/>
  <c r="K196" i="3"/>
  <c r="Y18" i="2"/>
  <c r="Y19" i="2"/>
  <c r="Y20" i="2"/>
  <c r="Y24" i="2"/>
  <c r="Y25" i="2"/>
  <c r="Y27" i="2"/>
  <c r="Y28" i="2"/>
  <c r="Y34" i="2"/>
  <c r="Y35" i="2"/>
  <c r="Y37" i="2"/>
  <c r="Y38" i="2"/>
  <c r="Y39" i="2"/>
  <c r="Y40" i="2"/>
  <c r="Y41" i="2"/>
  <c r="Y42" i="2"/>
  <c r="Y43" i="2"/>
  <c r="Y44" i="2"/>
  <c r="Y45" i="2"/>
  <c r="Y46" i="2"/>
  <c r="Y47" i="2"/>
  <c r="Y48" i="2"/>
  <c r="Y49" i="2"/>
  <c r="Y50" i="2"/>
  <c r="Y51" i="2"/>
  <c r="Y52" i="2"/>
  <c r="Y53" i="2"/>
  <c r="Y54" i="2"/>
  <c r="Y55" i="2"/>
  <c r="Y56" i="2"/>
  <c r="Y57" i="2"/>
  <c r="Y58" i="2"/>
  <c r="Y59" i="2"/>
  <c r="Y60" i="2"/>
  <c r="Y61" i="2"/>
  <c r="Y62" i="2"/>
  <c r="Y63" i="2"/>
  <c r="Y64" i="2"/>
  <c r="Y65" i="2"/>
  <c r="Y66" i="2"/>
  <c r="Y67" i="2"/>
  <c r="Y68" i="2"/>
  <c r="Y69" i="2"/>
  <c r="Y70" i="2"/>
  <c r="Y71" i="2"/>
  <c r="Y72" i="2"/>
  <c r="Y73" i="2"/>
  <c r="Y74" i="2"/>
  <c r="Y75" i="2"/>
  <c r="Y76" i="2"/>
  <c r="Y77" i="2"/>
  <c r="Y78" i="2"/>
  <c r="Y79" i="2"/>
  <c r="Y80" i="2"/>
  <c r="Y81" i="2"/>
  <c r="Y82" i="2"/>
  <c r="Y83" i="2"/>
  <c r="Y84" i="2"/>
  <c r="Y85" i="2"/>
  <c r="Y86" i="2"/>
  <c r="Y87" i="2"/>
  <c r="Y88" i="2"/>
  <c r="Y89" i="2"/>
  <c r="Y90" i="2"/>
  <c r="Y91" i="2"/>
  <c r="Y92" i="2"/>
  <c r="Y93" i="2"/>
  <c r="Y94" i="2"/>
  <c r="Y95" i="2"/>
  <c r="Y96" i="2"/>
  <c r="Y97" i="2"/>
  <c r="Y98" i="2"/>
  <c r="Y99" i="2"/>
  <c r="Y100" i="2"/>
  <c r="Y101" i="2"/>
  <c r="Y102" i="2"/>
  <c r="Y103" i="2"/>
  <c r="Y104" i="2"/>
  <c r="Y105" i="2"/>
  <c r="Y106" i="2"/>
  <c r="Y107" i="2"/>
  <c r="Y108" i="2"/>
  <c r="Y109" i="2"/>
  <c r="Y110" i="2"/>
  <c r="Y111" i="2"/>
  <c r="Y112" i="2"/>
  <c r="Y113" i="2"/>
  <c r="Y114" i="2"/>
  <c r="Y115" i="2"/>
  <c r="Y116" i="2"/>
  <c r="Y117" i="2"/>
  <c r="Y118" i="2"/>
  <c r="Y119" i="2"/>
  <c r="Y120" i="2"/>
  <c r="Y121" i="2"/>
  <c r="Y122" i="2"/>
  <c r="Y123" i="2"/>
  <c r="Y124" i="2"/>
  <c r="Y125" i="2"/>
  <c r="Y126" i="2"/>
  <c r="Y127" i="2"/>
  <c r="Y128" i="2"/>
  <c r="Y129" i="2"/>
  <c r="Y130" i="2"/>
  <c r="Y131" i="2"/>
  <c r="Y132" i="2"/>
  <c r="Y133" i="2"/>
  <c r="Y134" i="2"/>
  <c r="Y135" i="2"/>
  <c r="Y136" i="2"/>
  <c r="Y137" i="2"/>
  <c r="Y138" i="2"/>
  <c r="Y139" i="2"/>
  <c r="Y140" i="2"/>
  <c r="Y141" i="2"/>
  <c r="Y142" i="2"/>
  <c r="Y143" i="2"/>
  <c r="Y144" i="2"/>
  <c r="Y145" i="2"/>
  <c r="Y146" i="2"/>
  <c r="Y147" i="2"/>
  <c r="Y148" i="2"/>
  <c r="Y149" i="2"/>
  <c r="Y150" i="2"/>
  <c r="Y151" i="2"/>
  <c r="Y152" i="2"/>
  <c r="Y153" i="2"/>
  <c r="Y154" i="2"/>
  <c r="Y155" i="2"/>
  <c r="Y156" i="2"/>
  <c r="Y157" i="2"/>
  <c r="Y158" i="2"/>
  <c r="Y159" i="2"/>
  <c r="Y160" i="2"/>
  <c r="Y161" i="2"/>
  <c r="Y162" i="2"/>
  <c r="Y163" i="2"/>
  <c r="Y164" i="2"/>
  <c r="Y165" i="2"/>
  <c r="Y166" i="2"/>
  <c r="Y167" i="2"/>
  <c r="Y168" i="2"/>
  <c r="Y169" i="2"/>
  <c r="Y170" i="2"/>
  <c r="Y171" i="2"/>
  <c r="Y172" i="2"/>
  <c r="Y173" i="2"/>
  <c r="Y177" i="2"/>
  <c r="Y187" i="2"/>
  <c r="Y188" i="2"/>
  <c r="Y189" i="2"/>
  <c r="Y190" i="2"/>
  <c r="Y191" i="2"/>
  <c r="Y192" i="2"/>
  <c r="Y193" i="2"/>
  <c r="Y194" i="2"/>
  <c r="Y195" i="2"/>
  <c r="R18" i="2"/>
  <c r="R19" i="2"/>
  <c r="R20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R56" i="2"/>
  <c r="R57" i="2"/>
  <c r="R58" i="2"/>
  <c r="R59" i="2"/>
  <c r="R60" i="2"/>
  <c r="R61" i="2"/>
  <c r="R62" i="2"/>
  <c r="R63" i="2"/>
  <c r="R64" i="2"/>
  <c r="R65" i="2"/>
  <c r="R66" i="2"/>
  <c r="R67" i="2"/>
  <c r="R68" i="2"/>
  <c r="R69" i="2"/>
  <c r="R70" i="2"/>
  <c r="R71" i="2"/>
  <c r="R72" i="2"/>
  <c r="R73" i="2"/>
  <c r="R74" i="2"/>
  <c r="R75" i="2"/>
  <c r="R76" i="2"/>
  <c r="R77" i="2"/>
  <c r="R78" i="2"/>
  <c r="R79" i="2"/>
  <c r="R80" i="2"/>
  <c r="R81" i="2"/>
  <c r="R82" i="2"/>
  <c r="R83" i="2"/>
  <c r="R84" i="2"/>
  <c r="R85" i="2"/>
  <c r="R86" i="2"/>
  <c r="R87" i="2"/>
  <c r="R88" i="2"/>
  <c r="R89" i="2"/>
  <c r="R90" i="2"/>
  <c r="R91" i="2"/>
  <c r="R92" i="2"/>
  <c r="R93" i="2"/>
  <c r="R94" i="2"/>
  <c r="R95" i="2"/>
  <c r="R96" i="2"/>
  <c r="R97" i="2"/>
  <c r="R98" i="2"/>
  <c r="R99" i="2"/>
  <c r="R100" i="2"/>
  <c r="R101" i="2"/>
  <c r="R102" i="2"/>
  <c r="R103" i="2"/>
  <c r="R104" i="2"/>
  <c r="R105" i="2"/>
  <c r="R106" i="2"/>
  <c r="R107" i="2"/>
  <c r="R108" i="2"/>
  <c r="R109" i="2"/>
  <c r="R110" i="2"/>
  <c r="R111" i="2"/>
  <c r="R112" i="2"/>
  <c r="R113" i="2"/>
  <c r="R114" i="2"/>
  <c r="R115" i="2"/>
  <c r="R116" i="2"/>
  <c r="R117" i="2"/>
  <c r="R118" i="2"/>
  <c r="R119" i="2"/>
  <c r="R120" i="2"/>
  <c r="R121" i="2"/>
  <c r="R122" i="2"/>
  <c r="R123" i="2"/>
  <c r="R124" i="2"/>
  <c r="R125" i="2"/>
  <c r="R126" i="2"/>
  <c r="R127" i="2"/>
  <c r="R128" i="2"/>
  <c r="R129" i="2"/>
  <c r="R130" i="2"/>
  <c r="R131" i="2"/>
  <c r="R132" i="2"/>
  <c r="R133" i="2"/>
  <c r="R134" i="2"/>
  <c r="R135" i="2"/>
  <c r="R136" i="2"/>
  <c r="R137" i="2"/>
  <c r="R138" i="2"/>
  <c r="R139" i="2"/>
  <c r="R140" i="2"/>
  <c r="R141" i="2"/>
  <c r="R142" i="2"/>
  <c r="R143" i="2"/>
  <c r="R144" i="2"/>
  <c r="R145" i="2"/>
  <c r="R146" i="2"/>
  <c r="R147" i="2"/>
  <c r="R148" i="2"/>
  <c r="R149" i="2"/>
  <c r="R150" i="2"/>
  <c r="R151" i="2"/>
  <c r="R152" i="2"/>
  <c r="R153" i="2"/>
  <c r="R154" i="2"/>
  <c r="R155" i="2"/>
  <c r="R156" i="2"/>
  <c r="R157" i="2"/>
  <c r="R158" i="2"/>
  <c r="R159" i="2"/>
  <c r="R160" i="2"/>
  <c r="R161" i="2"/>
  <c r="R162" i="2"/>
  <c r="R163" i="2"/>
  <c r="R164" i="2"/>
  <c r="R165" i="2"/>
  <c r="R166" i="2"/>
  <c r="R167" i="2"/>
  <c r="R168" i="2"/>
  <c r="R169" i="2"/>
  <c r="R170" i="2"/>
  <c r="R171" i="2"/>
  <c r="R172" i="2"/>
  <c r="R173" i="2"/>
  <c r="R177" i="2"/>
  <c r="R187" i="2"/>
  <c r="R188" i="2"/>
  <c r="R189" i="2"/>
  <c r="R190" i="2"/>
  <c r="R191" i="2"/>
  <c r="R192" i="2"/>
  <c r="R193" i="2"/>
  <c r="R194" i="2"/>
  <c r="R195" i="2"/>
  <c r="R23" i="2"/>
  <c r="Y23" i="2" s="1"/>
  <c r="K199" i="3"/>
  <c r="K192" i="3"/>
  <c r="H179" i="2" s="1"/>
  <c r="R179" i="2" s="1"/>
  <c r="Y179" i="2" s="1"/>
  <c r="K191" i="3"/>
  <c r="H178" i="2" s="1"/>
  <c r="R178" i="2" s="1"/>
  <c r="Y178" i="2" s="1"/>
  <c r="Y176" i="2"/>
  <c r="K186" i="3"/>
  <c r="K185" i="3"/>
  <c r="K183" i="3"/>
  <c r="H174" i="2" s="1"/>
  <c r="R174" i="2" s="1"/>
  <c r="Y174" i="2" s="1"/>
  <c r="K25" i="3"/>
  <c r="K26" i="3"/>
  <c r="K27" i="3"/>
  <c r="K28" i="3"/>
  <c r="K29" i="3"/>
  <c r="K30" i="3"/>
  <c r="K24" i="3"/>
  <c r="K22" i="3"/>
  <c r="H21" i="2" s="1"/>
  <c r="R21" i="2" s="1"/>
  <c r="Y21" i="2" s="1"/>
  <c r="K20" i="3"/>
  <c r="R17" i="2" s="1"/>
  <c r="Y17" i="2" s="1"/>
  <c r="K16" i="3"/>
  <c r="R16" i="2" s="1"/>
  <c r="Y16" i="2" s="1"/>
  <c r="K15" i="3"/>
  <c r="R15" i="2" s="1"/>
  <c r="Y15" i="2" s="1"/>
  <c r="K14" i="3"/>
  <c r="H14" i="2" s="1"/>
  <c r="I30" i="2" l="1"/>
  <c r="S30" i="2" s="1"/>
  <c r="Y30" i="2" s="1"/>
  <c r="K151" i="5"/>
  <c r="S32" i="2" s="1"/>
  <c r="Y32" i="2" s="1"/>
  <c r="AA32" i="2" s="1"/>
  <c r="O36" i="2"/>
  <c r="J221" i="5" s="1"/>
  <c r="S196" i="2"/>
  <c r="E8" i="2" s="1"/>
  <c r="E8" i="6" s="1"/>
  <c r="R182" i="2"/>
  <c r="Y182" i="2" s="1"/>
  <c r="K195" i="3"/>
  <c r="K184" i="3"/>
  <c r="R175" i="2" s="1"/>
  <c r="Y175" i="2" s="1"/>
  <c r="K23" i="3"/>
  <c r="H22" i="2" s="1"/>
  <c r="R22" i="2" s="1"/>
  <c r="Y22" i="2" s="1"/>
  <c r="O193" i="2"/>
  <c r="O194" i="2"/>
  <c r="J216" i="3" s="1"/>
  <c r="L216" i="3" s="1"/>
  <c r="O195" i="2"/>
  <c r="J217" i="3" s="1"/>
  <c r="L217" i="3" s="1"/>
  <c r="M16" i="3"/>
  <c r="M17" i="3"/>
  <c r="M18" i="3"/>
  <c r="M19" i="3"/>
  <c r="M22" i="3"/>
  <c r="M23" i="3"/>
  <c r="M31" i="3"/>
  <c r="M32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4" i="3"/>
  <c r="M65" i="3"/>
  <c r="M66" i="3"/>
  <c r="M67" i="3"/>
  <c r="M69" i="3"/>
  <c r="M70" i="3"/>
  <c r="M71" i="3"/>
  <c r="M72" i="3"/>
  <c r="M74" i="3"/>
  <c r="M75" i="3"/>
  <c r="M76" i="3"/>
  <c r="M77" i="3"/>
  <c r="M78" i="3"/>
  <c r="M79" i="3"/>
  <c r="M80" i="3"/>
  <c r="M81" i="3"/>
  <c r="M83" i="3"/>
  <c r="M84" i="3"/>
  <c r="M85" i="3"/>
  <c r="M86" i="3"/>
  <c r="M87" i="3"/>
  <c r="M88" i="3"/>
  <c r="M90" i="3"/>
  <c r="M91" i="3"/>
  <c r="M92" i="3"/>
  <c r="M93" i="3"/>
  <c r="M94" i="3"/>
  <c r="M95" i="3"/>
  <c r="M96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112" i="3"/>
  <c r="M113" i="3"/>
  <c r="M114" i="3"/>
  <c r="M115" i="3"/>
  <c r="M116" i="3"/>
  <c r="M117" i="3"/>
  <c r="M118" i="3"/>
  <c r="M119" i="3"/>
  <c r="M120" i="3"/>
  <c r="M121" i="3"/>
  <c r="M122" i="3"/>
  <c r="M123" i="3"/>
  <c r="M124" i="3"/>
  <c r="M125" i="3"/>
  <c r="M127" i="3"/>
  <c r="M128" i="3"/>
  <c r="M129" i="3"/>
  <c r="M130" i="3"/>
  <c r="M131" i="3"/>
  <c r="M132" i="3"/>
  <c r="M133" i="3"/>
  <c r="M134" i="3"/>
  <c r="M136" i="3"/>
  <c r="M137" i="3"/>
  <c r="M138" i="3"/>
  <c r="M139" i="3"/>
  <c r="M140" i="3"/>
  <c r="M141" i="3"/>
  <c r="M142" i="3"/>
  <c r="M143" i="3"/>
  <c r="M144" i="3"/>
  <c r="M146" i="3"/>
  <c r="M147" i="3"/>
  <c r="M148" i="3"/>
  <c r="M149" i="3"/>
  <c r="M150" i="3"/>
  <c r="M151" i="3"/>
  <c r="M152" i="3"/>
  <c r="M153" i="3"/>
  <c r="M154" i="3"/>
  <c r="M155" i="3"/>
  <c r="M156" i="3"/>
  <c r="M157" i="3"/>
  <c r="M158" i="3"/>
  <c r="M159" i="3"/>
  <c r="M160" i="3"/>
  <c r="M161" i="3"/>
  <c r="M162" i="3"/>
  <c r="M163" i="3"/>
  <c r="M164" i="3"/>
  <c r="M165" i="3"/>
  <c r="M166" i="3"/>
  <c r="M167" i="3"/>
  <c r="M169" i="3"/>
  <c r="M170" i="3"/>
  <c r="M171" i="3"/>
  <c r="M172" i="3"/>
  <c r="M173" i="3"/>
  <c r="M174" i="3"/>
  <c r="M175" i="3"/>
  <c r="M176" i="3"/>
  <c r="M177" i="3"/>
  <c r="M178" i="3"/>
  <c r="M179" i="3"/>
  <c r="M180" i="3"/>
  <c r="M183" i="3"/>
  <c r="M184" i="3"/>
  <c r="M187" i="3"/>
  <c r="M188" i="3"/>
  <c r="M191" i="3"/>
  <c r="M192" i="3"/>
  <c r="M193" i="3"/>
  <c r="M195" i="3"/>
  <c r="M199" i="3"/>
  <c r="M200" i="3"/>
  <c r="M202" i="3"/>
  <c r="M204" i="3"/>
  <c r="M206" i="3"/>
  <c r="M209" i="3"/>
  <c r="M210" i="3"/>
  <c r="M211" i="3"/>
  <c r="M212" i="3"/>
  <c r="M213" i="3"/>
  <c r="M214" i="3"/>
  <c r="M216" i="3"/>
  <c r="M217" i="3"/>
  <c r="M15" i="3"/>
  <c r="M14" i="3"/>
  <c r="Q40" i="2"/>
  <c r="Q37" i="2"/>
  <c r="L221" i="5" l="1"/>
  <c r="N221" i="5" s="1"/>
  <c r="E8" i="5"/>
  <c r="G201" i="3"/>
  <c r="K200" i="3" s="1"/>
  <c r="H183" i="2" s="1"/>
  <c r="R183" i="2" s="1"/>
  <c r="Y183" i="2" s="1"/>
  <c r="H181" i="2"/>
  <c r="R181" i="2" s="1"/>
  <c r="Y181" i="2" s="1"/>
  <c r="N216" i="3"/>
  <c r="N217" i="3"/>
  <c r="Z20" i="2" l="1"/>
  <c r="Z25" i="2"/>
  <c r="Z37" i="2"/>
  <c r="Z39" i="2"/>
  <c r="Z55" i="2"/>
  <c r="Z60" i="2"/>
  <c r="Z65" i="2"/>
  <c r="Z74" i="2"/>
  <c r="Z81" i="2"/>
  <c r="Z89" i="2"/>
  <c r="Z118" i="2"/>
  <c r="Z127" i="2"/>
  <c r="Z137" i="2"/>
  <c r="Z160" i="2"/>
  <c r="Z173" i="2"/>
  <c r="Z193" i="2"/>
  <c r="O15" i="2"/>
  <c r="J15" i="5" s="1"/>
  <c r="O16" i="2"/>
  <c r="O17" i="2"/>
  <c r="J17" i="5" s="1"/>
  <c r="L17" i="5" s="1"/>
  <c r="N17" i="5" s="1"/>
  <c r="O18" i="2"/>
  <c r="J19" i="5" s="1"/>
  <c r="L19" i="5" s="1"/>
  <c r="N19" i="5" s="1"/>
  <c r="O19" i="2"/>
  <c r="J21" i="5" s="1"/>
  <c r="L21" i="5" s="1"/>
  <c r="N21" i="5" s="1"/>
  <c r="O21" i="2"/>
  <c r="O22" i="2"/>
  <c r="J25" i="5" s="1"/>
  <c r="O23" i="2"/>
  <c r="J48" i="5" s="1"/>
  <c r="L48" i="5" s="1"/>
  <c r="N48" i="5" s="1"/>
  <c r="O24" i="2"/>
  <c r="O26" i="2"/>
  <c r="J54" i="5" s="1"/>
  <c r="L54" i="5" s="1"/>
  <c r="N54" i="5" s="1"/>
  <c r="O27" i="2"/>
  <c r="J72" i="5" s="1"/>
  <c r="L72" i="5" s="1"/>
  <c r="N72" i="5" s="1"/>
  <c r="O28" i="2"/>
  <c r="J81" i="5" s="1"/>
  <c r="L81" i="5" s="1"/>
  <c r="N81" i="5" s="1"/>
  <c r="O29" i="2"/>
  <c r="J90" i="5" s="1"/>
  <c r="L90" i="5" s="1"/>
  <c r="N90" i="5" s="1"/>
  <c r="O30" i="2"/>
  <c r="J99" i="5" s="1"/>
  <c r="L99" i="5" s="1"/>
  <c r="N99" i="5" s="1"/>
  <c r="O31" i="2"/>
  <c r="J148" i="5" s="1"/>
  <c r="L148" i="5" s="1"/>
  <c r="N148" i="5" s="1"/>
  <c r="O32" i="2"/>
  <c r="O33" i="2"/>
  <c r="O34" i="2"/>
  <c r="J193" i="5" s="1"/>
  <c r="O35" i="2"/>
  <c r="L195" i="5" s="1"/>
  <c r="N195" i="5" s="1"/>
  <c r="O37" i="2"/>
  <c r="J238" i="5" s="1"/>
  <c r="O38" i="2"/>
  <c r="L278" i="5" s="1"/>
  <c r="N278" i="5" s="1"/>
  <c r="O40" i="2"/>
  <c r="O41" i="2"/>
  <c r="J49" i="3" s="1"/>
  <c r="L49" i="3" s="1"/>
  <c r="N49" i="3" s="1"/>
  <c r="O42" i="2"/>
  <c r="J50" i="3" s="1"/>
  <c r="L50" i="3" s="1"/>
  <c r="N50" i="3" s="1"/>
  <c r="O43" i="2"/>
  <c r="O44" i="2"/>
  <c r="O45" i="2"/>
  <c r="O46" i="2"/>
  <c r="O47" i="2"/>
  <c r="O48" i="2"/>
  <c r="O49" i="2"/>
  <c r="O50" i="2"/>
  <c r="O51" i="2"/>
  <c r="O52" i="2"/>
  <c r="O53" i="2"/>
  <c r="O54" i="2"/>
  <c r="O56" i="2"/>
  <c r="O57" i="2"/>
  <c r="O58" i="2"/>
  <c r="O59" i="2"/>
  <c r="O61" i="2"/>
  <c r="O62" i="2"/>
  <c r="O63" i="2"/>
  <c r="O64" i="2"/>
  <c r="O66" i="2"/>
  <c r="O67" i="2"/>
  <c r="J75" i="3" s="1"/>
  <c r="L75" i="3" s="1"/>
  <c r="N75" i="3" s="1"/>
  <c r="O68" i="2"/>
  <c r="J76" i="3" s="1"/>
  <c r="L76" i="3" s="1"/>
  <c r="N76" i="3" s="1"/>
  <c r="O69" i="2"/>
  <c r="O70" i="2"/>
  <c r="O71" i="2"/>
  <c r="O72" i="2"/>
  <c r="O73" i="2"/>
  <c r="O75" i="2"/>
  <c r="O76" i="2"/>
  <c r="O77" i="2"/>
  <c r="O78" i="2"/>
  <c r="O79" i="2"/>
  <c r="O80" i="2"/>
  <c r="O82" i="2"/>
  <c r="O83" i="2"/>
  <c r="O84" i="2"/>
  <c r="O85" i="2"/>
  <c r="O86" i="2"/>
  <c r="O87" i="2"/>
  <c r="J95" i="3" s="1"/>
  <c r="L95" i="3" s="1"/>
  <c r="N95" i="3" s="1"/>
  <c r="O88" i="2"/>
  <c r="O90" i="2"/>
  <c r="O91" i="2"/>
  <c r="O92" i="2"/>
  <c r="O93" i="2"/>
  <c r="O94" i="2"/>
  <c r="J102" i="3" s="1"/>
  <c r="L102" i="3" s="1"/>
  <c r="N102" i="3" s="1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J119" i="3" s="1"/>
  <c r="L119" i="3" s="1"/>
  <c r="N119" i="3" s="1"/>
  <c r="O112" i="2"/>
  <c r="J120" i="3" s="1"/>
  <c r="L120" i="3" s="1"/>
  <c r="N120" i="3" s="1"/>
  <c r="O113" i="2"/>
  <c r="O114" i="2"/>
  <c r="O115" i="2"/>
  <c r="O116" i="2"/>
  <c r="O117" i="2"/>
  <c r="O119" i="2"/>
  <c r="O120" i="2"/>
  <c r="O121" i="2"/>
  <c r="O122" i="2"/>
  <c r="O123" i="2"/>
  <c r="O124" i="2"/>
  <c r="O125" i="2"/>
  <c r="O126" i="2"/>
  <c r="O128" i="2"/>
  <c r="O129" i="2"/>
  <c r="O130" i="2"/>
  <c r="O131" i="2"/>
  <c r="O132" i="2"/>
  <c r="O133" i="2"/>
  <c r="O134" i="2"/>
  <c r="O135" i="2"/>
  <c r="O136" i="2"/>
  <c r="J144" i="3" s="1"/>
  <c r="L144" i="3" s="1"/>
  <c r="N144" i="3" s="1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4" i="2"/>
  <c r="O175" i="2"/>
  <c r="O176" i="2"/>
  <c r="J418" i="5" s="1"/>
  <c r="L418" i="5" s="1"/>
  <c r="N418" i="5" s="1"/>
  <c r="O177" i="2"/>
  <c r="J421" i="5" s="1"/>
  <c r="L421" i="5" s="1"/>
  <c r="N421" i="5" s="1"/>
  <c r="O178" i="2"/>
  <c r="J422" i="5" s="1"/>
  <c r="L422" i="5" s="1"/>
  <c r="N422" i="5" s="1"/>
  <c r="O179" i="2"/>
  <c r="J423" i="5" s="1"/>
  <c r="L423" i="5" s="1"/>
  <c r="N423" i="5" s="1"/>
  <c r="O180" i="2"/>
  <c r="J424" i="5" s="1"/>
  <c r="L424" i="5" s="1"/>
  <c r="N424" i="5" s="1"/>
  <c r="O181" i="2"/>
  <c r="O182" i="2"/>
  <c r="L430" i="5" s="1"/>
  <c r="N430" i="5" s="1"/>
  <c r="O183" i="2"/>
  <c r="J431" i="5" s="1"/>
  <c r="L431" i="5" s="1"/>
  <c r="N431" i="5" s="1"/>
  <c r="O184" i="2"/>
  <c r="J433" i="5" s="1"/>
  <c r="L433" i="5" s="1"/>
  <c r="N433" i="5" s="1"/>
  <c r="O185" i="2"/>
  <c r="J435" i="5" s="1"/>
  <c r="L435" i="5" s="1"/>
  <c r="N435" i="5" s="1"/>
  <c r="O186" i="2"/>
  <c r="J437" i="5" s="1"/>
  <c r="L437" i="5" s="1"/>
  <c r="N437" i="5" s="1"/>
  <c r="O187" i="2"/>
  <c r="O188" i="2"/>
  <c r="O189" i="2"/>
  <c r="O190" i="2"/>
  <c r="O191" i="2"/>
  <c r="O192" i="2"/>
  <c r="P194" i="2"/>
  <c r="P195" i="2"/>
  <c r="Q194" i="2"/>
  <c r="Z194" i="2" s="1"/>
  <c r="Q195" i="2"/>
  <c r="Z195" i="2" s="1"/>
  <c r="Q174" i="2"/>
  <c r="Z174" i="2" s="1"/>
  <c r="Q175" i="2"/>
  <c r="Z175" i="2" s="1"/>
  <c r="Q176" i="2"/>
  <c r="Z176" i="2" s="1"/>
  <c r="Q177" i="2"/>
  <c r="Z177" i="2" s="1"/>
  <c r="Q178" i="2"/>
  <c r="Z178" i="2" s="1"/>
  <c r="Q179" i="2"/>
  <c r="Z179" i="2" s="1"/>
  <c r="Q180" i="2"/>
  <c r="Z180" i="2" s="1"/>
  <c r="Q181" i="2"/>
  <c r="Z181" i="2" s="1"/>
  <c r="Q182" i="2"/>
  <c r="Z182" i="2" s="1"/>
  <c r="Q183" i="2"/>
  <c r="Z183" i="2" s="1"/>
  <c r="Q184" i="2"/>
  <c r="Z184" i="2" s="1"/>
  <c r="Q185" i="2"/>
  <c r="Z185" i="2" s="1"/>
  <c r="Q186" i="2"/>
  <c r="Z186" i="2" s="1"/>
  <c r="Q187" i="2"/>
  <c r="Z187" i="2" s="1"/>
  <c r="Q188" i="2"/>
  <c r="Z188" i="2" s="1"/>
  <c r="Q189" i="2"/>
  <c r="Z189" i="2" s="1"/>
  <c r="Q190" i="2"/>
  <c r="Z190" i="2" s="1"/>
  <c r="Q191" i="2"/>
  <c r="Z191" i="2" s="1"/>
  <c r="Q192" i="2"/>
  <c r="Z192" i="2" s="1"/>
  <c r="Q161" i="2"/>
  <c r="Z161" i="2" s="1"/>
  <c r="Q162" i="2"/>
  <c r="Z162" i="2" s="1"/>
  <c r="Q163" i="2"/>
  <c r="Z163" i="2" s="1"/>
  <c r="Q164" i="2"/>
  <c r="Z164" i="2" s="1"/>
  <c r="Q165" i="2"/>
  <c r="Z165" i="2" s="1"/>
  <c r="Q166" i="2"/>
  <c r="Z166" i="2" s="1"/>
  <c r="Q167" i="2"/>
  <c r="Z167" i="2" s="1"/>
  <c r="Q168" i="2"/>
  <c r="Z168" i="2" s="1"/>
  <c r="Q169" i="2"/>
  <c r="Z169" i="2" s="1"/>
  <c r="Q170" i="2"/>
  <c r="Z170" i="2" s="1"/>
  <c r="Q171" i="2"/>
  <c r="Z171" i="2" s="1"/>
  <c r="Q172" i="2"/>
  <c r="Z172" i="2" s="1"/>
  <c r="Q138" i="2"/>
  <c r="Z138" i="2" s="1"/>
  <c r="Q139" i="2"/>
  <c r="Z139" i="2" s="1"/>
  <c r="Q140" i="2"/>
  <c r="Z140" i="2" s="1"/>
  <c r="Q141" i="2"/>
  <c r="Z141" i="2" s="1"/>
  <c r="Q142" i="2"/>
  <c r="Z142" i="2" s="1"/>
  <c r="Q143" i="2"/>
  <c r="Z143" i="2" s="1"/>
  <c r="Q144" i="2"/>
  <c r="Z144" i="2" s="1"/>
  <c r="Q145" i="2"/>
  <c r="Z145" i="2" s="1"/>
  <c r="Q146" i="2"/>
  <c r="Z146" i="2" s="1"/>
  <c r="Q147" i="2"/>
  <c r="Z147" i="2" s="1"/>
  <c r="Q148" i="2"/>
  <c r="Z148" i="2" s="1"/>
  <c r="Q149" i="2"/>
  <c r="Z149" i="2" s="1"/>
  <c r="Q150" i="2"/>
  <c r="Z150" i="2" s="1"/>
  <c r="Q151" i="2"/>
  <c r="Z151" i="2" s="1"/>
  <c r="Q152" i="2"/>
  <c r="Z152" i="2" s="1"/>
  <c r="Q153" i="2"/>
  <c r="Z153" i="2" s="1"/>
  <c r="Q154" i="2"/>
  <c r="Z154" i="2" s="1"/>
  <c r="Q155" i="2"/>
  <c r="Z155" i="2" s="1"/>
  <c r="Q156" i="2"/>
  <c r="Z156" i="2" s="1"/>
  <c r="Q157" i="2"/>
  <c r="Z157" i="2" s="1"/>
  <c r="Q158" i="2"/>
  <c r="Z158" i="2" s="1"/>
  <c r="Q159" i="2"/>
  <c r="Z159" i="2" s="1"/>
  <c r="Q128" i="2"/>
  <c r="Z128" i="2" s="1"/>
  <c r="Q129" i="2"/>
  <c r="Z129" i="2" s="1"/>
  <c r="Q130" i="2"/>
  <c r="Z130" i="2" s="1"/>
  <c r="Q131" i="2"/>
  <c r="Z131" i="2" s="1"/>
  <c r="Q132" i="2"/>
  <c r="Z132" i="2" s="1"/>
  <c r="Q133" i="2"/>
  <c r="Z133" i="2" s="1"/>
  <c r="Q134" i="2"/>
  <c r="Z134" i="2" s="1"/>
  <c r="Q135" i="2"/>
  <c r="Z135" i="2" s="1"/>
  <c r="Q136" i="2"/>
  <c r="Z136" i="2" s="1"/>
  <c r="Q119" i="2"/>
  <c r="Z119" i="2" s="1"/>
  <c r="Q120" i="2"/>
  <c r="Z120" i="2" s="1"/>
  <c r="Q121" i="2"/>
  <c r="Z121" i="2" s="1"/>
  <c r="Q122" i="2"/>
  <c r="Z122" i="2" s="1"/>
  <c r="Q123" i="2"/>
  <c r="Z123" i="2" s="1"/>
  <c r="Q124" i="2"/>
  <c r="Z124" i="2" s="1"/>
  <c r="Q125" i="2"/>
  <c r="Z125" i="2" s="1"/>
  <c r="Q126" i="2"/>
  <c r="Z126" i="2" s="1"/>
  <c r="X14" i="2"/>
  <c r="T14" i="2"/>
  <c r="U14" i="2"/>
  <c r="V14" i="2"/>
  <c r="W14" i="2"/>
  <c r="R14" i="2"/>
  <c r="R196" i="2" s="1"/>
  <c r="Q15" i="2"/>
  <c r="Z15" i="2" s="1"/>
  <c r="Q16" i="2"/>
  <c r="Z16" i="2" s="1"/>
  <c r="Q17" i="2"/>
  <c r="Z17" i="2" s="1"/>
  <c r="Q18" i="2"/>
  <c r="Z18" i="2" s="1"/>
  <c r="Q19" i="2"/>
  <c r="Z19" i="2" s="1"/>
  <c r="Q21" i="2"/>
  <c r="Z21" i="2" s="1"/>
  <c r="Q22" i="2"/>
  <c r="Z22" i="2" s="1"/>
  <c r="Q23" i="2"/>
  <c r="Z23" i="2" s="1"/>
  <c r="Q24" i="2"/>
  <c r="Z24" i="2" s="1"/>
  <c r="Q26" i="2"/>
  <c r="Z26" i="2" s="1"/>
  <c r="Q27" i="2"/>
  <c r="Z27" i="2" s="1"/>
  <c r="Q28" i="2"/>
  <c r="Z28" i="2" s="1"/>
  <c r="Q29" i="2"/>
  <c r="Z29" i="2" s="1"/>
  <c r="Q30" i="2"/>
  <c r="Z30" i="2" s="1"/>
  <c r="Q31" i="2"/>
  <c r="Z31" i="2" s="1"/>
  <c r="Q32" i="2"/>
  <c r="Z32" i="2" s="1"/>
  <c r="Q33" i="2"/>
  <c r="Z33" i="2" s="1"/>
  <c r="Q34" i="2"/>
  <c r="Z34" i="2" s="1"/>
  <c r="Q35" i="2"/>
  <c r="Z35" i="2" s="1"/>
  <c r="Q36" i="2"/>
  <c r="Z36" i="2" s="1"/>
  <c r="Q38" i="2"/>
  <c r="Z38" i="2" s="1"/>
  <c r="Z40" i="2"/>
  <c r="Q41" i="2"/>
  <c r="Z41" i="2" s="1"/>
  <c r="Q42" i="2"/>
  <c r="Z42" i="2" s="1"/>
  <c r="Q43" i="2"/>
  <c r="Z43" i="2" s="1"/>
  <c r="Q44" i="2"/>
  <c r="Z44" i="2" s="1"/>
  <c r="Q45" i="2"/>
  <c r="Z45" i="2" s="1"/>
  <c r="Q46" i="2"/>
  <c r="Z46" i="2" s="1"/>
  <c r="Q47" i="2"/>
  <c r="Z47" i="2" s="1"/>
  <c r="Q48" i="2"/>
  <c r="Z48" i="2" s="1"/>
  <c r="Q49" i="2"/>
  <c r="Z49" i="2" s="1"/>
  <c r="Q50" i="2"/>
  <c r="Z50" i="2" s="1"/>
  <c r="Q51" i="2"/>
  <c r="Z51" i="2" s="1"/>
  <c r="Q52" i="2"/>
  <c r="Z52" i="2" s="1"/>
  <c r="Q53" i="2"/>
  <c r="Z53" i="2" s="1"/>
  <c r="Q54" i="2"/>
  <c r="Z54" i="2" s="1"/>
  <c r="Q56" i="2"/>
  <c r="Z56" i="2" s="1"/>
  <c r="Q57" i="2"/>
  <c r="Z57" i="2" s="1"/>
  <c r="Q58" i="2"/>
  <c r="Z58" i="2" s="1"/>
  <c r="Q59" i="2"/>
  <c r="Z59" i="2" s="1"/>
  <c r="Q61" i="2"/>
  <c r="Z61" i="2" s="1"/>
  <c r="Q62" i="2"/>
  <c r="Z62" i="2" s="1"/>
  <c r="Q63" i="2"/>
  <c r="Z63" i="2" s="1"/>
  <c r="Q64" i="2"/>
  <c r="Z64" i="2" s="1"/>
  <c r="Q66" i="2"/>
  <c r="Z66" i="2" s="1"/>
  <c r="Q67" i="2"/>
  <c r="Z67" i="2" s="1"/>
  <c r="Q68" i="2"/>
  <c r="Z68" i="2" s="1"/>
  <c r="Q69" i="2"/>
  <c r="Z69" i="2" s="1"/>
  <c r="Q70" i="2"/>
  <c r="Z70" i="2" s="1"/>
  <c r="Q71" i="2"/>
  <c r="Z71" i="2" s="1"/>
  <c r="Q72" i="2"/>
  <c r="Z72" i="2" s="1"/>
  <c r="Q73" i="2"/>
  <c r="Z73" i="2" s="1"/>
  <c r="Q75" i="2"/>
  <c r="Z75" i="2" s="1"/>
  <c r="Q76" i="2"/>
  <c r="Z76" i="2" s="1"/>
  <c r="Q77" i="2"/>
  <c r="Z77" i="2" s="1"/>
  <c r="Q78" i="2"/>
  <c r="Z78" i="2" s="1"/>
  <c r="Q79" i="2"/>
  <c r="Z79" i="2" s="1"/>
  <c r="Q80" i="2"/>
  <c r="Z80" i="2" s="1"/>
  <c r="Q82" i="2"/>
  <c r="Z82" i="2" s="1"/>
  <c r="Q83" i="2"/>
  <c r="Z83" i="2" s="1"/>
  <c r="Q84" i="2"/>
  <c r="Z84" i="2" s="1"/>
  <c r="Q85" i="2"/>
  <c r="Z85" i="2" s="1"/>
  <c r="Q86" i="2"/>
  <c r="Z86" i="2" s="1"/>
  <c r="Q87" i="2"/>
  <c r="Z87" i="2" s="1"/>
  <c r="Q88" i="2"/>
  <c r="Z88" i="2" s="1"/>
  <c r="Q90" i="2"/>
  <c r="Z90" i="2" s="1"/>
  <c r="Q91" i="2"/>
  <c r="Z91" i="2" s="1"/>
  <c r="Q92" i="2"/>
  <c r="Z92" i="2" s="1"/>
  <c r="Q93" i="2"/>
  <c r="Z93" i="2" s="1"/>
  <c r="Q94" i="2"/>
  <c r="Z94" i="2" s="1"/>
  <c r="Q95" i="2"/>
  <c r="Z95" i="2" s="1"/>
  <c r="Q96" i="2"/>
  <c r="Z96" i="2" s="1"/>
  <c r="Q97" i="2"/>
  <c r="Z97" i="2" s="1"/>
  <c r="Q98" i="2"/>
  <c r="Z98" i="2" s="1"/>
  <c r="Q99" i="2"/>
  <c r="Z99" i="2" s="1"/>
  <c r="Q100" i="2"/>
  <c r="Z100" i="2" s="1"/>
  <c r="Q101" i="2"/>
  <c r="Z101" i="2" s="1"/>
  <c r="Q102" i="2"/>
  <c r="Z102" i="2" s="1"/>
  <c r="Q103" i="2"/>
  <c r="Z103" i="2" s="1"/>
  <c r="Q104" i="2"/>
  <c r="Z104" i="2" s="1"/>
  <c r="Q105" i="2"/>
  <c r="Z105" i="2" s="1"/>
  <c r="Q106" i="2"/>
  <c r="Z106" i="2" s="1"/>
  <c r="Q107" i="2"/>
  <c r="Z107" i="2" s="1"/>
  <c r="Q108" i="2"/>
  <c r="Z108" i="2" s="1"/>
  <c r="Q109" i="2"/>
  <c r="Z109" i="2" s="1"/>
  <c r="Q110" i="2"/>
  <c r="Z110" i="2" s="1"/>
  <c r="Q111" i="2"/>
  <c r="Z111" i="2" s="1"/>
  <c r="Q112" i="2"/>
  <c r="Z112" i="2" s="1"/>
  <c r="Q113" i="2"/>
  <c r="Z113" i="2" s="1"/>
  <c r="Q114" i="2"/>
  <c r="Z114" i="2" s="1"/>
  <c r="Q115" i="2"/>
  <c r="Z115" i="2" s="1"/>
  <c r="Q116" i="2"/>
  <c r="Z116" i="2" s="1"/>
  <c r="Q117" i="2"/>
  <c r="Z117" i="2" s="1"/>
  <c r="Q14" i="2"/>
  <c r="O14" i="2"/>
  <c r="J151" i="5" l="1"/>
  <c r="L151" i="5" s="1"/>
  <c r="N151" i="5" s="1"/>
  <c r="J153" i="5"/>
  <c r="L153" i="5" s="1"/>
  <c r="N153" i="5" s="1"/>
  <c r="L238" i="5"/>
  <c r="N238" i="5" s="1"/>
  <c r="L193" i="5"/>
  <c r="N193" i="5" s="1"/>
  <c r="J23" i="3"/>
  <c r="L23" i="3" s="1"/>
  <c r="N23" i="3" s="1"/>
  <c r="L25" i="5"/>
  <c r="N25" i="5" s="1"/>
  <c r="J16" i="5"/>
  <c r="L16" i="5" s="1"/>
  <c r="N16" i="5" s="1"/>
  <c r="J195" i="3"/>
  <c r="L195" i="3" s="1"/>
  <c r="N195" i="3" s="1"/>
  <c r="J426" i="5"/>
  <c r="L426" i="5" s="1"/>
  <c r="N426" i="5" s="1"/>
  <c r="J15" i="3"/>
  <c r="L15" i="3" s="1"/>
  <c r="N15" i="3" s="1"/>
  <c r="L15" i="5"/>
  <c r="N15" i="5" s="1"/>
  <c r="E8" i="3"/>
  <c r="E8" i="4"/>
  <c r="P185" i="2"/>
  <c r="J204" i="3"/>
  <c r="L204" i="3" s="1"/>
  <c r="N204" i="3" s="1"/>
  <c r="P177" i="2"/>
  <c r="J188" i="3"/>
  <c r="L188" i="3" s="1"/>
  <c r="N188" i="3" s="1"/>
  <c r="P168" i="2"/>
  <c r="J176" i="3"/>
  <c r="L176" i="3" s="1"/>
  <c r="N176" i="3" s="1"/>
  <c r="P159" i="2"/>
  <c r="J167" i="3"/>
  <c r="L167" i="3" s="1"/>
  <c r="N167" i="3" s="1"/>
  <c r="P151" i="2"/>
  <c r="J159" i="3"/>
  <c r="L159" i="3" s="1"/>
  <c r="N159" i="3" s="1"/>
  <c r="P143" i="2"/>
  <c r="J151" i="3"/>
  <c r="L151" i="3" s="1"/>
  <c r="N151" i="3" s="1"/>
  <c r="P134" i="2"/>
  <c r="J142" i="3"/>
  <c r="L142" i="3" s="1"/>
  <c r="N142" i="3" s="1"/>
  <c r="P125" i="2"/>
  <c r="J133" i="3"/>
  <c r="L133" i="3" s="1"/>
  <c r="N133" i="3" s="1"/>
  <c r="P116" i="2"/>
  <c r="J124" i="3"/>
  <c r="L124" i="3" s="1"/>
  <c r="N124" i="3" s="1"/>
  <c r="P108" i="2"/>
  <c r="J116" i="3"/>
  <c r="L116" i="3" s="1"/>
  <c r="N116" i="3" s="1"/>
  <c r="P100" i="2"/>
  <c r="J108" i="3"/>
  <c r="L108" i="3" s="1"/>
  <c r="N108" i="3" s="1"/>
  <c r="P92" i="2"/>
  <c r="J100" i="3"/>
  <c r="L100" i="3" s="1"/>
  <c r="N100" i="3" s="1"/>
  <c r="P83" i="2"/>
  <c r="J91" i="3"/>
  <c r="L91" i="3" s="1"/>
  <c r="N91" i="3" s="1"/>
  <c r="P111" i="2"/>
  <c r="P192" i="2"/>
  <c r="J214" i="3"/>
  <c r="L214" i="3" s="1"/>
  <c r="N214" i="3" s="1"/>
  <c r="P184" i="2"/>
  <c r="J202" i="3"/>
  <c r="L202" i="3" s="1"/>
  <c r="N202" i="3" s="1"/>
  <c r="P176" i="2"/>
  <c r="J187" i="3"/>
  <c r="L187" i="3" s="1"/>
  <c r="N187" i="3" s="1"/>
  <c r="P167" i="2"/>
  <c r="J175" i="3"/>
  <c r="L175" i="3" s="1"/>
  <c r="N175" i="3" s="1"/>
  <c r="P158" i="2"/>
  <c r="J166" i="3"/>
  <c r="L166" i="3" s="1"/>
  <c r="N166" i="3" s="1"/>
  <c r="P150" i="2"/>
  <c r="J158" i="3"/>
  <c r="L158" i="3" s="1"/>
  <c r="N158" i="3" s="1"/>
  <c r="P142" i="2"/>
  <c r="J150" i="3"/>
  <c r="L150" i="3" s="1"/>
  <c r="N150" i="3" s="1"/>
  <c r="P133" i="2"/>
  <c r="J141" i="3"/>
  <c r="L141" i="3" s="1"/>
  <c r="N141" i="3" s="1"/>
  <c r="P124" i="2"/>
  <c r="J132" i="3"/>
  <c r="L132" i="3" s="1"/>
  <c r="N132" i="3" s="1"/>
  <c r="P115" i="2"/>
  <c r="J123" i="3"/>
  <c r="L123" i="3" s="1"/>
  <c r="N123" i="3" s="1"/>
  <c r="P107" i="2"/>
  <c r="J115" i="3"/>
  <c r="L115" i="3" s="1"/>
  <c r="N115" i="3" s="1"/>
  <c r="P99" i="2"/>
  <c r="J107" i="3"/>
  <c r="L107" i="3" s="1"/>
  <c r="N107" i="3" s="1"/>
  <c r="P91" i="2"/>
  <c r="J99" i="3"/>
  <c r="L99" i="3" s="1"/>
  <c r="N99" i="3" s="1"/>
  <c r="P82" i="2"/>
  <c r="J90" i="3"/>
  <c r="L90" i="3" s="1"/>
  <c r="N90" i="3" s="1"/>
  <c r="P94" i="2"/>
  <c r="P191" i="2"/>
  <c r="J213" i="3"/>
  <c r="L213" i="3" s="1"/>
  <c r="N213" i="3" s="1"/>
  <c r="P183" i="2"/>
  <c r="J200" i="3"/>
  <c r="L200" i="3" s="1"/>
  <c r="N200" i="3" s="1"/>
  <c r="P175" i="2"/>
  <c r="J184" i="3"/>
  <c r="L184" i="3" s="1"/>
  <c r="N184" i="3" s="1"/>
  <c r="P166" i="2"/>
  <c r="J174" i="3"/>
  <c r="L174" i="3" s="1"/>
  <c r="N174" i="3" s="1"/>
  <c r="P157" i="2"/>
  <c r="J165" i="3"/>
  <c r="L165" i="3" s="1"/>
  <c r="N165" i="3" s="1"/>
  <c r="P149" i="2"/>
  <c r="J157" i="3"/>
  <c r="L157" i="3" s="1"/>
  <c r="N157" i="3" s="1"/>
  <c r="P141" i="2"/>
  <c r="J149" i="3"/>
  <c r="L149" i="3" s="1"/>
  <c r="N149" i="3" s="1"/>
  <c r="P132" i="2"/>
  <c r="J140" i="3"/>
  <c r="L140" i="3" s="1"/>
  <c r="N140" i="3" s="1"/>
  <c r="P123" i="2"/>
  <c r="J131" i="3"/>
  <c r="L131" i="3" s="1"/>
  <c r="N131" i="3" s="1"/>
  <c r="P114" i="2"/>
  <c r="J122" i="3"/>
  <c r="L122" i="3" s="1"/>
  <c r="N122" i="3" s="1"/>
  <c r="P106" i="2"/>
  <c r="J114" i="3"/>
  <c r="L114" i="3" s="1"/>
  <c r="N114" i="3" s="1"/>
  <c r="P98" i="2"/>
  <c r="J106" i="3"/>
  <c r="L106" i="3" s="1"/>
  <c r="N106" i="3" s="1"/>
  <c r="P90" i="2"/>
  <c r="J98" i="3"/>
  <c r="L98" i="3" s="1"/>
  <c r="N98" i="3" s="1"/>
  <c r="P80" i="2"/>
  <c r="J88" i="3"/>
  <c r="L88" i="3" s="1"/>
  <c r="N88" i="3" s="1"/>
  <c r="P87" i="2"/>
  <c r="Q196" i="2"/>
  <c r="P190" i="2"/>
  <c r="J212" i="3"/>
  <c r="L212" i="3" s="1"/>
  <c r="N212" i="3" s="1"/>
  <c r="P182" i="2"/>
  <c r="J199" i="3"/>
  <c r="L199" i="3" s="1"/>
  <c r="N199" i="3" s="1"/>
  <c r="P174" i="2"/>
  <c r="J183" i="3"/>
  <c r="L183" i="3" s="1"/>
  <c r="N183" i="3" s="1"/>
  <c r="P165" i="2"/>
  <c r="J173" i="3"/>
  <c r="L173" i="3" s="1"/>
  <c r="N173" i="3" s="1"/>
  <c r="P156" i="2"/>
  <c r="J164" i="3"/>
  <c r="L164" i="3" s="1"/>
  <c r="N164" i="3" s="1"/>
  <c r="P148" i="2"/>
  <c r="J156" i="3"/>
  <c r="L156" i="3" s="1"/>
  <c r="N156" i="3" s="1"/>
  <c r="P140" i="2"/>
  <c r="J148" i="3"/>
  <c r="L148" i="3" s="1"/>
  <c r="N148" i="3" s="1"/>
  <c r="P131" i="2"/>
  <c r="J139" i="3"/>
  <c r="L139" i="3" s="1"/>
  <c r="N139" i="3" s="1"/>
  <c r="P122" i="2"/>
  <c r="J130" i="3"/>
  <c r="L130" i="3" s="1"/>
  <c r="N130" i="3" s="1"/>
  <c r="P113" i="2"/>
  <c r="J121" i="3"/>
  <c r="L121" i="3" s="1"/>
  <c r="N121" i="3" s="1"/>
  <c r="P105" i="2"/>
  <c r="J113" i="3"/>
  <c r="L113" i="3" s="1"/>
  <c r="N113" i="3" s="1"/>
  <c r="P97" i="2"/>
  <c r="J105" i="3"/>
  <c r="L105" i="3" s="1"/>
  <c r="N105" i="3" s="1"/>
  <c r="P88" i="2"/>
  <c r="J96" i="3"/>
  <c r="L96" i="3" s="1"/>
  <c r="N96" i="3" s="1"/>
  <c r="P79" i="2"/>
  <c r="J87" i="3"/>
  <c r="L87" i="3" s="1"/>
  <c r="N87" i="3" s="1"/>
  <c r="P42" i="2"/>
  <c r="P189" i="2"/>
  <c r="J211" i="3"/>
  <c r="L211" i="3" s="1"/>
  <c r="N211" i="3" s="1"/>
  <c r="P172" i="2"/>
  <c r="J180" i="3"/>
  <c r="L180" i="3" s="1"/>
  <c r="N180" i="3" s="1"/>
  <c r="P164" i="2"/>
  <c r="J172" i="3"/>
  <c r="L172" i="3" s="1"/>
  <c r="N172" i="3" s="1"/>
  <c r="P155" i="2"/>
  <c r="J163" i="3"/>
  <c r="L163" i="3" s="1"/>
  <c r="N163" i="3" s="1"/>
  <c r="P147" i="2"/>
  <c r="J155" i="3"/>
  <c r="L155" i="3" s="1"/>
  <c r="N155" i="3" s="1"/>
  <c r="P139" i="2"/>
  <c r="J147" i="3"/>
  <c r="L147" i="3" s="1"/>
  <c r="N147" i="3" s="1"/>
  <c r="P130" i="2"/>
  <c r="J138" i="3"/>
  <c r="L138" i="3" s="1"/>
  <c r="N138" i="3" s="1"/>
  <c r="P121" i="2"/>
  <c r="J129" i="3"/>
  <c r="L129" i="3" s="1"/>
  <c r="N129" i="3" s="1"/>
  <c r="P104" i="2"/>
  <c r="J112" i="3"/>
  <c r="L112" i="3" s="1"/>
  <c r="N112" i="3" s="1"/>
  <c r="P96" i="2"/>
  <c r="J104" i="3"/>
  <c r="L104" i="3" s="1"/>
  <c r="N104" i="3" s="1"/>
  <c r="P15" i="2"/>
  <c r="P188" i="2"/>
  <c r="J210" i="3"/>
  <c r="L210" i="3" s="1"/>
  <c r="N210" i="3" s="1"/>
  <c r="P180" i="2"/>
  <c r="J193" i="3"/>
  <c r="L193" i="3" s="1"/>
  <c r="N193" i="3" s="1"/>
  <c r="P171" i="2"/>
  <c r="J179" i="3"/>
  <c r="L179" i="3" s="1"/>
  <c r="N179" i="3" s="1"/>
  <c r="P163" i="2"/>
  <c r="J171" i="3"/>
  <c r="L171" i="3" s="1"/>
  <c r="N171" i="3" s="1"/>
  <c r="P154" i="2"/>
  <c r="J162" i="3"/>
  <c r="L162" i="3" s="1"/>
  <c r="N162" i="3" s="1"/>
  <c r="P146" i="2"/>
  <c r="J154" i="3"/>
  <c r="L154" i="3" s="1"/>
  <c r="N154" i="3" s="1"/>
  <c r="P138" i="2"/>
  <c r="J146" i="3"/>
  <c r="L146" i="3" s="1"/>
  <c r="N146" i="3" s="1"/>
  <c r="P129" i="2"/>
  <c r="J137" i="3"/>
  <c r="L137" i="3" s="1"/>
  <c r="N137" i="3" s="1"/>
  <c r="P120" i="2"/>
  <c r="J128" i="3"/>
  <c r="L128" i="3" s="1"/>
  <c r="N128" i="3" s="1"/>
  <c r="P103" i="2"/>
  <c r="J111" i="3"/>
  <c r="L111" i="3" s="1"/>
  <c r="N111" i="3" s="1"/>
  <c r="P95" i="2"/>
  <c r="J103" i="3"/>
  <c r="L103" i="3" s="1"/>
  <c r="N103" i="3" s="1"/>
  <c r="P86" i="2"/>
  <c r="J94" i="3"/>
  <c r="L94" i="3" s="1"/>
  <c r="N94" i="3" s="1"/>
  <c r="P181" i="2"/>
  <c r="P187" i="2"/>
  <c r="J209" i="3"/>
  <c r="L209" i="3" s="1"/>
  <c r="N209" i="3" s="1"/>
  <c r="P179" i="2"/>
  <c r="J192" i="3"/>
  <c r="L192" i="3" s="1"/>
  <c r="N192" i="3" s="1"/>
  <c r="P170" i="2"/>
  <c r="J178" i="3"/>
  <c r="L178" i="3" s="1"/>
  <c r="N178" i="3" s="1"/>
  <c r="P162" i="2"/>
  <c r="J170" i="3"/>
  <c r="L170" i="3" s="1"/>
  <c r="N170" i="3" s="1"/>
  <c r="P153" i="2"/>
  <c r="J161" i="3"/>
  <c r="L161" i="3" s="1"/>
  <c r="N161" i="3" s="1"/>
  <c r="P145" i="2"/>
  <c r="J153" i="3"/>
  <c r="L153" i="3" s="1"/>
  <c r="N153" i="3" s="1"/>
  <c r="P128" i="2"/>
  <c r="J136" i="3"/>
  <c r="L136" i="3" s="1"/>
  <c r="N136" i="3" s="1"/>
  <c r="P119" i="2"/>
  <c r="J127" i="3"/>
  <c r="L127" i="3" s="1"/>
  <c r="N127" i="3" s="1"/>
  <c r="P110" i="2"/>
  <c r="J118" i="3"/>
  <c r="L118" i="3" s="1"/>
  <c r="N118" i="3" s="1"/>
  <c r="P102" i="2"/>
  <c r="J110" i="3"/>
  <c r="L110" i="3" s="1"/>
  <c r="N110" i="3" s="1"/>
  <c r="P85" i="2"/>
  <c r="J93" i="3"/>
  <c r="L93" i="3" s="1"/>
  <c r="N93" i="3" s="1"/>
  <c r="P136" i="2"/>
  <c r="P186" i="2"/>
  <c r="J206" i="3"/>
  <c r="L206" i="3" s="1"/>
  <c r="N206" i="3" s="1"/>
  <c r="P178" i="2"/>
  <c r="J191" i="3"/>
  <c r="L191" i="3" s="1"/>
  <c r="N191" i="3" s="1"/>
  <c r="P169" i="2"/>
  <c r="J177" i="3"/>
  <c r="L177" i="3" s="1"/>
  <c r="N177" i="3" s="1"/>
  <c r="P161" i="2"/>
  <c r="J169" i="3"/>
  <c r="L169" i="3" s="1"/>
  <c r="N169" i="3" s="1"/>
  <c r="P152" i="2"/>
  <c r="J160" i="3"/>
  <c r="L160" i="3" s="1"/>
  <c r="N160" i="3" s="1"/>
  <c r="P144" i="2"/>
  <c r="J152" i="3"/>
  <c r="L152" i="3" s="1"/>
  <c r="N152" i="3" s="1"/>
  <c r="P135" i="2"/>
  <c r="J143" i="3"/>
  <c r="L143" i="3" s="1"/>
  <c r="N143" i="3" s="1"/>
  <c r="P126" i="2"/>
  <c r="J134" i="3"/>
  <c r="L134" i="3" s="1"/>
  <c r="N134" i="3" s="1"/>
  <c r="P117" i="2"/>
  <c r="J125" i="3"/>
  <c r="L125" i="3" s="1"/>
  <c r="N125" i="3" s="1"/>
  <c r="P109" i="2"/>
  <c r="J117" i="3"/>
  <c r="L117" i="3" s="1"/>
  <c r="N117" i="3" s="1"/>
  <c r="P101" i="2"/>
  <c r="J109" i="3"/>
  <c r="L109" i="3" s="1"/>
  <c r="N109" i="3" s="1"/>
  <c r="P93" i="2"/>
  <c r="J101" i="3"/>
  <c r="L101" i="3" s="1"/>
  <c r="N101" i="3" s="1"/>
  <c r="P84" i="2"/>
  <c r="J92" i="3"/>
  <c r="L92" i="3" s="1"/>
  <c r="N92" i="3" s="1"/>
  <c r="P112" i="2"/>
  <c r="P70" i="2"/>
  <c r="J78" i="3"/>
  <c r="L78" i="3" s="1"/>
  <c r="N78" i="3" s="1"/>
  <c r="P61" i="2"/>
  <c r="J69" i="3"/>
  <c r="L69" i="3" s="1"/>
  <c r="N69" i="3" s="1"/>
  <c r="P51" i="2"/>
  <c r="J59" i="3"/>
  <c r="L59" i="3" s="1"/>
  <c r="N59" i="3" s="1"/>
  <c r="P43" i="2"/>
  <c r="J51" i="3"/>
  <c r="L51" i="3" s="1"/>
  <c r="N51" i="3" s="1"/>
  <c r="P78" i="2"/>
  <c r="J86" i="3"/>
  <c r="L86" i="3" s="1"/>
  <c r="N86" i="3" s="1"/>
  <c r="P69" i="2"/>
  <c r="J77" i="3"/>
  <c r="L77" i="3" s="1"/>
  <c r="N77" i="3" s="1"/>
  <c r="P59" i="2"/>
  <c r="J67" i="3"/>
  <c r="L67" i="3" s="1"/>
  <c r="N67" i="3" s="1"/>
  <c r="P50" i="2"/>
  <c r="J58" i="3"/>
  <c r="L58" i="3" s="1"/>
  <c r="N58" i="3" s="1"/>
  <c r="P33" i="2"/>
  <c r="J41" i="3"/>
  <c r="L41" i="3" s="1"/>
  <c r="N41" i="3" s="1"/>
  <c r="P24" i="2"/>
  <c r="J32" i="3"/>
  <c r="L32" i="3" s="1"/>
  <c r="N32" i="3" s="1"/>
  <c r="P67" i="2"/>
  <c r="P76" i="2"/>
  <c r="J84" i="3"/>
  <c r="L84" i="3" s="1"/>
  <c r="N84" i="3" s="1"/>
  <c r="P48" i="2"/>
  <c r="J56" i="3"/>
  <c r="L56" i="3" s="1"/>
  <c r="N56" i="3" s="1"/>
  <c r="P31" i="2"/>
  <c r="J39" i="3"/>
  <c r="L39" i="3" s="1"/>
  <c r="N39" i="3" s="1"/>
  <c r="P75" i="2"/>
  <c r="J83" i="3"/>
  <c r="L83" i="3" s="1"/>
  <c r="N83" i="3" s="1"/>
  <c r="P66" i="2"/>
  <c r="J74" i="3"/>
  <c r="L74" i="3" s="1"/>
  <c r="N74" i="3" s="1"/>
  <c r="P56" i="2"/>
  <c r="J64" i="3"/>
  <c r="L64" i="3" s="1"/>
  <c r="N64" i="3" s="1"/>
  <c r="P47" i="2"/>
  <c r="J55" i="3"/>
  <c r="L55" i="3" s="1"/>
  <c r="N55" i="3" s="1"/>
  <c r="P38" i="2"/>
  <c r="J46" i="3"/>
  <c r="L46" i="3" s="1"/>
  <c r="N46" i="3" s="1"/>
  <c r="P30" i="2"/>
  <c r="J38" i="3"/>
  <c r="L38" i="3" s="1"/>
  <c r="N38" i="3" s="1"/>
  <c r="P21" i="2"/>
  <c r="J22" i="3"/>
  <c r="L22" i="3" s="1"/>
  <c r="N22" i="3" s="1"/>
  <c r="P22" i="2"/>
  <c r="P77" i="2"/>
  <c r="J85" i="3"/>
  <c r="L85" i="3" s="1"/>
  <c r="N85" i="3" s="1"/>
  <c r="P40" i="2"/>
  <c r="J48" i="3"/>
  <c r="L48" i="3" s="1"/>
  <c r="N48" i="3" s="1"/>
  <c r="P73" i="2"/>
  <c r="J81" i="3"/>
  <c r="L81" i="3" s="1"/>
  <c r="N81" i="3" s="1"/>
  <c r="P64" i="2"/>
  <c r="J72" i="3"/>
  <c r="L72" i="3" s="1"/>
  <c r="N72" i="3" s="1"/>
  <c r="P54" i="2"/>
  <c r="J62" i="3"/>
  <c r="L62" i="3" s="1"/>
  <c r="N62" i="3" s="1"/>
  <c r="P46" i="2"/>
  <c r="J54" i="3"/>
  <c r="L54" i="3" s="1"/>
  <c r="N54" i="3" s="1"/>
  <c r="P37" i="2"/>
  <c r="J45" i="3"/>
  <c r="L45" i="3" s="1"/>
  <c r="N45" i="3" s="1"/>
  <c r="P29" i="2"/>
  <c r="J37" i="3"/>
  <c r="L37" i="3" s="1"/>
  <c r="N37" i="3" s="1"/>
  <c r="P19" i="2"/>
  <c r="J19" i="3"/>
  <c r="L19" i="3" s="1"/>
  <c r="N19" i="3" s="1"/>
  <c r="P49" i="2"/>
  <c r="J57" i="3"/>
  <c r="L57" i="3" s="1"/>
  <c r="N57" i="3" s="1"/>
  <c r="P32" i="2"/>
  <c r="J40" i="3"/>
  <c r="L40" i="3" s="1"/>
  <c r="N40" i="3" s="1"/>
  <c r="P57" i="2"/>
  <c r="J65" i="3"/>
  <c r="L65" i="3" s="1"/>
  <c r="N65" i="3" s="1"/>
  <c r="P41" i="2"/>
  <c r="P72" i="2"/>
  <c r="J80" i="3"/>
  <c r="L80" i="3" s="1"/>
  <c r="N80" i="3" s="1"/>
  <c r="P63" i="2"/>
  <c r="J71" i="3"/>
  <c r="L71" i="3" s="1"/>
  <c r="N71" i="3" s="1"/>
  <c r="P53" i="2"/>
  <c r="J61" i="3"/>
  <c r="L61" i="3" s="1"/>
  <c r="N61" i="3" s="1"/>
  <c r="P45" i="2"/>
  <c r="J53" i="3"/>
  <c r="L53" i="3" s="1"/>
  <c r="N53" i="3" s="1"/>
  <c r="P36" i="2"/>
  <c r="J44" i="3"/>
  <c r="L44" i="3" s="1"/>
  <c r="N44" i="3" s="1"/>
  <c r="P28" i="2"/>
  <c r="J36" i="3"/>
  <c r="L36" i="3" s="1"/>
  <c r="N36" i="3" s="1"/>
  <c r="P18" i="2"/>
  <c r="J18" i="3"/>
  <c r="L18" i="3" s="1"/>
  <c r="N18" i="3" s="1"/>
  <c r="P58" i="2"/>
  <c r="J66" i="3"/>
  <c r="L66" i="3" s="1"/>
  <c r="N66" i="3" s="1"/>
  <c r="P23" i="2"/>
  <c r="J31" i="3"/>
  <c r="L31" i="3" s="1"/>
  <c r="N31" i="3" s="1"/>
  <c r="P71" i="2"/>
  <c r="J79" i="3"/>
  <c r="L79" i="3" s="1"/>
  <c r="N79" i="3" s="1"/>
  <c r="P62" i="2"/>
  <c r="J70" i="3"/>
  <c r="L70" i="3" s="1"/>
  <c r="N70" i="3" s="1"/>
  <c r="P52" i="2"/>
  <c r="J60" i="3"/>
  <c r="L60" i="3" s="1"/>
  <c r="N60" i="3" s="1"/>
  <c r="P44" i="2"/>
  <c r="J52" i="3"/>
  <c r="L52" i="3" s="1"/>
  <c r="N52" i="3" s="1"/>
  <c r="P35" i="2"/>
  <c r="J43" i="3"/>
  <c r="L43" i="3" s="1"/>
  <c r="N43" i="3" s="1"/>
  <c r="P27" i="2"/>
  <c r="J35" i="3"/>
  <c r="L35" i="3" s="1"/>
  <c r="N35" i="3" s="1"/>
  <c r="P17" i="2"/>
  <c r="J17" i="3"/>
  <c r="L17" i="3" s="1"/>
  <c r="N17" i="3" s="1"/>
  <c r="P34" i="2"/>
  <c r="J42" i="3"/>
  <c r="L42" i="3" s="1"/>
  <c r="N42" i="3" s="1"/>
  <c r="P26" i="2"/>
  <c r="J34" i="3"/>
  <c r="L34" i="3" s="1"/>
  <c r="N34" i="3" s="1"/>
  <c r="P16" i="2"/>
  <c r="J16" i="3"/>
  <c r="L16" i="3" s="1"/>
  <c r="N16" i="3" s="1"/>
  <c r="P68" i="2"/>
  <c r="P14" i="2"/>
  <c r="J14" i="3"/>
  <c r="L14" i="3" s="1"/>
  <c r="N14" i="3" s="1"/>
  <c r="Y14" i="2"/>
  <c r="Z14" i="2" l="1"/>
  <c r="Y196" i="2"/>
  <c r="AA196" i="2" s="1"/>
  <c r="H8" i="2" l="1"/>
  <c r="Z196" i="2"/>
  <c r="H8" i="6" l="1"/>
  <c r="H8" i="5"/>
  <c r="H8" i="3"/>
  <c r="H8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57" authorId="0" shapeId="0" xr:uid="{43949DDA-754F-4789-A643-C268EC2A13E9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Cálculo: Olhando a parede de alvenaria como uma área em trapézio ((B+b)/2* H) e multiplicando pela sua profundidade (que acaba sendo a largura da parede) Encontrando assim o volume prismático. </t>
        </r>
      </text>
    </comment>
    <comment ref="K111" authorId="0" shapeId="0" xr:uid="{A8339C0F-DE6F-414E-BD8E-601B1C36B2D8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155" authorId="0" shapeId="0" xr:uid="{9CD076FF-8E07-4390-A691-4AECB1C1598D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198" authorId="0" shapeId="0" xr:uid="{8A0B71AE-8796-4C87-97C2-AEE741A29FD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223" authorId="0" shapeId="0" xr:uid="{0A18C350-F083-4345-A248-40CE9F1DF543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248" authorId="0" shapeId="0" xr:uid="{82A2F91A-F388-4EE9-971B-37E69613CCB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sharedStrings.xml><?xml version="1.0" encoding="utf-8"?>
<sst xmlns="http://schemas.openxmlformats.org/spreadsheetml/2006/main" count="2994" uniqueCount="712">
  <si>
    <t xml:space="preserve">
</t>
  </si>
  <si>
    <t>ITEM</t>
  </si>
  <si>
    <t>CÓDIGO</t>
  </si>
  <si>
    <t>DESCRIÇÃO</t>
  </si>
  <si>
    <t>FONTE</t>
  </si>
  <si>
    <t>UND</t>
  </si>
  <si>
    <t>QUANTIDADE</t>
  </si>
  <si>
    <t>PREÇO
UNITÁRIO R$</t>
  </si>
  <si>
    <t>PREÇO
TOTAL R$</t>
  </si>
  <si>
    <t>1</t>
  </si>
  <si>
    <t>CONSTRUÇÃO DA CASA DE ACOLHIMENTO PARA CRIANÇAS E  ADOLESCENTES - CASA LAR, NO MUNICÍPIO DE SOUSA - PB</t>
  </si>
  <si>
    <t>1.1</t>
  </si>
  <si>
    <t>SERVIÇOS PRELIMINARES</t>
  </si>
  <si>
    <t>1.1.1</t>
  </si>
  <si>
    <t>composição 1</t>
  </si>
  <si>
    <t>PLACA DE OBRA EM CHAPA DE ACO GALVANIZADO [ADAPTADO SINAPI 74209/01]</t>
  </si>
  <si>
    <t>Composições Próprias</t>
  </si>
  <si>
    <t>M2</t>
  </si>
  <si>
    <t>1.1.2</t>
  </si>
  <si>
    <t>93209</t>
  </si>
  <si>
    <t>EXECUÇÃO DE ALMOXARIFADO EM CANTEIRO DE OBRA EM ALVENARIA, INCLUSO PRATELEIRAS. AF_02/2016</t>
  </si>
  <si>
    <t>SINAPI</t>
  </si>
  <si>
    <t>1.1.3</t>
  </si>
  <si>
    <t>EXECUÇÃO DE ESCRITÓRIO EM CANTEIRO DE OBRA EM ALVENARIA, NÃO INCLUSO MOBILIÁRIO E EQUIPAMENTOS. AF_02/2016</t>
  </si>
  <si>
    <t>1.1.4</t>
  </si>
  <si>
    <t>composição 11</t>
  </si>
  <si>
    <t>Tapume em chapa compensada esp = 10mm (1 uso). [ADAPTADO ORSE 53]</t>
  </si>
  <si>
    <t>1.1.5</t>
  </si>
  <si>
    <t>LIMPEZA MANUAL DE VEGETAÇÃO EM TERRENO COM ENXADA.AF_05/2018</t>
  </si>
  <si>
    <t>1.1.6</t>
  </si>
  <si>
    <t>100575</t>
  </si>
  <si>
    <t>REGULARIZAÇÃO DE SUPERFÍCIES COM MOTONIVELADORA. AF_11/2019</t>
  </si>
  <si>
    <t>1.2</t>
  </si>
  <si>
    <t>MOVIMENTO DE TERRA</t>
  </si>
  <si>
    <t>1.2.1</t>
  </si>
  <si>
    <t>99059</t>
  </si>
  <si>
    <t>LOCACAO CONVENCIONAL DE OBRA, UTILIZANDO GABARITO DE TÁBUAS CORRIDAS PONTALETADAS A CADA 2,00M -  2 UTILIZAÇÕES. AF_10/2018</t>
  </si>
  <si>
    <t>M</t>
  </si>
  <si>
    <t>1.2.2</t>
  </si>
  <si>
    <t>93358</t>
  </si>
  <si>
    <t>ESCAVAÇÃO MANUAL DE VALA COM PROFUNDIDADE MENOR OU IGUAL A 1,30 M. AF_02/2021</t>
  </si>
  <si>
    <t>M3</t>
  </si>
  <si>
    <t>1.2.3</t>
  </si>
  <si>
    <t>96995</t>
  </si>
  <si>
    <t>REATERRO MANUAL APILOADO COM SOQUETE. AF_10/2017</t>
  </si>
  <si>
    <t>1.2.4</t>
  </si>
  <si>
    <t>94319</t>
  </si>
  <si>
    <t>ATERRO MANUAL DE VALAS COM SOLO ARGILO-ARENOSO E COMPACTAÇÃO MECANIZADA. AF_05/2016</t>
  </si>
  <si>
    <t>1.3</t>
  </si>
  <si>
    <t>FUNDAÇÃO</t>
  </si>
  <si>
    <t>1.3.1</t>
  </si>
  <si>
    <t>composição 12</t>
  </si>
  <si>
    <t>ALVENARIA DE EMBASAMENTO COM BLOCO CERÂMICO DE 9X14X19CM E ARGAMASSA DE ASSENTAMENTO COM PREPARO EM BETONEIRA. AF_05/2020. [ADAPTADO SINAPI 101166]</t>
  </si>
  <si>
    <t>1.3.2</t>
  </si>
  <si>
    <t>101616</t>
  </si>
  <si>
    <t>PREPARO DE FUNDO DE VALA COM LARGURA MENOR QUE 1,5 M (ACERTO DO SOLO NATURAL). AF_08/2020</t>
  </si>
  <si>
    <t>1.3.3</t>
  </si>
  <si>
    <t>96619</t>
  </si>
  <si>
    <t>LASTRO DE CONCRETO MAGRO, APLICADO EM BLOCOS DE COROAMENTO OU SAPATAS, ESPESSURA DE 5 CM. AF_08/2017</t>
  </si>
  <si>
    <t>1.3.4</t>
  </si>
  <si>
    <t>96545</t>
  </si>
  <si>
    <t>ARMAÇÃO DE BLOCO, VIGA BALDRAME OU SAPATA UTILIZANDO AÇO CA-50 DE 8 MM - MONTAGEM. AF_06/2017</t>
  </si>
  <si>
    <t>KG</t>
  </si>
  <si>
    <t>1.3.5</t>
  </si>
  <si>
    <t>94966</t>
  </si>
  <si>
    <t>CONCRETO FCK = 30MPA, TRAÇO 1:2,1:2,5 (EM MASSA SECA DE CIMENTO/ AREIA MÉDIA/ BRITA 1) - PREPARO MECÂNICO COM BETONEIRA 400 L. AF_05/2021</t>
  </si>
  <si>
    <t>1.3.6</t>
  </si>
  <si>
    <t>94964</t>
  </si>
  <si>
    <t>CONCRETO FCK = 20MPA, TRAÇO 1:2,7:3 (EM MASSA SECA DE CIMENTO/ AREIA MÉDIA/ BRITA 1) - PREPARO MECÂNICO COM BETONEIRA 400 L. AF_05/2021</t>
  </si>
  <si>
    <t>1.3.7</t>
  </si>
  <si>
    <t>103670</t>
  </si>
  <si>
    <t>LANÇAMENTO COM USO DE BALDES, ADENSAMENTO E ACABAMENTO DE CONCRETO EM ESTRUTURAS. AF_02/2022</t>
  </si>
  <si>
    <t>1.3.8</t>
  </si>
  <si>
    <t>96543</t>
  </si>
  <si>
    <t>ARMAÇÃO DE BLOCO, VIGA BALDRAME E SAPATA UTILIZANDO AÇO CA-60 DE 5 MM - MONTAGEM. AF_06/2017</t>
  </si>
  <si>
    <t>1.3.9</t>
  </si>
  <si>
    <t>96544</t>
  </si>
  <si>
    <t>ARMAÇÃO DE BLOCO, VIGA BALDRAME OU SAPATA UTILIZANDO AÇO CA-50 DE 6,3 MM - MONTAGEM. AF_06/2017</t>
  </si>
  <si>
    <t>1.3.10</t>
  </si>
  <si>
    <t>96546</t>
  </si>
  <si>
    <t>ARMAÇÃO DE BLOCO, VIGA BALDRAME OU SAPATA UTILIZANDO AÇO CA-50 DE 10 MM - MONTAGEM. AF_06/2017</t>
  </si>
  <si>
    <t>1.3.11</t>
  </si>
  <si>
    <t>96547</t>
  </si>
  <si>
    <t>ARMAÇÃO DE BLOCO, VIGA BALDRAME OU SAPATA UTILIZANDO AÇO CA-50 DE 12,5 MM - MONTAGEM. AF_06/2017</t>
  </si>
  <si>
    <t>1.3.12</t>
  </si>
  <si>
    <t>96536</t>
  </si>
  <si>
    <t>FABRICAÇÃO, MONTAGEM E DESMONTAGEM DE FÔRMA PARA VIGA BALDRAME, EM MADEIRA SERRADA, E=25 MM, 4 UTILIZAÇÕES. AF_06/2017</t>
  </si>
  <si>
    <t>1.3.13</t>
  </si>
  <si>
    <t>98557</t>
  </si>
  <si>
    <t>IMPERMEABILIZAÇÃO DE SUPERFÍCIE COM EMULSÃO ASFÁLTICA, 2 DEMÃOS AF_06/2018</t>
  </si>
  <si>
    <t>1.4</t>
  </si>
  <si>
    <t>ESTRUTURA</t>
  </si>
  <si>
    <t>1.4.1</t>
  </si>
  <si>
    <t>92443</t>
  </si>
  <si>
    <t>MONTAGEM E DESMONTAGEM DE FÔRMA DE PILARES RETANGULARES E ESTRUTURAS SIMILARES, PÉ-DIREITO SIMPLES, EM CHAPA DE MADEIRA COMPENSADA PLASTIFICADA, 18 UTILIZAÇÕES. AF_09/2020</t>
  </si>
  <si>
    <t>1.4.2</t>
  </si>
  <si>
    <t>92480</t>
  </si>
  <si>
    <t>MONTAGEM E DESMONTAGEM DE FÔRMA DE VIGA, ESCORAMENTO METÁLICO, PÉ-DIREITO SIMPLES, EM CHAPA DE MADEIRA PLASTIFICADA, 18 UTILIZAÇÕES. AF_09/2020</t>
  </si>
  <si>
    <t>1.4.3</t>
  </si>
  <si>
    <t>92267</t>
  </si>
  <si>
    <t>FABRICAÇÃO DE FÔRMA PARA LAJES, EM CHAPA DE MADEIRA COMPENSADA RESINADA, E = 17 MM. AF_09/2020</t>
  </si>
  <si>
    <t>1.4.4</t>
  </si>
  <si>
    <t>92759</t>
  </si>
  <si>
    <t>ARMAÇÃO DE PILAR OU VIGA DE ESTRUTURA CONVENCIONAL DE CONCRETO ARMADO UTILIZANDO AÇO CA-60 DE 5,0 MM - MONTAGEM. AF_06/2022</t>
  </si>
  <si>
    <t>1.4.5</t>
  </si>
  <si>
    <t>92760</t>
  </si>
  <si>
    <t>ARMAÇÃO DE PILAR OU VIGA DE ESTRUTURA CONVENCIONAL DE CONCRETO ARMADO UTILIZANDO AÇO CA-50 DE 6,3 MM - MONTAGEM. AF_06/2022</t>
  </si>
  <si>
    <t>1.4.6</t>
  </si>
  <si>
    <t>92761</t>
  </si>
  <si>
    <t>ARMAÇÃO DE PILAR OU VIGA DE ESTRUTURA CONVENCIONAL DE CONCRETO ARMADO UTILIZANDO AÇO CA-50 DE 8,0 MM - MONTAGEM. AF_06/2022</t>
  </si>
  <si>
    <t>1.4.7</t>
  </si>
  <si>
    <t>92762</t>
  </si>
  <si>
    <t>ARMAÇÃO DE PILAR OU VIGA DE ESTRUTURA CONVENCIONAL DE CONCRETO ARMADO UTILIZANDO AÇO CA-50 DE 10,0 MM - MONTAGEM. AF_06/2022</t>
  </si>
  <si>
    <t>1.4.8</t>
  </si>
  <si>
    <t>92763</t>
  </si>
  <si>
    <t>ARMAÇÃO DE PILAR OU VIGA DE ESTRUTURA CONVENCIONAL DE CONCRETO ARMADO UTILIZANDO AÇO CA-50 DE 12,5 MM - MONTAGEM. AF_06/2022</t>
  </si>
  <si>
    <t>1.4.9</t>
  </si>
  <si>
    <t>92768</t>
  </si>
  <si>
    <t>ARMAÇÃO DE LAJE DE ESTRUTURA CONVENCIONAL DE CONCRETO ARMADO UTILIZANDO AÇO CA-60 DE 5,0 MM - MONTAGEM. AF_06/2022</t>
  </si>
  <si>
    <t>1.4.10</t>
  </si>
  <si>
    <t>92769</t>
  </si>
  <si>
    <t>ARMAÇÃO DE LAJE DE ESTRUTURA CONVENCIONAL DE CONCRETO ARMADO UTILIZANDO AÇO CA-50 DE 6,3 MM - MONTAGEM. AF_06/2022</t>
  </si>
  <si>
    <t>1.4.11</t>
  </si>
  <si>
    <t>92770</t>
  </si>
  <si>
    <t>ARMAÇÃO DE LAJE DE ESTRUTURA CONVENCIONAL DE CONCRETO ARMADO UTILIZANDO AÇO CA-50 DE 8,0 MM - MONTAGEM. AF_06/2022</t>
  </si>
  <si>
    <t>1.4.12</t>
  </si>
  <si>
    <t>1.4.13</t>
  </si>
  <si>
    <t>1.4.14</t>
  </si>
  <si>
    <t>92771</t>
  </si>
  <si>
    <t>ARMAÇÃO DE LAJE DE ESTRUTURA CONVENCIONAL DE CONCRETO ARMADO UTILIZANDO AÇO CA-50 DE 10,0 MM - MONTAGEM. AF_06/2022</t>
  </si>
  <si>
    <t>1.4.15</t>
  </si>
  <si>
    <t>92772</t>
  </si>
  <si>
    <t>ARMAÇÃO DE LAJE DE ESTRUTURA CONVENCIONAL DE CONCRETO ARMADO UTILIZANDO AÇO CA-50 DE 12,5 MM - MONTAGEM. AF_06/2022</t>
  </si>
  <si>
    <t>1.5</t>
  </si>
  <si>
    <t>PAREDES</t>
  </si>
  <si>
    <t>1.5.1</t>
  </si>
  <si>
    <t>103356</t>
  </si>
  <si>
    <t>ALVENARIA DE VEDAÇÃO DE BLOCOS CERÂMICOS FURADOS NA HORIZONTAL DE 9X19X29 CM (ESPESSURA 9 CM) E ARGAMASSA DE ASSENTAMENTO COM PREPARO EM BETONEIRA. AF_12/2021</t>
  </si>
  <si>
    <t>1.5.2</t>
  </si>
  <si>
    <t>93189</t>
  </si>
  <si>
    <t>VERGA MOLDADA IN LOCO EM CONCRETO PARA PORTAS COM MAIS DE 1,5 M DE VÃO. AF_03/2016</t>
  </si>
  <si>
    <t>1.5.3</t>
  </si>
  <si>
    <t>93191</t>
  </si>
  <si>
    <t>VERGA MOLDADA IN LOCO COM UTILIZAÇÃO DE BLOCOS CANALETA PARA JANELAS COM MAIS DE 1,5 M DE VÃO. AF_03/2016</t>
  </si>
  <si>
    <t>1.5.4</t>
  </si>
  <si>
    <t>93197</t>
  </si>
  <si>
    <t>CONTRAVERGA MOLDADA IN LOCO EM CONCRETO PARA VÃOS DE MAIS DE 1,5 M DE COMPRIMENTO. AF_03/2016</t>
  </si>
  <si>
    <t>1.6</t>
  </si>
  <si>
    <t>REVESTIMENTOS INTERNOS</t>
  </si>
  <si>
    <t>1.6.1</t>
  </si>
  <si>
    <t>87893</t>
  </si>
  <si>
    <t>CHAPISCO APLICADO EM ALVENARIA (SEM PRESENÇA DE VÃOS) E ESTRUTURAS DE CONCRETO DE FACHADA, COM COLHER DE PEDREIRO.  ARGAMASSA TRAÇO 1:3 COM PREPARO MANUAL. AF_10/2022</t>
  </si>
  <si>
    <t>1.6.2</t>
  </si>
  <si>
    <t>87548</t>
  </si>
  <si>
    <t>MASSA ÚNICA, PARA RECEBIMENTO DE PINTURA, EM ARGAMASSA TRAÇO 1:2:8, PREPARO MANUAL, APLICADA MANUALMENTE EM FACES INTERNAS DE PAREDES, ESPESSURA DE 10MM, COM EXECUÇÃO DE TALISCAS. AF_06/2014</t>
  </si>
  <si>
    <t>1.6.3</t>
  </si>
  <si>
    <t>87536</t>
  </si>
  <si>
    <t>EMBOÇO, PARA RECEBIMENTO DE CERÂMICA, EM ARGAMASSA TRAÇO 1:2:8, PREPARO MANUAL, APLICADO MANUALMENTE EM FACES INTERNAS DE PAREDES, PARA AMBIENTE COM ÁREA  MAIOR QUE 10M2, ESPESSURA DE 20MM, COM EXECUÇÃO DE TALISCAS. AF_06/2014</t>
  </si>
  <si>
    <t>1.6.4</t>
  </si>
  <si>
    <t>87275</t>
  </si>
  <si>
    <t>REVESTIMENTO CERÂMICO PARA PAREDES INTERNAS COM PLACAS TIPO ESMALTADA EXTRA DE DIMENSÕES 33X45 CM APLICADAS A MEIA ALTURA DAS PAREDES. AF_02/2023_PE</t>
  </si>
  <si>
    <t>1.7</t>
  </si>
  <si>
    <t>ESQUADRIAS</t>
  </si>
  <si>
    <t>1.7.1</t>
  </si>
  <si>
    <t>91315</t>
  </si>
  <si>
    <t>KIT DE PORTA DE MADEIRA PARA PINTURA, SEMI-OCA (LEVE OU MÉDIA), PADRÃO POPULAR, 90X210CM, ESPESSURA DE 3,5CM, ITENS INCLUSOS: DOBRADIÇAS, MONTAGEM E INSTALAÇÃO DO BATENTE, FECHADURA COM EXECUÇÃO DO FURO - FORNECIMENTO E INSTALAÇÃO. AF_12/2019</t>
  </si>
  <si>
    <t>UN</t>
  </si>
  <si>
    <t>1.7.2</t>
  </si>
  <si>
    <t>94570</t>
  </si>
  <si>
    <t>JANELA DE ALUMÍNIO DE CORRER COM 2 FOLHAS PARA VIDROS, COM VIDROS, BATENTE, ACABAMENTO COM ACETATO OU BRILHANTE E FERRAGENS. EXCLUSIVE ALIZAR E CONTRAMARCO. FORNECIMENTO E INSTALAÇÃO. AF_12/2019</t>
  </si>
  <si>
    <t>1.7.3</t>
  </si>
  <si>
    <t>100689</t>
  </si>
  <si>
    <t>KIT DE PORTA DE MADEIRA FRISADA, SEMI-OCA (LEVE OU MÉDIA), PADRÃO MÉDIO, 80X210CM, ESPESSURA DE 3,5CM, ITENS INCLUSOS: DOBRADIÇAS, MONTAGEM E INSTALAÇÃO DE BATENTE, FECHADURA COM EXECUÇÃO DO FURO - FORNECIMENTO E INSTALAÇÃO. AF_12/2019</t>
  </si>
  <si>
    <t>1.7.4</t>
  </si>
  <si>
    <t>composição 3</t>
  </si>
  <si>
    <t>PORTA EM MADEIRA , LISA, SEMI-ÔCA, 1.46 X 2.10 M, COM DUAS FOLHAS, INCLUSIVE BATENTES E FERRAGENS - REV 02[ADAPTADO DE ORSE 7149]</t>
  </si>
  <si>
    <t>1.7.5</t>
  </si>
  <si>
    <t>composição 4</t>
  </si>
  <si>
    <t>PORTÃO EM ALUMÍNIO, COR N/B/P, EM PERFÍS BÚZIO QUADRADO OU LAMBRIL, COMPLETO INCLUSIVE RODÍZIOS, PERFÍS E FECHADURA- ORSE - ORSE 11955</t>
  </si>
  <si>
    <t>1.7.6</t>
  </si>
  <si>
    <t>91341</t>
  </si>
  <si>
    <t>PORTA EM ALUMÍNIO DE ABRIR TIPO VENEZIANA COM GUARNIÇÃO, FIXAÇÃO COM PARAFUSOS - FORNECIMENTO E INSTALAÇÃO. AF_12/2019</t>
  </si>
  <si>
    <t>1.7.7</t>
  </si>
  <si>
    <t>100702</t>
  </si>
  <si>
    <t>PORTA DE CORRER DE ALUMÍNIO, COM DUAS FOLHAS PARA VIDRO, INCLUSO VIDRO LISO INCOLOR, FECHADURA E PUXADOR, SEM ALIZAR. AF_12/2019</t>
  </si>
  <si>
    <t>1.7.8</t>
  </si>
  <si>
    <t>90831</t>
  </si>
  <si>
    <t>FECHADURA DE EMBUTIR PARA PORTA DE BANHEIRO, COMPLETA, ACABAMENTO PADRÃO MÉDIO, INCLUSO EXECUÇÃO DE FURO - FORNECIMENTO E INSTALAÇÃO. AF_12/2019</t>
  </si>
  <si>
    <t>1.8</t>
  </si>
  <si>
    <t>PINTURA</t>
  </si>
  <si>
    <t>1.8.1</t>
  </si>
  <si>
    <t>88485</t>
  </si>
  <si>
    <t>APLICAÇÃO DE FUNDO SELADOR ACRÍLICO EM PAREDES, UMA DEMÃO. AF_06/2014</t>
  </si>
  <si>
    <t>1.8.2</t>
  </si>
  <si>
    <t>88495</t>
  </si>
  <si>
    <t>APLICAÇÃO E LIXAMENTO DE MASSA LÁTEX EM PAREDES, UMA DEMÃO. AF_06/2014</t>
  </si>
  <si>
    <t>1.8.3</t>
  </si>
  <si>
    <t>88489</t>
  </si>
  <si>
    <t>APLICAÇÃO MANUAL DE PINTURA COM TINTA LÁTEX ACRÍLICA EM PAREDES, DUAS DEMÃOS. AF_06/2014</t>
  </si>
  <si>
    <t>1.8.4</t>
  </si>
  <si>
    <t>88484</t>
  </si>
  <si>
    <t>APLICAÇÃO DE FUNDO SELADOR ACRÍLICO EM TETO, UMA DEMÃO. AF_06/2014</t>
  </si>
  <si>
    <t>1.8.5</t>
  </si>
  <si>
    <t>88494</t>
  </si>
  <si>
    <t>APLICAÇÃO E LIXAMENTO DE MASSA LÁTEX EM TETO, UMA DEMÃO. AF_06/2014</t>
  </si>
  <si>
    <t>1.8.6</t>
  </si>
  <si>
    <t>88488</t>
  </si>
  <si>
    <t>APLICAÇÃO MANUAL DE PINTURA COM TINTA LÁTEX ACRÍLICA EM TETO, DUAS DEMÃOS. AF_06/2014</t>
  </si>
  <si>
    <t>1.9</t>
  </si>
  <si>
    <t>REVESTIMENTOS EXTERNOS</t>
  </si>
  <si>
    <t>1.9.1</t>
  </si>
  <si>
    <t>87894</t>
  </si>
  <si>
    <t>CHAPISCO APLICADO EM ALVENARIA (SEM PRESENÇA DE VÃOS) E ESTRUTURAS DE CONCRETO DE FACHADA, COM COLHER DE PEDREIRO.  ARGAMASSA TRAÇO 1:3 COM PREPARO EM BETONEIRA 400L. AF_10/2022</t>
  </si>
  <si>
    <t>1.9.2</t>
  </si>
  <si>
    <t>104233</t>
  </si>
  <si>
    <t>EMBOÇO OU MASSA ÚNICA EM ARGAMASSA TRAÇO 1:2:8, PREPARO MECÂNICA COM BETONEIRA 400 L, APLICADA MANUALMENTE EM PANOS DE FACHADA SEM PRESENÇA DE VÃOS, ESPESSURA DE 25 MM, ACESSO POR ANDAIME. AF_08/2022</t>
  </si>
  <si>
    <t>1.9.3</t>
  </si>
  <si>
    <t>composição 6</t>
  </si>
  <si>
    <t>REVESTIMENTO PORCELANATO MADEIRADO PARA PAREDES COM PLACAS TIPO ESMALTADA EXTRA DE DIMENSÕES 20X120 CM [ADAPTADO SINAPI 87244]</t>
  </si>
  <si>
    <t>1.9.4</t>
  </si>
  <si>
    <t>composição  7</t>
  </si>
  <si>
    <t>REVESTIMENTO PORCELANATO MARMORIZADO PARA PAREDES E PISO COM PLACAS TIPO ESMALTADA EXTRA DE DIMENSÕES 80X80 CM [ADAPTADO SINAPI 87244]</t>
  </si>
  <si>
    <t>M²</t>
  </si>
  <si>
    <t>1.9.5</t>
  </si>
  <si>
    <t>1.9.6</t>
  </si>
  <si>
    <t>96130</t>
  </si>
  <si>
    <t>APLICAÇÃO MANUAL DE MASSA ACRÍLICA EM PAREDES EXTERNAS DE CASAS, UMA DEMÃO. AF_05/2017</t>
  </si>
  <si>
    <t>1.9.7</t>
  </si>
  <si>
    <t>1.10</t>
  </si>
  <si>
    <t>INSTALAÇÃO ELÉTRICA</t>
  </si>
  <si>
    <t>1.10.1</t>
  </si>
  <si>
    <t>92868</t>
  </si>
  <si>
    <t>CAIXA RETANGULAR 4" X 2" MÉDIA (1,30 M DO PISO), METÁLICA, INSTALADA EM PAREDE - FORNECIMENTO E INSTALAÇÃO. AF_03/2023</t>
  </si>
  <si>
    <t>1.10.2</t>
  </si>
  <si>
    <t>91937</t>
  </si>
  <si>
    <t>CAIXA OCTOGONAL 3" X 3", PVC, INSTALADA EM LAJE - FORNECIMENTO E INSTALAÇÃO. AF_03/2023</t>
  </si>
  <si>
    <t>1.10.3</t>
  </si>
  <si>
    <t>91924</t>
  </si>
  <si>
    <t>CABO DE COBRE FLEXÍVEL ISOLADO, 1,5 MM², ANTI-CHAMA 450/750 V, PARA CIRCUITOS TERMINAIS - FORNECIMENTO E INSTALAÇÃO. AF_03/2023</t>
  </si>
  <si>
    <t>1.10.4</t>
  </si>
  <si>
    <t>91926</t>
  </si>
  <si>
    <t>CABO DE COBRE FLEXÍVEL ISOLADO, 2,5 MM², ANTI-CHAMA 450/750 V, PARA CIRCUITOS TERMINAIS - FORNECIMENTO E INSTALAÇÃO. AF_03/2023</t>
  </si>
  <si>
    <t>1.10.5</t>
  </si>
  <si>
    <t>91928</t>
  </si>
  <si>
    <t>CABO DE COBRE FLEXÍVEL ISOLADO, 4 MM², ANTI-CHAMA 450/750 V, PARA CIRCUITOS TERMINAIS - FORNECIMENTO E INSTALAÇÃO. AF_03/2023</t>
  </si>
  <si>
    <t>1.10.6</t>
  </si>
  <si>
    <t>91931</t>
  </si>
  <si>
    <t>CABO DE COBRE FLEXÍVEL ISOLADO, 6 MM², ANTI-CHAMA 0,6/1,0 KV, PARA CIRCUITOS TERMINAIS - FORNECIMENTO E INSTALAÇÃO. AF_03/2023</t>
  </si>
  <si>
    <t>1.10.7</t>
  </si>
  <si>
    <t>00039773</t>
  </si>
  <si>
    <t>CAIXA DE PASSAGEM METALICA DE SOBREPOR COM TAMPA PARAFUSADA, DIMENSOES 40 X 40 X 15 CM</t>
  </si>
  <si>
    <t>1.10.8</t>
  </si>
  <si>
    <t>101890</t>
  </si>
  <si>
    <t>DISJUNTOR MONOPOLAR TIPO NEMA, CORRENTE NOMINAL DE 10 ATÉ 30A - FORNECIMENTO E INSTALAÇÃO. AF_10/2020</t>
  </si>
  <si>
    <t>1.10.9</t>
  </si>
  <si>
    <t>93670</t>
  </si>
  <si>
    <t>DISJUNTOR TRIPOLAR TIPO DIN, CORRENTE NOMINAL DE 25A - FORNECIMENTO E INSTALAÇÃO. AF_10/2020</t>
  </si>
  <si>
    <t>1.10.10</t>
  </si>
  <si>
    <t>93671</t>
  </si>
  <si>
    <t>DISJUNTOR TRIPOLAR TIPO DIN, CORRENTE NOMINAL DE 32A - FORNECIMENTO E INSTALAÇÃO. AF_10/2020</t>
  </si>
  <si>
    <t>1.10.11</t>
  </si>
  <si>
    <t>00039466</t>
  </si>
  <si>
    <t>DISPOSITIVO DPS CLASSE II, 1 POLO, TENSAO MAXIMA DE 175 V, CORRENTE MAXIMA DE *30* KA (TIPO AC)</t>
  </si>
  <si>
    <t>1.10.12</t>
  </si>
  <si>
    <t>00039445</t>
  </si>
  <si>
    <t>DISPOSITIVO DR, 2 POLOS, SENSIBILIDADE DE 30 MA, CORRENTE DE 25 A, TIPO AC</t>
  </si>
  <si>
    <t>1.10.13</t>
  </si>
  <si>
    <t>00039446</t>
  </si>
  <si>
    <t>DISPOSITIVO DR, 2 POLOS, SENSIBILIDADE DE 30 MA, CORRENTE DE 40 A, TIPO AC</t>
  </si>
  <si>
    <t>1.10.14</t>
  </si>
  <si>
    <t>91953</t>
  </si>
  <si>
    <t>INTERRUPTOR SIMPLES (1 MÓDULO), 10A/250V, INCLUINDO SUPORTE E PLACA - FORNECIMENTO E INSTALAÇÃO. AF_03/2023</t>
  </si>
  <si>
    <t>1.10.15</t>
  </si>
  <si>
    <t>91967</t>
  </si>
  <si>
    <t>INTERRUPTOR SIMPLES (3 MÓDULOS), 10A/250V, INCLUINDO SUPORTE E PLACA - FORNECIMENTO E INSTALAÇÃO. AF_03/2023</t>
  </si>
  <si>
    <t>1.10.16</t>
  </si>
  <si>
    <t>92000</t>
  </si>
  <si>
    <t>TOMADA BAIXA DE EMBUTIR (1 MÓDULO), 2P+T 10 A, INCLUINDO SUPORTE E PLACA - FORNECIMENTO E INSTALAÇÃO. AF_03/2023</t>
  </si>
  <si>
    <t>1.10.17</t>
  </si>
  <si>
    <t>92008</t>
  </si>
  <si>
    <t>TOMADA BAIXA DE EMBUTIR (2 MÓDULOS), 2P+T 10 A, INCLUINDO SUPORTE E PLACA - FORNECIMENTO E INSTALAÇÃO. AF_03/2023</t>
  </si>
  <si>
    <t>1.10.18</t>
  </si>
  <si>
    <t>91959</t>
  </si>
  <si>
    <t>INTERRUPTOR SIMPLES (2 MÓDULOS), 10A/250V, INCLUINDO SUPORTE E PLACA - FORNECIMENTO E INSTALAÇÃO. AF_03/2023</t>
  </si>
  <si>
    <t>1.10.19</t>
  </si>
  <si>
    <t>91834</t>
  </si>
  <si>
    <t>ELETRODUTO FLEXÍVEL CORRUGADO, PVC, DN 25 MM (3/4"), PARA CIRCUITOS TERMINAIS, INSTALADO EM FORRO - FORNECIMENTO E INSTALAÇÃO. AF_03/2023</t>
  </si>
  <si>
    <t>1.10.20</t>
  </si>
  <si>
    <t>91868</t>
  </si>
  <si>
    <t>ELETRODUTO RÍGIDO ROSCÁVEL, PVC, DN 32 MM (1"), PARA CIRCUITOS TERMINAIS, INSTALADO EM LAJE - FORNECIMENTO E INSTALAÇÃO. AF_03/2023</t>
  </si>
  <si>
    <t>1.10.21</t>
  </si>
  <si>
    <t>91867</t>
  </si>
  <si>
    <t>ELETRODUTO RÍGIDO ROSCÁVEL, PVC, DN 25 MM (3/4"), PARA CIRCUITOS TERMINAIS, INSTALADO EM LAJE - FORNECIMENTO E INSTALAÇÃO. AF_03/2023</t>
  </si>
  <si>
    <t>1.10.22</t>
  </si>
  <si>
    <t>101654</t>
  </si>
  <si>
    <t>LUMINÁRIA DE LED PARA ILUMINAÇÃO PÚBLICA, DE 33 W ATÉ 50 W - FORNECIMENTO E INSTALAÇÃO. AF_08/2020</t>
  </si>
  <si>
    <t>1.10.23</t>
  </si>
  <si>
    <t>103782</t>
  </si>
  <si>
    <t>LUMINÁRIA TIPO PLAFON CIRCULAR, DE SOBREPOR, COM LED DE 12/13 W - FORNECIMENTO E INSTALAÇÃO. AF_03/2022</t>
  </si>
  <si>
    <t>1.10.24</t>
  </si>
  <si>
    <t>101509</t>
  </si>
  <si>
    <t>ENTRADA DE ENERGIA ELÉTRICA, AÉREA, TRIFÁSICA, COM CAIXA DE EMBUTIR, CABO DE 10 MM2 E DISJUNTOR DIN 50A (NÃO INCLUSO O POSTE DE CONCRETO). AF_07/2020_PS</t>
  </si>
  <si>
    <t>1.10.25</t>
  </si>
  <si>
    <t>00005044</t>
  </si>
  <si>
    <t>POSTE DE CONCRETO ARMADO DE SECAO CIRCULAR, EXTENSAO DE 9,00 M, RESISTENCIA DE 200 A 300 DAN, TIPO C-14</t>
  </si>
  <si>
    <t>1.10.26</t>
  </si>
  <si>
    <t>101879</t>
  </si>
  <si>
    <t>QUADRO DE DISTRIBUIÇÃO DE ENERGIA EM CHAPA DE AÇO GALVANIZADO, DE EMBUTIR, COM BARRAMENTO TRIFÁSICO, PARA 24 DISJUNTORES DIN 100A - FORNECIMENTO E INSTALAÇÃO. AF_10/2020</t>
  </si>
  <si>
    <t>1.10.27</t>
  </si>
  <si>
    <t>1.10.28</t>
  </si>
  <si>
    <t>92023</t>
  </si>
  <si>
    <t>INTERRUPTOR SIMPLES (1 MÓDULO) COM 1 TOMADA DE EMBUTIR 2P+T 10 A, INCLUINDO SUPORTE E PLACA - FORNECIMENTO E INSTALAÇÃO. AF_03/2023</t>
  </si>
  <si>
    <t>1.11</t>
  </si>
  <si>
    <t>PISOS</t>
  </si>
  <si>
    <t>1.11.1</t>
  </si>
  <si>
    <t>96620</t>
  </si>
  <si>
    <t>LASTRO DE CONCRETO MAGRO, APLICADO EM PISOS, LAJES SOBRE SOLO OU RADIERS. AF_08/2017</t>
  </si>
  <si>
    <t>1.11.2</t>
  </si>
  <si>
    <t>94439</t>
  </si>
  <si>
    <t>(COMPOSIÇÃO REPRESENTATIVA) DO SERVIÇO DE CONTRAPISO EM ARGAMASSA TRAÇO 1:4 (CIM E AREIA), BETONEIRA 400 L, E = 4 CM ÁREAS SECAS E  MOLHADAS SOBRE LAJE , E = 3 CM ÁREAS MOLHADAS SOBRE IMPERMEABILIZAÇÃO, CASA E EDIFICAÇÃO PÚBLICA PADRÃO. AF_11/2014</t>
  </si>
  <si>
    <t>1.11.3</t>
  </si>
  <si>
    <t>87257</t>
  </si>
  <si>
    <t>REVESTIMENTO CERÂMICO PARA PISO COM PLACAS TIPO ESMALTADA EXTRA DE DIMENSÕES 60X60 CM APLICADA EM AMBIENTES DE ÁREA MAIOR QUE 10 M2. AF_02/2023_PE</t>
  </si>
  <si>
    <t>1.11.4</t>
  </si>
  <si>
    <t>92403</t>
  </si>
  <si>
    <t>EXECUÇÃO DE PAVIMENTO EM PISO INTERTRAVADO, COM BLOCO 16 FACES DE 22 X 11 CM, ESPESSURA 6 CM. AF_10/2022</t>
  </si>
  <si>
    <t>1.11.5</t>
  </si>
  <si>
    <t>94273</t>
  </si>
  <si>
    <t>ASSENTAMENTO DE GUIA (MEIO-FIO) EM TRECHO RETO, CONFECCIONADA EM CONCRETO PRÉ-FABRICADO, DIMENSÕES 100X15X13X30 CM (COMPRIMENTO X BASE INFERIOR X BASE SUPERIOR X ALTURA), PARA VIAS URBANAS (USO VIÁRIO). AF_06/2016</t>
  </si>
  <si>
    <t>1.11.6</t>
  </si>
  <si>
    <t>00000368</t>
  </si>
  <si>
    <t>AREIA PARA ATERRO - POSTO JAZIDA/FORNECEDOR (RETIRADO NA JAZIDA, SEM TRANSPORTE)</t>
  </si>
  <si>
    <t>1.11.7</t>
  </si>
  <si>
    <t>98504</t>
  </si>
  <si>
    <t>PLANTIO DE GRAMA BATATAIS EM PLACAS. AF_05/2018</t>
  </si>
  <si>
    <t>1.11.8</t>
  </si>
  <si>
    <t>103913</t>
  </si>
  <si>
    <t>EXECUÇÃO DE PISO INDUSTRIAL DE CONCRETO ARMADO, FCK = 20 MPA, ESPESSURA DE 12,0 CM. AF_04/2022</t>
  </si>
  <si>
    <t>1.12</t>
  </si>
  <si>
    <t>COBERTA</t>
  </si>
  <si>
    <t>1.12.1</t>
  </si>
  <si>
    <t>94207</t>
  </si>
  <si>
    <t>TELHAMENTO COM TELHA ONDULADA DE FIBROCIMENTO E = 6 MM, COM RECOBRIMENTO LATERAL DE 1/4 DE ONDA PARA TELHADO COM INCLINAÇÃO MAIOR QUE 10°, COM ATÉ 2 ÁGUAS, INCLUSO IÇAMENTO. AF_07/2019</t>
  </si>
  <si>
    <t>1.12.2</t>
  </si>
  <si>
    <t>98546</t>
  </si>
  <si>
    <t>IMPERMEABILIZAÇÃO DE SUPERFÍCIE COM MANTA ASFÁLTICA, UMA CAMADA, INCLUSIVE APLICAÇÃO DE PRIMER ASFÁLTICO, E=3MM. AF_06/2018</t>
  </si>
  <si>
    <t>1.12.3</t>
  </si>
  <si>
    <t>98565</t>
  </si>
  <si>
    <t>PROTEÇÃO MECÂNICA DE SUPERFICIE HORIZONTAL COM ARGAMASSA DE CIMENTO E AREIA, TRAÇO 1:3, E=3CM. AF_06/2018</t>
  </si>
  <si>
    <t>1.12.4</t>
  </si>
  <si>
    <t>100374</t>
  </si>
  <si>
    <t>FABRICAÇÃO E INSTALAÇÃO DE MEIA TESOURA DE MADEIRA NÃO APARELHADA, COM VÃO DE 10 M, PARA TELHA ONDULADA DE FIBROCIMENTO, ALUMÍNIO, PLÁSTICA OU TERMOACÚSTICA, INCLUSO IÇAMENTO. AF_07/2019</t>
  </si>
  <si>
    <t>1.12.5</t>
  </si>
  <si>
    <t>100375</t>
  </si>
  <si>
    <t>FABRICAÇÃO E INSTALAÇÃO DE MEIA TESOURA DE MADEIRA NÃO APARELHADA, COM VÃO DE 11 M, PARA TELHA ONDULADA DE FIBROCIMENTO, ALUMÍNIO, PLÁSTICA OU TERMOACÚSTICA, INCLUSO IÇAMENTO. AF_07/2019</t>
  </si>
  <si>
    <t>1.12.6</t>
  </si>
  <si>
    <t>92544</t>
  </si>
  <si>
    <t>TRAMA DE MADEIRA COMPOSTA POR TERÇAS PARA TELHADOS DE ATÉ 2 ÁGUAS PARA TELHA ESTRUTURAL DE FIBROCIMENTO, INCLUSO TRANSPORTE VERTICAL. AF_07/2019</t>
  </si>
  <si>
    <t>1.12.7</t>
  </si>
  <si>
    <t>100435</t>
  </si>
  <si>
    <t>RUFO EM FIBROCIMENTO PARA TELHA ONDULADA E = 6 MM, ABA DE 26 CM, INCLUSO TRANSPORTE VERTICAL, EXCETO CONTRARRUFO. AF_07/2019</t>
  </si>
  <si>
    <t>1.12.8</t>
  </si>
  <si>
    <t>94229</t>
  </si>
  <si>
    <t>CALHA EM CHAPA DE AÇO GALVANIZADO NÚMERO 24, DESENVOLVIMENTO DE 100 CM, INCLUSO TRANSPORTE VERTICAL. AF_07/2019</t>
  </si>
  <si>
    <t>1.12.9</t>
  </si>
  <si>
    <t>96113</t>
  </si>
  <si>
    <t>FORRO EM PLACAS DE GESSO, PARA AMBIENTES COMERCIAIS. AF_05/2017_PS</t>
  </si>
  <si>
    <t>1.13</t>
  </si>
  <si>
    <t>INSTALAÇÕES HIDROSANITÁRIAS E PLUVIAL</t>
  </si>
  <si>
    <t>1.13.1</t>
  </si>
  <si>
    <t>91785</t>
  </si>
  <si>
    <t>(COMPOSIÇÃO REPRESENTATIVA) DO SERVIÇO DE INSTALAÇÃO DE TUBOS DE PVC, SOLDÁVEL, ÁGUA FRIA, DN 25 MM (INSTALADO EM RAMAL, SUB-RAMAL, RAMAL DE DISTRIBUIÇÃO OU PRUMADA), INCLUSIVE CONEXÕES, CORTES E FIXAÇÕES, PARA PRÉDIOS. AF_10/2015</t>
  </si>
  <si>
    <t>1.13.2</t>
  </si>
  <si>
    <t>91784</t>
  </si>
  <si>
    <t>(COMPOSIÇÃO REPRESENTATIVA) DO SERVIÇO DE INSTALAÇÃO DE TUBOS DE PVC, SOLDÁVEL, ÁGUA FRIA, DN 20 MM (INSTALADO EM RAMAL, SUB-RAMAL OU RAMAL DE DISTRIBUIÇÃO), INCLUSIVE CONEXÕES, CORTES E FIXAÇÕES, PARA PRÉDIOS. AF_10/2015</t>
  </si>
  <si>
    <t>1.13.3</t>
  </si>
  <si>
    <t>91786</t>
  </si>
  <si>
    <t>(COMPOSIÇÃO REPRESENTATIVA) DO SERVIÇO DE INSTALAÇÃO TUBOS DE PVC, SOLDÁVEL, ÁGUA FRIA, DN 32 MM (INSTALADO EM RAMAL, SUB-RAMAL, RAMAL DE DISTRIBUIÇÃO OU PRUMADA), INCLUSIVE CONEXÕES, CORTES E FIXAÇÕES, PARA PRÉDIOS. AF_10/2015</t>
  </si>
  <si>
    <t>1.13.4</t>
  </si>
  <si>
    <t>91787</t>
  </si>
  <si>
    <t>(COMPOSIÇÃO REPRESENTATIVA) DO SERVIÇO DE INSTALAÇÃO DE TUBOS DE PVC, SOLDÁVEL, ÁGUA FRIA, DN 40 MM (INSTALADO EM PRUMADA), INCLUSIVE CONEXÕES, CORTES E FIXAÇÕES, PARA PRÉDIOS. AF_10/2015</t>
  </si>
  <si>
    <t>1.13.5</t>
  </si>
  <si>
    <t>89987</t>
  </si>
  <si>
    <t>REGISTRO DE GAVETA BRUTO, LATÃO, ROSCÁVEL, 3/4", COM ACABAMENTO E CANOPLA CROMADOS - FORNECIMENTO E INSTALAÇÃO. AF_08/2021</t>
  </si>
  <si>
    <t>1.13.6</t>
  </si>
  <si>
    <t>94490</t>
  </si>
  <si>
    <t>REGISTRO DE ESFERA, PVC, SOLDÁVEL, COM VOLANTE, DN  32 MM - FORNECIMENTO E INSTALAÇÃO. AF_08/2021</t>
  </si>
  <si>
    <t>1.13.7</t>
  </si>
  <si>
    <t>89985</t>
  </si>
  <si>
    <t>REGISTRO DE PRESSÃO BRUTO, LATÃO, ROSCÁVEL, 3/4", COM ACABAMENTO E CANOPLA CROMADOS - FORNECIMENTO E INSTALAÇÃO. AF_08/2021</t>
  </si>
  <si>
    <t>1.13.8</t>
  </si>
  <si>
    <t>102613</t>
  </si>
  <si>
    <t>CAIXA D´ÁGUA EM POLIÉSTER REFORÇADO COM FIBRA DE VIDRO, 1000 LITROS - FORNECIMENTO E INSTALAÇÃO. AF_06/2021</t>
  </si>
  <si>
    <t>1.13.9</t>
  </si>
  <si>
    <t>102609</t>
  </si>
  <si>
    <t>CAIXA D´ÁGUA EM POLIETILENO, 2000 LITROS - FORNECIMENTO E INSTALAÇÃO. AF_06/2021</t>
  </si>
  <si>
    <t>1.13.10</t>
  </si>
  <si>
    <t>94796</t>
  </si>
  <si>
    <t>TORNEIRA DE BOIA PARA CAIXA D'ÁGUA, ROSCÁVEL, 3/4" - FORNECIMENTO E INSTALAÇÃO. AF_08/2021</t>
  </si>
  <si>
    <t>1.13.11</t>
  </si>
  <si>
    <t>94491</t>
  </si>
  <si>
    <t>REGISTRO DE ESFERA, PVC, SOLDÁVEL, COM VOLANTE, DN  40 MM - FORNECIMENTO E INSTALAÇÃO. AF_08/2021</t>
  </si>
  <si>
    <t>1.13.12</t>
  </si>
  <si>
    <t>94492</t>
  </si>
  <si>
    <t>REGISTRO DE ESFERA, PVC, SOLDÁVEL, COM VOLANTE, DN  50 MM - FORNECIMENTO E INSTALAÇÃO. AF_08/2021</t>
  </si>
  <si>
    <t>1.13.13</t>
  </si>
  <si>
    <t>95675</t>
  </si>
  <si>
    <t>HIDRÔMETRO DN 25 (¾ ), 5,0 M³/H FORNECIMENTO E INSTALAÇÃO. AF_11/2016</t>
  </si>
  <si>
    <t>1.13.14</t>
  </si>
  <si>
    <t>97902</t>
  </si>
  <si>
    <t>CAIXA ENTERRADA HIDRÁULICA RETANGULAR EM ALVENARIA COM TIJOLOS CERÂMICOS MACIÇOS, DIMENSÕES INTERNAS: 0,6X0,6X0,6 M PARA REDE DE ESGOTO. AF_12/2020</t>
  </si>
  <si>
    <t>1.13.15</t>
  </si>
  <si>
    <t>99258</t>
  </si>
  <si>
    <t>CAIXA ENTERRADA HIDRÁULICA RETANGULAR, EM ALVENARIA COM BLOCOS DE CONCRETO, DIMENSÕES INTERNAS: 0,4X0,4X0,4 M PARA REDE DE DRENAGEM. AF_12/2020</t>
  </si>
  <si>
    <t>1.13.16</t>
  </si>
  <si>
    <t>89482</t>
  </si>
  <si>
    <t>CAIXA SIFONADA, PVC, DN 100 X 100 X 50 MM, FORNECIDA E INSTALADA EM RAMAIS DE ENCAMINHAMENTO DE ÁGUA PLUVIAL. AF_06/2022</t>
  </si>
  <si>
    <t>1.13.17</t>
  </si>
  <si>
    <t>91792</t>
  </si>
  <si>
    <t>(COMPOSIÇÃO REPRESENTATIVA) DO SERVIÇO DE INSTALAÇÃO DE TUBO DE PVC, SÉRIE NORMAL, ESGOTO PREDIAL, DN 40 MM (INSTALADO EM RAMAL DE DESCARGA OU RAMAL DE ESGOTO SANITÁRIO), INCLUSIVE CONEXÕES, CORTES E FIXAÇÕES, PARA PRÉDIOS. AF_10/2015</t>
  </si>
  <si>
    <t>1.13.18</t>
  </si>
  <si>
    <t>91793</t>
  </si>
  <si>
    <t>(COMPOSIÇÃO REPRESENTATIVA) DO SERVIÇO DE INSTALAÇÃO DE TUBO DE PVC, SÉRIE NORMAL, ESGOTO PREDIAL, DN 50 MM (INSTALADO EM RAMAL DE DESCARGA OU RAMAL DE ESGOTO SANITÁRIO), INCLUSIVE CONEXÕES, CORTES E FIXAÇÕES PARA, PRÉDIOS. AF_10/2015</t>
  </si>
  <si>
    <t>1.13.19</t>
  </si>
  <si>
    <t>98107</t>
  </si>
  <si>
    <t>CAIXA DE GORDURA SIMPLES (CAPACIDADE: 36 L), RETANGULAR, EM ALVENARIA COM BLOCOS DE CONCRETO, DIMENSÕES INTERNAS = 0,2X0,4 M, ALTURA INTERNA = 0,8 M. AF_12/2020</t>
  </si>
  <si>
    <t>1.13.20</t>
  </si>
  <si>
    <t>91795</t>
  </si>
  <si>
    <t>(COMPOSIÇÃO REPRESENTATIVA) DO SERVIÇO DE INST. TUBO PVC, SÉRIE N, ESGOTO PREDIAL, 100 MM (INST. RAMAL DESCARGA, RAMAL DE ESG. SANIT., PRUMADA ESG. SANIT., VENTILAÇÃO OU SUB-COLETOR AÉREO), INCL. CONEXÕES E CORTES, FIXAÇÕES, P/ PRÉDIOS. AF_10/2015</t>
  </si>
  <si>
    <t>1.13.21</t>
  </si>
  <si>
    <t>99251</t>
  </si>
  <si>
    <t>CAIXA ENTERRADA HIDRÁULICA RETANGULAR EM ALVENARIA COM TIJOLOS CERÂMICOS MACIÇOS, DIMENSÕES INTERNAS: 0,4X0,4X0,4 M PARA REDE DE DRENAGEM. AF_12/2020</t>
  </si>
  <si>
    <t>1.13.22</t>
  </si>
  <si>
    <t>91790</t>
  </si>
  <si>
    <t>(COMPOSIÇÃO REPRESENTATIVA) DO SERVIÇO DE INSTALAÇÃO DE TUBOS DE PVC, SÉRIE R, ÁGUA PLUVIAL, DN 100 MM (INSTALADO EM RAMAL DE ENCAMINHAMENTO, OU CONDUTORES VERTICAIS), INCLUSIVE CONEXÕES, CORTES E FIXAÇÕES, PARA PRÉDIOS. AF_10/2015</t>
  </si>
  <si>
    <t>1.14</t>
  </si>
  <si>
    <t>LOUÇAS E METAIS</t>
  </si>
  <si>
    <t>1.14.1</t>
  </si>
  <si>
    <t>composição 10</t>
  </si>
  <si>
    <t>BANCADA DE GRANITO VERDE UBATUBA - FORNECIMENTO E INSTALAÇÃO. [ADAPTADO ORSE 11150]</t>
  </si>
  <si>
    <t>1.14.2</t>
  </si>
  <si>
    <t>86906</t>
  </si>
  <si>
    <t>TORNEIRA CROMADA DE MESA, 1/2? OU 3/4?, PARA LAVATÓRIO, PADRÃO POPULAR - FORNECIMENTO E INSTALAÇÃO. AF_01/2020</t>
  </si>
  <si>
    <t>1.14.3</t>
  </si>
  <si>
    <t>86911</t>
  </si>
  <si>
    <t>TORNEIRA CROMADA LONGA, DE PAREDE, 1/2? OU 3/4?, PARA PIA DE COZINHA, PADRÃO POPULAR - FORNECIMENTO E INSTALAÇÃO. AF_01/2020</t>
  </si>
  <si>
    <t>1.14.4</t>
  </si>
  <si>
    <t>00010428</t>
  </si>
  <si>
    <t>LAVATORIO / CUBA DE SOBREPOR, RETANGULAR, DE LOUCA COLORIDA, COM LADRAO, DIMENSOES *52 X 45* CM (L X C)</t>
  </si>
  <si>
    <t>1.14.5</t>
  </si>
  <si>
    <t>86932</t>
  </si>
  <si>
    <t>VASO SANITÁRIO SIFONADO COM CAIXA ACOPLADA LOUÇA BRANCA - PADRÃO MÉDIO, INCLUSO ENGATE FLEXÍVEL EM METAL CROMADO, 1/2  X 40CM - FORNECIMENTO E INSTALAÇÃO. AF_01/2020</t>
  </si>
  <si>
    <t>1.14.6</t>
  </si>
  <si>
    <t>86935</t>
  </si>
  <si>
    <t>CUBA DE EMBUTIR DE AÇO INOXIDÁVEL MÉDIA, INCLUSO VÁLVULA TIPO AMERICANA EM METAL CROMADO E SIFÃO FLEXÍVEL EM PVC - FORNECIMENTO E INSTALAÇÃO. AF_01/2020</t>
  </si>
  <si>
    <t>1.14.7</t>
  </si>
  <si>
    <t>100868</t>
  </si>
  <si>
    <t>BARRA DE APOIO RETA, EM ACO INOX POLIDO, COMPRIMENTO 80 CM,  FIXADA NA PAREDE - FORNECIMENTO E INSTALAÇÃO. AF_01/2020</t>
  </si>
  <si>
    <t>1.14.8</t>
  </si>
  <si>
    <t>86942</t>
  </si>
  <si>
    <t>LAVATÓRIO LOUÇA BRANCA SUSPENSO, 29,5 X 39CM OU EQUIVALENTE, PADRÃO POPULAR, INCLUSO SIFÃO TIPO GARRAFA EM PVC, VÁLVULA E ENGATE FLEXÍVEL 30CM EM PLÁSTICO E TORNEIRA CROMADA DE MESA, PADRÃO POPULAR - FORNECIMENTO E INSTALAÇÃO. AF_01/2020</t>
  </si>
  <si>
    <t>1.14.9</t>
  </si>
  <si>
    <t>86923</t>
  </si>
  <si>
    <t>TANQUE DE LOUÇA BRANCA SUSPENSO, 18L OU EQUIVALENTE, INCLUSO SIFÃO TIPO GARRAFA EM PVC, VÁLVULA PLÁSTICA E TORNEIRA DE METAL CROMADO PADRÃO POPULAR - FORNECIMENTO E INSTALAÇÃO. AF_01/2020</t>
  </si>
  <si>
    <t>1.14.10</t>
  </si>
  <si>
    <t>95472</t>
  </si>
  <si>
    <t>VASO SANITARIO SIFONADO CONVENCIONAL PARA PCD SEM FURO FRONTAL COM LOUÇA BRANCA SEM ASSENTO, INCLUSO CONJUNTO DE LIGAÇÃO PARA BACIA SANITÁRIA AJUSTÁVEL - FORNECIMENTO E INSTALAÇÃO. AF_01/2020</t>
  </si>
  <si>
    <t>1.14.11</t>
  </si>
  <si>
    <t>102253</t>
  </si>
  <si>
    <t>DIVISORIA SANITÁRIA, TIPO CABINE, EM GRANITO CINZA POLIDO, ESP = 3CM, ASSENTADO COM ARGAMASSA COLANTE AC III-E, EXCLUSIVE FERRAGENS. AF_01/2021</t>
  </si>
  <si>
    <t>1.14.12</t>
  </si>
  <si>
    <t>100860</t>
  </si>
  <si>
    <t>CHUVEIRO ELÉTRICO COMUM CORPO PLÁSTICO, TIPO DUCHA ? FORNECIMENTO E INSTALAÇÃO. AF_01/2020</t>
  </si>
  <si>
    <t>1.15</t>
  </si>
  <si>
    <t>MURO EXTERNO</t>
  </si>
  <si>
    <t>1.15.1</t>
  </si>
  <si>
    <t>1.15.2</t>
  </si>
  <si>
    <t>1.15.3</t>
  </si>
  <si>
    <t>1.15.4</t>
  </si>
  <si>
    <t>93205</t>
  </si>
  <si>
    <t>CINTA DE AMARRAÇÃO DE ALVENARIA MOLDADA IN LOCO COM UTILIZAÇÃO DE BLOCOS CANALETA. AF_03/2016</t>
  </si>
  <si>
    <t>1.15.5</t>
  </si>
  <si>
    <t>1.15.6</t>
  </si>
  <si>
    <t>1.15.7</t>
  </si>
  <si>
    <t>1.15.8</t>
  </si>
  <si>
    <t>1.15.9</t>
  </si>
  <si>
    <t>103800</t>
  </si>
  <si>
    <t>PEDRA ARGAMASSADA COM CIMENTO E AREIA 1:3, 40% DE ARGAMASSA EM VOLUME - AREIA E PEDRA DE MÃO COMERCIAIS - FORNECIMENTO E ASSENTAMENTO. AF_08/2022</t>
  </si>
  <si>
    <t>1.15.10</t>
  </si>
  <si>
    <t>1.15.11</t>
  </si>
  <si>
    <t>1.15.12</t>
  </si>
  <si>
    <t>1.15.13</t>
  </si>
  <si>
    <t>1.15.14</t>
  </si>
  <si>
    <t>1.15.15</t>
  </si>
  <si>
    <t>1.15.16</t>
  </si>
  <si>
    <t>1.15.17</t>
  </si>
  <si>
    <t>1.15.18</t>
  </si>
  <si>
    <t>1.15.19</t>
  </si>
  <si>
    <t>95305</t>
  </si>
  <si>
    <t>TEXTURA ACRÍLICA, APLICAÇÃO MANUAL EM PAREDE, UMA DEMÃO. AF_09/2016</t>
  </si>
  <si>
    <t>1.16</t>
  </si>
  <si>
    <t>EQUIPAMENTOS</t>
  </si>
  <si>
    <t>1.16.1</t>
  </si>
  <si>
    <t>composição 17</t>
  </si>
  <si>
    <t>BRINQUEDO - GANGORRA EM ESTRUTURA DE CONCRETO, TUBO DE FERRO GALVANIZADO DE 3'' E 4'' E ASSENTO DE MADEIRA, COM 03 PRANCHAS [ADAPTADO DE ORSE 9159]</t>
  </si>
  <si>
    <t>1.16.2</t>
  </si>
  <si>
    <t>composição 18</t>
  </si>
  <si>
    <t>BRINQUEDO - BALANÇO EM ESTRUTURA DE CONCRETO, 02 LUGARES, COM ASSENTO DE MADEIRA, CORRENTE REVESTIDA C/MANGUEIRA PLÁSTICA TRANSP., FIXADO EM TUBO FERRO GALV.4'' [ADAPTADO DE ORSE 9166]</t>
  </si>
  <si>
    <t>VALOR BDI TOTAL:</t>
  </si>
  <si>
    <t>VALOR ORÇAMENTO:</t>
  </si>
  <si>
    <t>VALOR TOTAL:</t>
  </si>
  <si>
    <t>OBJETO:</t>
  </si>
  <si>
    <t>CONTRATO:</t>
  </si>
  <si>
    <t>LICITAÇÃO Nº:</t>
  </si>
  <si>
    <t>VALOR CONTRATADO:</t>
  </si>
  <si>
    <t>EMPRESA CONTRATADA:</t>
  </si>
  <si>
    <t>CNPJ:</t>
  </si>
  <si>
    <t>CONTRATANTE:</t>
  </si>
  <si>
    <t>ALX CONSTRUÇÕES E LOCAÇÕES</t>
  </si>
  <si>
    <t>17.490.708/0001-70</t>
  </si>
  <si>
    <t xml:space="preserve">DATA </t>
  </si>
  <si>
    <t>PERÍODO DA MEDIÇÃO</t>
  </si>
  <si>
    <t>VALOR DA MEDIÇÃO:</t>
  </si>
  <si>
    <t>VALOR ACUMULADO ANTERIOR:</t>
  </si>
  <si>
    <t>MEDIÇÃO:</t>
  </si>
  <si>
    <r>
      <rPr>
        <b/>
        <sz val="8"/>
        <rFont val="Arial"/>
        <family val="2"/>
      </rPr>
      <t xml:space="preserve">
</t>
    </r>
  </si>
  <si>
    <r>
      <rPr>
        <b/>
        <sz val="7"/>
        <rFont val="Segoe UI"/>
        <family val="2"/>
      </rPr>
      <t>ITEM</t>
    </r>
  </si>
  <si>
    <r>
      <rPr>
        <b/>
        <sz val="7"/>
        <rFont val="Segoe UI"/>
        <family val="2"/>
      </rPr>
      <t>CÓDIGO</t>
    </r>
  </si>
  <si>
    <r>
      <rPr>
        <b/>
        <sz val="7"/>
        <rFont val="Segoe UI"/>
        <family val="2"/>
      </rPr>
      <t>DESCRIÇÃO</t>
    </r>
  </si>
  <si>
    <r>
      <rPr>
        <b/>
        <sz val="7"/>
        <rFont val="Segoe UI"/>
        <family val="2"/>
      </rPr>
      <t>UND</t>
    </r>
  </si>
  <si>
    <r>
      <rPr>
        <b/>
        <sz val="7"/>
        <rFont val="Segoe UI"/>
        <family val="2"/>
      </rPr>
      <t>QUANTIDADE</t>
    </r>
  </si>
  <si>
    <t>FINANCEIRO</t>
  </si>
  <si>
    <t>PREVISTA</t>
  </si>
  <si>
    <t>MEDIDA NO PERÍODO 1</t>
  </si>
  <si>
    <t>MEDIDA NO PERÍODO 2</t>
  </si>
  <si>
    <t>MEDIDA NO PERÍODO 3</t>
  </si>
  <si>
    <t>MEDIDA NO PERÍODO 4</t>
  </si>
  <si>
    <t>MEDIDA NO PERÍODO 5</t>
  </si>
  <si>
    <t>MEDIDA NO PERÍODO 6</t>
  </si>
  <si>
    <t>MEDIDA NO PERÍODO 7</t>
  </si>
  <si>
    <t>ACUMULADA (INCLUSIVE ESTA)</t>
  </si>
  <si>
    <t>SALDO</t>
  </si>
  <si>
    <t>CONSTRUÇÃO DA CASA DE ACOLHIMENTO PARA CRIANÇAS E ADOCESLENTES, "CASA LAR", NO MUNICÍPIO DE SOUSA/PB.</t>
  </si>
  <si>
    <t>CUSTO UNITÁRIO (C/ BDI)</t>
  </si>
  <si>
    <t>682/2023</t>
  </si>
  <si>
    <t>01</t>
  </si>
  <si>
    <t>CONTRATADA</t>
  </si>
  <si>
    <t>MEDIÇÃO 01</t>
  </si>
  <si>
    <t>ACUMULADA INCLUSIVE ESTA</t>
  </si>
  <si>
    <t>MEDIÇÃO 02</t>
  </si>
  <si>
    <t>MEDIÇÃO 03</t>
  </si>
  <si>
    <t>MEDIÇÃO 04</t>
  </si>
  <si>
    <t>MEDIÇÃO 05</t>
  </si>
  <si>
    <t>MEDIÇÃO 06</t>
  </si>
  <si>
    <t>MEDIÇÃO 07</t>
  </si>
  <si>
    <t>03/2023</t>
  </si>
  <si>
    <t>VEZ</t>
  </si>
  <si>
    <t>DADOS</t>
  </si>
  <si>
    <t>L</t>
  </si>
  <si>
    <t>C</t>
  </si>
  <si>
    <t>H</t>
  </si>
  <si>
    <t>ACUMULADO ANTERIOR</t>
  </si>
  <si>
    <t>PARCIAL</t>
  </si>
  <si>
    <t>TOTAL</t>
  </si>
  <si>
    <t>CONTRATADO</t>
  </si>
  <si>
    <t>FOTOGRAFIAS</t>
  </si>
  <si>
    <t>BOLETIM DE MEDIÇÃO 01 - MEMORIAL DE CÁLCULO</t>
  </si>
  <si>
    <t>BOLETIM 01 - MEMORIAL FOTOGRÁFICO</t>
  </si>
  <si>
    <t>PERÍMETRO DA INTERVENÇÃO</t>
  </si>
  <si>
    <t>S46=S52=S53=S54=S55=S56=S57=S58=S59=S60=S61=S62=S63=S64=S65=S66=S68=S69=S70=S71=S72=S74=S76=S77=S78=S79=S80=S84=S85=S86=S87=S88</t>
  </si>
  <si>
    <t>S1=S2=S3=S4=S6=S8=S9=S10=S11=S12=S13=S14=S15=S16=S17=S21=S22=S23=S24=S25=S26=S27=S28=S29=S30=S31=S32=S36=S37=S38=S39=S40=S41=S42=S43=S44=S47=S48=S49=S50=S51</t>
  </si>
  <si>
    <t>S33</t>
  </si>
  <si>
    <t>S7=S83</t>
  </si>
  <si>
    <t>S5=S18=S19=S20=S35=S45=S75</t>
  </si>
  <si>
    <t>S34=S67=S73</t>
  </si>
  <si>
    <t>S81=S82</t>
  </si>
  <si>
    <t xml:space="preserve">VOLUME DE ESCAVAÇÃO - VOLUME DE CONCRETO DA FUNDAÇÃO </t>
  </si>
  <si>
    <t>SAPATAS DOS PILARES</t>
  </si>
  <si>
    <t>FUNDAÇÃO EM PEDRA</t>
  </si>
  <si>
    <t>SAPATAS (MURO)</t>
  </si>
  <si>
    <t xml:space="preserve">TOCO DE PILARES </t>
  </si>
  <si>
    <t>ITEM REFERENTE AO CONCRETO</t>
  </si>
  <si>
    <t xml:space="preserve">TOCO DE PILAR </t>
  </si>
  <si>
    <t xml:space="preserve">Corte do Estribo (M) </t>
  </si>
  <si>
    <t>Espaçamento (M)</t>
  </si>
  <si>
    <t>Altura Toco (M)</t>
  </si>
  <si>
    <t>N° de vergalhões</t>
  </si>
  <si>
    <t>Altura dobra e toco (M)</t>
  </si>
  <si>
    <t>SAPATAS</t>
  </si>
  <si>
    <t>REFERENTE A 80% DA EXECUÇÃO DAS SAPATAS.</t>
  </si>
  <si>
    <t xml:space="preserve">VOLUME DE CONCRETO (SAPATAS) </t>
  </si>
  <si>
    <t>VOLUME DE ESCAVAÇÃO (SAPATAS)</t>
  </si>
  <si>
    <t>PREFEITURA MUNICIPAL DE SOUSA</t>
  </si>
  <si>
    <t>MEDIDA NO PERÍODO 01</t>
  </si>
  <si>
    <t>RESULTADO</t>
  </si>
  <si>
    <t>21/11/2023 a 21/12/2023</t>
  </si>
  <si>
    <t>BOLETIM DE MEDIÇÃO 02</t>
  </si>
  <si>
    <t>02</t>
  </si>
  <si>
    <t>BOLETIM 02 - MEMORIAL FOTOGRÁFICO</t>
  </si>
  <si>
    <t>BOLETIM DE MEDIÇÃO 02 - MEMORIAL DE CÁLCULO</t>
  </si>
  <si>
    <t>ÁREA DA INTERVENÇÃO</t>
  </si>
  <si>
    <t>VIGAS BALDRAME</t>
  </si>
  <si>
    <t>V22</t>
  </si>
  <si>
    <t>V51</t>
  </si>
  <si>
    <t>V46</t>
  </si>
  <si>
    <t>V55</t>
  </si>
  <si>
    <t>V20</t>
  </si>
  <si>
    <t>V21</t>
  </si>
  <si>
    <t>V19</t>
  </si>
  <si>
    <t>VOLUME DE ESCAVAÇÃO (SAPATAS + BALDRAME)</t>
  </si>
  <si>
    <t>VOLUME DE CONTRETO (SAPATAS + BALDRAME)</t>
  </si>
  <si>
    <t>BALDRAMES</t>
  </si>
  <si>
    <t>PESO ESPECÍFICO (KG/M)</t>
  </si>
  <si>
    <t xml:space="preserve">N° DE BARRAS E COMPRIMENTO </t>
  </si>
  <si>
    <t xml:space="preserve">CONFORME VOLUME DE CONCRETO </t>
  </si>
  <si>
    <t>P87, P86 (NIVEL ABAIXO DA VIGA BALDRAME)</t>
  </si>
  <si>
    <t>P56, P55, P54 (NIVEL ABAIXO DA VIGA BALDRAME)</t>
  </si>
  <si>
    <t>P50, P49, P48, P42, P41 (NIVEL ABAIXO DA VIGA BALDRAME)</t>
  </si>
  <si>
    <t>P38, P37, P36, P29, P28, P27 (NIVEL ABAIXO DA VIGA BALDRAME)</t>
  </si>
  <si>
    <t>P21, P20, P19 (NIVEL ABAIXO DA VIGA BALDRAME)</t>
  </si>
  <si>
    <t>P53, P52, P47, P46 (NIVEL ABAIXO DA VIGA BALDRAME)</t>
  </si>
  <si>
    <t>P39, P40 (NIVEL ABAIXO DA VIGA BALDRAME)</t>
  </si>
  <si>
    <t>P35, P34, P31, P30, P26, P25 (NIVEL ABAIXO DA VIGA BALDRAME)</t>
  </si>
  <si>
    <t>P18, P17, P16 (NIVEL ABAIXO DA VIGA BALDRAME)</t>
  </si>
  <si>
    <t>P79, P78, P72, P71 (NIVEL ABAIXO DA VIGA BALDRAME)</t>
  </si>
  <si>
    <t>P65, P66, P58, P57 (NIVEL ABAIXO DA VIGA BALDRAME)</t>
  </si>
  <si>
    <t>P51, P45, P44, P43 (NIVEL ABAIXO DA VIGA BALDRAME)</t>
  </si>
  <si>
    <t>P11, P10, P09, P08, P03, P02, P01 (NIVEL ABAIXO DA VIGA BALDRAME)</t>
  </si>
  <si>
    <t xml:space="preserve">TOCOS DE PILARES </t>
  </si>
  <si>
    <t xml:space="preserve">COMPRIMENTO DO AÇO = QUANTIDADE DE BARRA POR SAPATA * (DOBRA + ALTURA DA SAPATA + ALTURA CONSIDERANDO SÓ O TOCO DE PILAR ATÉ O FUNDO DA BALDRAME + TRANSPASSE </t>
  </si>
  <si>
    <t>P77, P76, P75, P70, P69 (NIVEL ABAIXO DA VIGA BALDRAME)</t>
  </si>
  <si>
    <t>P64, P63, P61 (NIVEL ABAIXO DA VIGA BALDRAME)</t>
  </si>
  <si>
    <t>P14, P13, P06 (NIVEL ABAIXO DA VIGA BALDRAME)</t>
  </si>
  <si>
    <t>P80, P74, P73 (NIVEL ABAIXO DA VIGA BALDRAME)</t>
  </si>
  <si>
    <t>P85, P84 (NIVEL ABAIXO DA VIGA BALDRAME)</t>
  </si>
  <si>
    <t>P67, P60, P59 (NIVEL ABAIXO DA VIGA BALDRAME)</t>
  </si>
  <si>
    <t>P12, P05, P04 (NIVEL ABAIXO DA VIGA BALDRAME)</t>
  </si>
  <si>
    <t>P88, P32 (NIVEL ABAIXO DA VIGA BALDRAME)</t>
  </si>
  <si>
    <t>P33 (NIVEL ABAIXO DA VIGA BALDRAME)</t>
  </si>
  <si>
    <t>P15, P23, P22 (NIVEL ABAIXO DA VIGA BALDRAME)</t>
  </si>
  <si>
    <t>P83 (NIVEL ABAIXO DA VIGA BALDRAME)</t>
  </si>
  <si>
    <t>P82 (NIVEL ABAIXO DA VIGA BALDRAME)</t>
  </si>
  <si>
    <t>P81 (NIVEL ABAIXO DA VIGA BALDRAME)</t>
  </si>
  <si>
    <t>P68 (NIVEL ABAIXO DA VIGA BALDRAME)</t>
  </si>
  <si>
    <t>P62 (NIVEL ABAIXO DA VIGA BALDRAME)</t>
  </si>
  <si>
    <t>P07 (NIVEL ABAIXO DA VIGA BALDRAME)</t>
  </si>
  <si>
    <t>P24 (NIVEL ABAIXO DA VIGA BALDRAME)</t>
  </si>
  <si>
    <t>SAPATAS (TOCOS DE PILARES)</t>
  </si>
  <si>
    <t>N° DE BARRAS E COMPRIMENTO DO CORTE P/ ESTRIBO</t>
  </si>
  <si>
    <t xml:space="preserve">SAPATAS </t>
  </si>
  <si>
    <t>LARGURA (M)</t>
  </si>
  <si>
    <t>COMPRIMENTO (M)</t>
  </si>
  <si>
    <t>ALTURA (M)</t>
  </si>
  <si>
    <t>ALVENARIA DE EMBASAMENTO (CÁLCULO CONSIDERANDO O VOLUME PRISMÁTICO DE CADA SEÇÃO)</t>
  </si>
  <si>
    <t>COMPRIMENTO DA SEÇÃO (M)</t>
  </si>
  <si>
    <t>(ALTURAS DAS EXTREMIDADES DAS SEÇÕES) (M)</t>
  </si>
  <si>
    <t>0.62; 0.35</t>
  </si>
  <si>
    <t>V22 (P86 ATÉ P87)</t>
  </si>
  <si>
    <t>V51 (P87 ATÉ P85)</t>
  </si>
  <si>
    <t>V46 (P86 ATÉ P83)</t>
  </si>
  <si>
    <t>V55 (ENGASTADA NA VV46 E V51)</t>
  </si>
  <si>
    <t>0.62; 0.62</t>
  </si>
  <si>
    <t>V20 (P83 ATÉ P84)</t>
  </si>
  <si>
    <t>V21 (P84 ATÉ P85)</t>
  </si>
  <si>
    <t>V19 (P81 ATÉ P82)</t>
  </si>
  <si>
    <t>0.35; 0.35</t>
  </si>
  <si>
    <t>0.41; 0.58</t>
  </si>
  <si>
    <t>V23 (P78 ATÉ P43)</t>
  </si>
  <si>
    <t>V12 (P43 ATÉ P44)</t>
  </si>
  <si>
    <t>0.56; 0.52</t>
  </si>
  <si>
    <t>0.52; 0.48</t>
  </si>
  <si>
    <t>0.48; 0.55</t>
  </si>
  <si>
    <t>V24 (P44 ATÉ P22)</t>
  </si>
  <si>
    <t>0.55; 0.55</t>
  </si>
  <si>
    <t>V5 (P22 ATÉ P23)</t>
  </si>
  <si>
    <t>V27 (P23 ATÉ P2)</t>
  </si>
  <si>
    <t>0.55; 0.62</t>
  </si>
  <si>
    <t>V02</t>
  </si>
  <si>
    <t>V1 (P1 ATÉ P2)</t>
  </si>
  <si>
    <t>V25 (P1 ATÉ P8)</t>
  </si>
  <si>
    <t>DIMENSÕES DOS PILARES (M) (LARGURA E COMPRIMENTO)</t>
  </si>
  <si>
    <t>(0.15 + 0.25)</t>
  </si>
  <si>
    <t>(0.2 + 0.25), (0.2 + 0.3)</t>
  </si>
  <si>
    <t>(0.2 + 0.25), (0.2 + 0.2), (0.15 + 0.2)</t>
  </si>
  <si>
    <t>((0.15 + 0.3)*3)</t>
  </si>
  <si>
    <t>(0.2 + 0.25) ; ((0.15+0.25)*2)</t>
  </si>
  <si>
    <t>(0.2 + 0.25) * 3) ; ((0.15 + 0.25) *2)</t>
  </si>
  <si>
    <t>((0.2+0.25)*3) ; ((0.15+0.25)*2) ; ((0.2+0.3))</t>
  </si>
  <si>
    <t>(0.2 + 0.25)*2) + (0.15 + 0.25)*1)</t>
  </si>
  <si>
    <t>(0.15+0.25)*3)</t>
  </si>
  <si>
    <t>((0.2+0.25)*1) + ((0.15+0.25)*1) +  ((0.2+0.35)*1)</t>
  </si>
  <si>
    <t>((0.2+0.25)) + ((0.15+0.3)*2)</t>
  </si>
  <si>
    <t>((0.2+0.3)) + ((0.15+0.3)) +  ((0.15+0.25)) + ((0.15+0.35))</t>
  </si>
  <si>
    <t>((0.15+0.25)) + ((0.2+0.3))</t>
  </si>
  <si>
    <t>((0.15+0.25)*5) + ((0.25+0.25))</t>
  </si>
  <si>
    <t>((0.2+0.25)) + ((0.15+0.25)) +  ((0.25+0.25))</t>
  </si>
  <si>
    <t>((0.15+0.25)*2) + ((0.25+0.25))</t>
  </si>
  <si>
    <t>((0.15+0.25)*2) + ((0.2+0.25)*2)</t>
  </si>
  <si>
    <t>((0.15+0.25)*3) + ((0.2+0.25))</t>
  </si>
  <si>
    <t>((0.2+0.25)*3) + ((0.25+0.25))</t>
  </si>
  <si>
    <t>((0.2+0.2))</t>
  </si>
  <si>
    <t>((0.2+0.25)) + ((0.15+0.25))</t>
  </si>
  <si>
    <t>((0.2+0.25)) + ((0.15+0.25)*2)</t>
  </si>
  <si>
    <t>((0.2+0.3)) + ((0.15+0.25)*5) +  ((0.25+0.25)</t>
  </si>
  <si>
    <t>(0.15+0.5)</t>
  </si>
  <si>
    <t>(0.15+0.3)</t>
  </si>
  <si>
    <t>(0.15+0.25)</t>
  </si>
  <si>
    <t xml:space="preserve">DIMENSÕES DOS PILARES (M) (SOMADAS) </t>
  </si>
  <si>
    <t>ITEM 1.3.6</t>
  </si>
  <si>
    <t xml:space="preserve">VOLUME DE REATERRO (CONFORME MEMORIAL) </t>
  </si>
  <si>
    <t>REFERENTE A 20% DA EXECUÇÃO DAS SAPATAS. (COMPLETANDO OS 100%)</t>
  </si>
  <si>
    <t>22/12/2023 a 31/01/2024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</si>
</sst>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R$&quot;\ * #,##0.00_-;\-&quot;R$&quot;\ * #,##0.00_-;_-&quot;R$&quot;\ 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\R\$\ #,##0.00"/>
    <numFmt numFmtId="167" formatCode="\'\R\$\ \'###,###,##0.00"/>
    <numFmt numFmtId="168" formatCode="[$-416]d\-mmm\-yy;@"/>
    <numFmt numFmtId="169" formatCode="_-[$R$-416]\ * #,##0.00_-;\-[$R$-416]\ * #,##0.00_-;_-[$R$-416]\ * &quot;-&quot;??_-;_-@_-"/>
    <numFmt numFmtId="170" formatCode="#,##0.000"/>
    <numFmt numFmtId="171" formatCode="#,##0.0000"/>
  </numFmts>
  <fonts count="31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sz val="5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Segoe UI"/>
      <family val="2"/>
    </font>
    <font>
      <b/>
      <sz val="8"/>
      <color theme="1"/>
      <name val="Segoe UI"/>
      <family val="2"/>
    </font>
    <font>
      <sz val="8"/>
      <color theme="1"/>
      <name val="Segoe UI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b/>
      <sz val="8"/>
      <name val="Arial"/>
      <family val="2"/>
    </font>
    <font>
      <b/>
      <sz val="6"/>
      <color rgb="FF000000"/>
      <name val="Segoe UI"/>
      <family val="2"/>
    </font>
    <font>
      <b/>
      <sz val="7"/>
      <name val="Segoe UI"/>
      <family val="2"/>
    </font>
    <font>
      <b/>
      <sz val="7"/>
      <color rgb="FF000000"/>
      <name val="Segoe U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11"/>
      <color rgb="FF000000"/>
      <name val="Arial"/>
      <family val="2"/>
    </font>
    <font>
      <b/>
      <sz val="14"/>
      <name val="Segoe UI"/>
      <family val="2"/>
    </font>
    <font>
      <b/>
      <sz val="14"/>
      <color rgb="FF000000"/>
      <name val="Segoe UI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i/>
      <sz val="8"/>
      <color rgb="FF000000"/>
      <name val="Arial"/>
      <family val="2"/>
    </font>
    <font>
      <b/>
      <i/>
      <sz val="8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i/>
      <sz val="8"/>
      <color rgb="FF000000"/>
      <name val="Arial"/>
      <family val="2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256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166" fontId="2" fillId="7" borderId="2" xfId="0" applyNumberFormat="1" applyFont="1" applyFill="1" applyBorder="1" applyAlignment="1">
      <alignment horizontal="right" vertical="center" wrapText="1"/>
    </xf>
    <xf numFmtId="0" fontId="3" fillId="8" borderId="2" xfId="0" applyFont="1" applyFill="1" applyBorder="1" applyAlignment="1">
      <alignment horizontal="left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justify" vertical="center" wrapText="1"/>
    </xf>
    <xf numFmtId="4" fontId="3" fillId="11" borderId="2" xfId="0" applyNumberFormat="1" applyFont="1" applyFill="1" applyBorder="1" applyAlignment="1">
      <alignment horizontal="right" vertical="center" wrapText="1"/>
    </xf>
    <xf numFmtId="166" fontId="3" fillId="12" borderId="2" xfId="0" applyNumberFormat="1" applyFont="1" applyFill="1" applyBorder="1" applyAlignment="1">
      <alignment horizontal="right" vertical="center" wrapText="1"/>
    </xf>
    <xf numFmtId="167" fontId="3" fillId="13" borderId="2" xfId="0" applyNumberFormat="1" applyFont="1" applyFill="1" applyBorder="1" applyAlignment="1">
      <alignment horizontal="right" vertical="center" wrapText="1"/>
    </xf>
    <xf numFmtId="0" fontId="8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9" fillId="16" borderId="7" xfId="0" applyFont="1" applyFill="1" applyBorder="1" applyAlignment="1">
      <alignment vertical="center"/>
    </xf>
    <xf numFmtId="164" fontId="8" fillId="0" borderId="7" xfId="2" applyFont="1" applyBorder="1" applyAlignment="1">
      <alignment vertical="center"/>
    </xf>
    <xf numFmtId="0" fontId="10" fillId="15" borderId="12" xfId="0" applyFont="1" applyFill="1" applyBorder="1" applyAlignment="1">
      <alignment horizontal="left" vertical="center"/>
    </xf>
    <xf numFmtId="0" fontId="8" fillId="0" borderId="14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16" borderId="1" xfId="0" applyFont="1" applyFill="1" applyBorder="1" applyAlignment="1">
      <alignment vertical="center"/>
    </xf>
    <xf numFmtId="164" fontId="8" fillId="0" borderId="1" xfId="2" applyFont="1" applyBorder="1" applyAlignment="1">
      <alignment vertical="center"/>
    </xf>
    <xf numFmtId="0" fontId="8" fillId="16" borderId="1" xfId="0" applyFont="1" applyFill="1" applyBorder="1" applyAlignment="1">
      <alignment vertical="center"/>
    </xf>
    <xf numFmtId="0" fontId="10" fillId="15" borderId="17" xfId="0" applyFont="1" applyFill="1" applyBorder="1" applyAlignment="1">
      <alignment horizontal="center" vertical="center"/>
    </xf>
    <xf numFmtId="0" fontId="0" fillId="14" borderId="0" xfId="0" applyFill="1" applyAlignment="1" applyProtection="1">
      <alignment vertical="center" wrapText="1"/>
      <protection locked="0"/>
    </xf>
    <xf numFmtId="0" fontId="1" fillId="14" borderId="1" xfId="0" applyFont="1" applyFill="1" applyBorder="1" applyAlignment="1">
      <alignment vertical="center" wrapText="1"/>
    </xf>
    <xf numFmtId="0" fontId="1" fillId="14" borderId="1" xfId="0" applyFont="1" applyFill="1" applyBorder="1" applyAlignment="1" applyProtection="1">
      <alignment vertical="center" wrapText="1"/>
      <protection locked="0"/>
    </xf>
    <xf numFmtId="0" fontId="1" fillId="16" borderId="1" xfId="0" applyFont="1" applyFill="1" applyBorder="1" applyAlignment="1" applyProtection="1">
      <alignment vertical="center" wrapText="1"/>
      <protection locked="0"/>
    </xf>
    <xf numFmtId="164" fontId="1" fillId="14" borderId="1" xfId="2" applyFont="1" applyFill="1" applyBorder="1" applyAlignment="1" applyProtection="1">
      <alignment vertical="center" wrapText="1"/>
      <protection locked="0"/>
    </xf>
    <xf numFmtId="2" fontId="18" fillId="16" borderId="31" xfId="0" applyNumberFormat="1" applyFont="1" applyFill="1" applyBorder="1" applyAlignment="1">
      <alignment horizontal="center" vertical="center"/>
    </xf>
    <xf numFmtId="4" fontId="12" fillId="16" borderId="31" xfId="0" applyNumberFormat="1" applyFont="1" applyFill="1" applyBorder="1" applyAlignment="1">
      <alignment horizontal="right" vertical="center"/>
    </xf>
    <xf numFmtId="2" fontId="12" fillId="16" borderId="31" xfId="0" applyNumberFormat="1" applyFont="1" applyFill="1" applyBorder="1" applyAlignment="1">
      <alignment horizontal="center" vertical="center"/>
    </xf>
    <xf numFmtId="4" fontId="19" fillId="16" borderId="31" xfId="0" applyNumberFormat="1" applyFont="1" applyFill="1" applyBorder="1" applyAlignment="1">
      <alignment horizontal="right" vertical="center"/>
    </xf>
    <xf numFmtId="0" fontId="0" fillId="0" borderId="31" xfId="0" applyBorder="1" applyAlignment="1">
      <alignment vertical="center"/>
    </xf>
    <xf numFmtId="0" fontId="15" fillId="15" borderId="36" xfId="0" applyFont="1" applyFill="1" applyBorder="1" applyAlignment="1">
      <alignment horizontal="center" vertical="center" wrapText="1"/>
    </xf>
    <xf numFmtId="0" fontId="15" fillId="15" borderId="33" xfId="0" applyFont="1" applyFill="1" applyBorder="1" applyAlignment="1">
      <alignment horizontal="center" vertical="center" wrapText="1"/>
    </xf>
    <xf numFmtId="165" fontId="14" fillId="15" borderId="37" xfId="1" applyFont="1" applyFill="1" applyBorder="1" applyAlignment="1" applyProtection="1">
      <alignment horizontal="center" vertical="center" wrapText="1"/>
    </xf>
    <xf numFmtId="164" fontId="15" fillId="15" borderId="36" xfId="2" applyFont="1" applyFill="1" applyBorder="1" applyAlignment="1">
      <alignment horizontal="center" vertical="center" wrapText="1"/>
    </xf>
    <xf numFmtId="164" fontId="15" fillId="15" borderId="34" xfId="2" applyFont="1" applyFill="1" applyBorder="1" applyAlignment="1">
      <alignment horizontal="center" vertical="center" wrapText="1"/>
    </xf>
    <xf numFmtId="164" fontId="15" fillId="15" borderId="33" xfId="2" applyFont="1" applyFill="1" applyBorder="1" applyAlignment="1">
      <alignment horizontal="center" vertical="center" wrapText="1"/>
    </xf>
    <xf numFmtId="164" fontId="14" fillId="15" borderId="33" xfId="2" applyFont="1" applyFill="1" applyBorder="1" applyAlignment="1" applyProtection="1">
      <alignment horizontal="center" vertical="center" wrapText="1"/>
    </xf>
    <xf numFmtId="164" fontId="14" fillId="15" borderId="38" xfId="2" applyFont="1" applyFill="1" applyBorder="1" applyAlignment="1" applyProtection="1">
      <alignment horizontal="center" vertical="center" wrapText="1"/>
    </xf>
    <xf numFmtId="0" fontId="12" fillId="14" borderId="31" xfId="0" applyFont="1" applyFill="1" applyBorder="1" applyAlignment="1">
      <alignment vertical="center"/>
    </xf>
    <xf numFmtId="0" fontId="12" fillId="16" borderId="31" xfId="0" applyFont="1" applyFill="1" applyBorder="1" applyAlignment="1">
      <alignment vertical="center"/>
    </xf>
    <xf numFmtId="164" fontId="0" fillId="0" borderId="31" xfId="2" applyFont="1" applyBorder="1" applyAlignment="1">
      <alignment vertical="center"/>
    </xf>
    <xf numFmtId="164" fontId="6" fillId="0" borderId="31" xfId="2" applyFont="1" applyBorder="1" applyAlignment="1">
      <alignment vertical="center"/>
    </xf>
    <xf numFmtId="0" fontId="17" fillId="16" borderId="31" xfId="0" applyFont="1" applyFill="1" applyBorder="1" applyAlignment="1">
      <alignment horizontal="center" vertical="center"/>
    </xf>
    <xf numFmtId="0" fontId="19" fillId="16" borderId="31" xfId="0" applyFont="1" applyFill="1" applyBorder="1" applyAlignment="1">
      <alignment horizontal="center" vertical="center"/>
    </xf>
    <xf numFmtId="164" fontId="12" fillId="16" borderId="31" xfId="2" applyFont="1" applyFill="1" applyBorder="1" applyAlignment="1">
      <alignment horizontal="right" vertical="center"/>
    </xf>
    <xf numFmtId="164" fontId="0" fillId="0" borderId="39" xfId="2" applyFont="1" applyBorder="1" applyAlignment="1">
      <alignment vertical="center"/>
    </xf>
    <xf numFmtId="0" fontId="12" fillId="14" borderId="32" xfId="0" applyFont="1" applyFill="1" applyBorder="1" applyAlignment="1">
      <alignment vertical="center"/>
    </xf>
    <xf numFmtId="0" fontId="16" fillId="14" borderId="40" xfId="0" applyFont="1" applyFill="1" applyBorder="1" applyAlignment="1">
      <alignment horizontal="left" vertical="center" shrinkToFit="1"/>
    </xf>
    <xf numFmtId="0" fontId="17" fillId="16" borderId="40" xfId="0" applyFont="1" applyFill="1" applyBorder="1" applyAlignment="1">
      <alignment horizontal="left" vertical="center"/>
    </xf>
    <xf numFmtId="0" fontId="19" fillId="16" borderId="40" xfId="0" applyFont="1" applyFill="1" applyBorder="1" applyAlignment="1">
      <alignment horizontal="left" vertical="center"/>
    </xf>
    <xf numFmtId="0" fontId="12" fillId="16" borderId="40" xfId="0" applyFont="1" applyFill="1" applyBorder="1" applyAlignment="1">
      <alignment horizontal="left" vertical="center"/>
    </xf>
    <xf numFmtId="0" fontId="17" fillId="16" borderId="32" xfId="0" applyFont="1" applyFill="1" applyBorder="1" applyAlignment="1">
      <alignment horizontal="justify" vertical="center"/>
    </xf>
    <xf numFmtId="0" fontId="19" fillId="16" borderId="32" xfId="0" applyFont="1" applyFill="1" applyBorder="1" applyAlignment="1">
      <alignment horizontal="justify" vertical="center"/>
    </xf>
    <xf numFmtId="0" fontId="12" fillId="14" borderId="40" xfId="0" applyFont="1" applyFill="1" applyBorder="1" applyAlignment="1">
      <alignment vertical="center"/>
    </xf>
    <xf numFmtId="2" fontId="17" fillId="16" borderId="40" xfId="0" applyNumberFormat="1" applyFont="1" applyFill="1" applyBorder="1" applyAlignment="1">
      <alignment horizontal="left" vertical="center"/>
    </xf>
    <xf numFmtId="0" fontId="16" fillId="16" borderId="40" xfId="0" applyFont="1" applyFill="1" applyBorder="1" applyAlignment="1">
      <alignment horizontal="left" vertical="center"/>
    </xf>
    <xf numFmtId="0" fontId="17" fillId="16" borderId="40" xfId="0" applyFont="1" applyFill="1" applyBorder="1" applyAlignment="1">
      <alignment horizontal="center" vertical="center"/>
    </xf>
    <xf numFmtId="2" fontId="17" fillId="16" borderId="40" xfId="0" applyNumberFormat="1" applyFont="1" applyFill="1" applyBorder="1" applyAlignment="1">
      <alignment horizontal="center" vertical="center"/>
    </xf>
    <xf numFmtId="2" fontId="19" fillId="16" borderId="40" xfId="0" applyNumberFormat="1" applyFont="1" applyFill="1" applyBorder="1" applyAlignment="1">
      <alignment horizontal="center" vertical="center"/>
    </xf>
    <xf numFmtId="2" fontId="16" fillId="16" borderId="40" xfId="0" applyNumberFormat="1" applyFont="1" applyFill="1" applyBorder="1" applyAlignment="1">
      <alignment horizontal="left" vertical="center"/>
    </xf>
    <xf numFmtId="0" fontId="17" fillId="16" borderId="32" xfId="0" applyFont="1" applyFill="1" applyBorder="1" applyAlignment="1">
      <alignment vertical="center" wrapText="1"/>
    </xf>
    <xf numFmtId="2" fontId="17" fillId="16" borderId="40" xfId="0" applyNumberFormat="1" applyFont="1" applyFill="1" applyBorder="1" applyAlignment="1">
      <alignment vertical="center"/>
    </xf>
    <xf numFmtId="0" fontId="17" fillId="16" borderId="40" xfId="0" applyFont="1" applyFill="1" applyBorder="1" applyAlignment="1">
      <alignment vertical="center"/>
    </xf>
    <xf numFmtId="4" fontId="17" fillId="16" borderId="31" xfId="0" applyNumberFormat="1" applyFont="1" applyFill="1" applyBorder="1" applyAlignment="1">
      <alignment horizontal="center" vertical="center"/>
    </xf>
    <xf numFmtId="2" fontId="12" fillId="16" borderId="40" xfId="0" applyNumberFormat="1" applyFont="1" applyFill="1" applyBorder="1" applyAlignment="1">
      <alignment horizontal="left" vertical="center"/>
    </xf>
    <xf numFmtId="0" fontId="19" fillId="16" borderId="40" xfId="0" applyFont="1" applyFill="1" applyBorder="1" applyAlignment="1">
      <alignment horizontal="center" vertical="center"/>
    </xf>
    <xf numFmtId="0" fontId="19" fillId="16" borderId="32" xfId="0" applyFont="1" applyFill="1" applyBorder="1" applyAlignment="1">
      <alignment vertical="center" wrapText="1"/>
    </xf>
    <xf numFmtId="0" fontId="19" fillId="16" borderId="40" xfId="0" applyFont="1" applyFill="1" applyBorder="1" applyAlignment="1">
      <alignment vertical="center"/>
    </xf>
    <xf numFmtId="2" fontId="19" fillId="16" borderId="31" xfId="0" applyNumberFormat="1" applyFont="1" applyFill="1" applyBorder="1" applyAlignment="1">
      <alignment horizontal="center" vertical="center"/>
    </xf>
    <xf numFmtId="4" fontId="16" fillId="16" borderId="31" xfId="0" applyNumberFormat="1" applyFont="1" applyFill="1" applyBorder="1" applyAlignment="1">
      <alignment horizontal="center" vertical="center"/>
    </xf>
    <xf numFmtId="164" fontId="16" fillId="16" borderId="31" xfId="2" applyFont="1" applyFill="1" applyBorder="1" applyAlignment="1">
      <alignment horizontal="center" vertical="center"/>
    </xf>
    <xf numFmtId="164" fontId="17" fillId="16" borderId="31" xfId="2" applyFont="1" applyFill="1" applyBorder="1" applyAlignment="1">
      <alignment horizontal="center" vertical="center"/>
    </xf>
    <xf numFmtId="164" fontId="17" fillId="16" borderId="39" xfId="2" applyFont="1" applyFill="1" applyBorder="1" applyAlignment="1">
      <alignment horizontal="center" vertical="center"/>
    </xf>
    <xf numFmtId="0" fontId="16" fillId="16" borderId="31" xfId="0" applyFont="1" applyFill="1" applyBorder="1" applyAlignment="1">
      <alignment horizontal="center" vertical="center"/>
    </xf>
    <xf numFmtId="4" fontId="19" fillId="16" borderId="31" xfId="0" applyNumberFormat="1" applyFont="1" applyFill="1" applyBorder="1" applyAlignment="1">
      <alignment horizontal="center" vertical="center"/>
    </xf>
    <xf numFmtId="4" fontId="12" fillId="16" borderId="31" xfId="0" applyNumberFormat="1" applyFont="1" applyFill="1" applyBorder="1" applyAlignment="1">
      <alignment horizontal="center" vertical="center"/>
    </xf>
    <xf numFmtId="164" fontId="12" fillId="16" borderId="31" xfId="2" applyFont="1" applyFill="1" applyBorder="1" applyAlignment="1">
      <alignment horizontal="center" vertical="center"/>
    </xf>
    <xf numFmtId="164" fontId="19" fillId="16" borderId="31" xfId="2" applyFont="1" applyFill="1" applyBorder="1" applyAlignment="1">
      <alignment horizontal="center" vertical="center"/>
    </xf>
    <xf numFmtId="0" fontId="12" fillId="16" borderId="31" xfId="0" applyFont="1" applyFill="1" applyBorder="1" applyAlignment="1">
      <alignment horizontal="center" vertical="center"/>
    </xf>
    <xf numFmtId="2" fontId="12" fillId="16" borderId="40" xfId="0" applyNumberFormat="1" applyFont="1" applyFill="1" applyBorder="1" applyAlignment="1">
      <alignment horizontal="center" vertical="center"/>
    </xf>
    <xf numFmtId="4" fontId="17" fillId="16" borderId="33" xfId="0" applyNumberFormat="1" applyFont="1" applyFill="1" applyBorder="1" applyAlignment="1">
      <alignment horizontal="center" vertical="center"/>
    </xf>
    <xf numFmtId="164" fontId="17" fillId="16" borderId="38" xfId="2" applyFont="1" applyFill="1" applyBorder="1" applyAlignment="1">
      <alignment horizontal="center" vertical="center"/>
    </xf>
    <xf numFmtId="0" fontId="19" fillId="16" borderId="41" xfId="0" applyFont="1" applyFill="1" applyBorder="1" applyAlignment="1">
      <alignment horizontal="left" vertical="center"/>
    </xf>
    <xf numFmtId="2" fontId="19" fillId="16" borderId="41" xfId="0" applyNumberFormat="1" applyFont="1" applyFill="1" applyBorder="1" applyAlignment="1">
      <alignment horizontal="center" vertical="center"/>
    </xf>
    <xf numFmtId="0" fontId="19" fillId="16" borderId="29" xfId="0" applyFont="1" applyFill="1" applyBorder="1" applyAlignment="1">
      <alignment horizontal="justify" vertical="center"/>
    </xf>
    <xf numFmtId="0" fontId="19" fillId="16" borderId="28" xfId="0" applyFont="1" applyFill="1" applyBorder="1" applyAlignment="1">
      <alignment horizontal="center" vertical="center"/>
    </xf>
    <xf numFmtId="4" fontId="19" fillId="16" borderId="28" xfId="0" applyNumberFormat="1" applyFont="1" applyFill="1" applyBorder="1" applyAlignment="1">
      <alignment horizontal="right" vertical="center"/>
    </xf>
    <xf numFmtId="2" fontId="12" fillId="16" borderId="28" xfId="0" applyNumberFormat="1" applyFont="1" applyFill="1" applyBorder="1" applyAlignment="1">
      <alignment horizontal="center" vertical="center"/>
    </xf>
    <xf numFmtId="4" fontId="17" fillId="16" borderId="28" xfId="0" applyNumberFormat="1" applyFont="1" applyFill="1" applyBorder="1" applyAlignment="1">
      <alignment horizontal="center" vertical="center"/>
    </xf>
    <xf numFmtId="0" fontId="0" fillId="0" borderId="15" xfId="0" applyBorder="1"/>
    <xf numFmtId="169" fontId="16" fillId="16" borderId="42" xfId="2" applyNumberFormat="1" applyFont="1" applyFill="1" applyBorder="1" applyAlignment="1">
      <alignment horizontal="center" vertical="center"/>
    </xf>
    <xf numFmtId="4" fontId="12" fillId="14" borderId="31" xfId="0" applyNumberFormat="1" applyFont="1" applyFill="1" applyBorder="1" applyAlignment="1">
      <alignment vertical="center"/>
    </xf>
    <xf numFmtId="49" fontId="10" fillId="15" borderId="12" xfId="0" applyNumberFormat="1" applyFont="1" applyFill="1" applyBorder="1" applyAlignment="1">
      <alignment horizontal="left" vertical="center"/>
    </xf>
    <xf numFmtId="2" fontId="16" fillId="16" borderId="31" xfId="2" applyNumberFormat="1" applyFont="1" applyFill="1" applyBorder="1" applyAlignment="1">
      <alignment horizontal="center" vertical="center"/>
    </xf>
    <xf numFmtId="2" fontId="17" fillId="16" borderId="31" xfId="2" applyNumberFormat="1" applyFont="1" applyFill="1" applyBorder="1" applyAlignment="1">
      <alignment horizontal="center" vertical="center"/>
    </xf>
    <xf numFmtId="164" fontId="12" fillId="16" borderId="28" xfId="2" applyFont="1" applyFill="1" applyBorder="1" applyAlignment="1">
      <alignment horizontal="right" vertical="center"/>
    </xf>
    <xf numFmtId="2" fontId="17" fillId="16" borderId="28" xfId="2" applyNumberFormat="1" applyFont="1" applyFill="1" applyBorder="1" applyAlignment="1">
      <alignment horizontal="center" vertical="center"/>
    </xf>
    <xf numFmtId="0" fontId="0" fillId="0" borderId="7" xfId="0" applyBorder="1"/>
    <xf numFmtId="2" fontId="17" fillId="16" borderId="39" xfId="2" applyNumberFormat="1" applyFont="1" applyFill="1" applyBorder="1" applyAlignment="1">
      <alignment horizontal="center" vertical="center"/>
    </xf>
    <xf numFmtId="2" fontId="17" fillId="16" borderId="30" xfId="2" applyNumberFormat="1" applyFont="1" applyFill="1" applyBorder="1" applyAlignment="1">
      <alignment horizontal="center" vertical="center"/>
    </xf>
    <xf numFmtId="0" fontId="19" fillId="17" borderId="40" xfId="0" applyFont="1" applyFill="1" applyBorder="1" applyAlignment="1">
      <alignment horizontal="left" vertical="center"/>
    </xf>
    <xf numFmtId="0" fontId="19" fillId="17" borderId="40" xfId="0" applyFont="1" applyFill="1" applyBorder="1" applyAlignment="1">
      <alignment horizontal="center" vertical="center"/>
    </xf>
    <xf numFmtId="0" fontId="19" fillId="17" borderId="32" xfId="0" applyFont="1" applyFill="1" applyBorder="1" applyAlignment="1">
      <alignment horizontal="justify" vertical="center"/>
    </xf>
    <xf numFmtId="0" fontId="19" fillId="14" borderId="31" xfId="0" applyFont="1" applyFill="1" applyBorder="1" applyAlignment="1">
      <alignment vertical="center"/>
    </xf>
    <xf numFmtId="2" fontId="24" fillId="16" borderId="31" xfId="0" applyNumberFormat="1" applyFont="1" applyFill="1" applyBorder="1" applyAlignment="1">
      <alignment horizontal="center" vertical="center"/>
    </xf>
    <xf numFmtId="0" fontId="12" fillId="14" borderId="43" xfId="0" applyFont="1" applyFill="1" applyBorder="1" applyAlignment="1">
      <alignment vertical="center"/>
    </xf>
    <xf numFmtId="4" fontId="17" fillId="16" borderId="43" xfId="0" applyNumberFormat="1" applyFont="1" applyFill="1" applyBorder="1" applyAlignment="1">
      <alignment horizontal="center" vertical="center"/>
    </xf>
    <xf numFmtId="4" fontId="19" fillId="16" borderId="43" xfId="0" applyNumberFormat="1" applyFont="1" applyFill="1" applyBorder="1" applyAlignment="1">
      <alignment horizontal="center" vertical="center"/>
    </xf>
    <xf numFmtId="0" fontId="17" fillId="16" borderId="43" xfId="0" applyFont="1" applyFill="1" applyBorder="1" applyAlignment="1">
      <alignment horizontal="center" vertical="center"/>
    </xf>
    <xf numFmtId="2" fontId="19" fillId="16" borderId="43" xfId="0" applyNumberFormat="1" applyFont="1" applyFill="1" applyBorder="1" applyAlignment="1">
      <alignment horizontal="center" vertical="center"/>
    </xf>
    <xf numFmtId="164" fontId="0" fillId="0" borderId="32" xfId="2" applyFont="1" applyBorder="1" applyAlignment="1">
      <alignment vertical="center"/>
    </xf>
    <xf numFmtId="4" fontId="17" fillId="16" borderId="32" xfId="0" applyNumberFormat="1" applyFont="1" applyFill="1" applyBorder="1" applyAlignment="1">
      <alignment horizontal="center" vertical="center"/>
    </xf>
    <xf numFmtId="4" fontId="19" fillId="16" borderId="12" xfId="0" applyNumberFormat="1" applyFont="1" applyFill="1" applyBorder="1" applyAlignment="1">
      <alignment horizontal="right" vertical="center"/>
    </xf>
    <xf numFmtId="4" fontId="17" fillId="16" borderId="12" xfId="0" applyNumberFormat="1" applyFont="1" applyFill="1" applyBorder="1" applyAlignment="1">
      <alignment horizontal="center" vertical="center"/>
    </xf>
    <xf numFmtId="4" fontId="12" fillId="14" borderId="44" xfId="0" applyNumberFormat="1" applyFont="1" applyFill="1" applyBorder="1" applyAlignment="1">
      <alignment vertical="center"/>
    </xf>
    <xf numFmtId="0" fontId="0" fillId="0" borderId="39" xfId="0" applyBorder="1" applyAlignment="1">
      <alignment vertical="center"/>
    </xf>
    <xf numFmtId="4" fontId="17" fillId="16" borderId="44" xfId="0" applyNumberFormat="1" applyFont="1" applyFill="1" applyBorder="1" applyAlignment="1">
      <alignment horizontal="center" vertical="center"/>
    </xf>
    <xf numFmtId="4" fontId="17" fillId="16" borderId="39" xfId="0" applyNumberFormat="1" applyFont="1" applyFill="1" applyBorder="1" applyAlignment="1">
      <alignment horizontal="center" vertical="center"/>
    </xf>
    <xf numFmtId="4" fontId="19" fillId="16" borderId="44" xfId="0" applyNumberFormat="1" applyFont="1" applyFill="1" applyBorder="1" applyAlignment="1">
      <alignment horizontal="center" vertical="center"/>
    </xf>
    <xf numFmtId="4" fontId="17" fillId="16" borderId="30" xfId="0" applyNumberFormat="1" applyFont="1" applyFill="1" applyBorder="1" applyAlignment="1">
      <alignment horizontal="center" vertical="center"/>
    </xf>
    <xf numFmtId="164" fontId="12" fillId="16" borderId="12" xfId="2" applyFont="1" applyFill="1" applyBorder="1" applyAlignment="1">
      <alignment horizontal="right" vertical="center"/>
    </xf>
    <xf numFmtId="2" fontId="17" fillId="16" borderId="12" xfId="2" applyNumberFormat="1" applyFont="1" applyFill="1" applyBorder="1" applyAlignment="1">
      <alignment horizontal="center" vertical="center"/>
    </xf>
    <xf numFmtId="2" fontId="17" fillId="16" borderId="45" xfId="2" applyNumberFormat="1" applyFont="1" applyFill="1" applyBorder="1" applyAlignment="1">
      <alignment horizontal="center" vertical="center"/>
    </xf>
    <xf numFmtId="0" fontId="19" fillId="16" borderId="46" xfId="0" applyFont="1" applyFill="1" applyBorder="1" applyAlignment="1">
      <alignment horizontal="left" vertical="center"/>
    </xf>
    <xf numFmtId="0" fontId="19" fillId="16" borderId="46" xfId="0" applyFont="1" applyFill="1" applyBorder="1" applyAlignment="1">
      <alignment horizontal="center" vertical="center"/>
    </xf>
    <xf numFmtId="0" fontId="19" fillId="16" borderId="11" xfId="0" applyFont="1" applyFill="1" applyBorder="1" applyAlignment="1">
      <alignment horizontal="justify" vertical="center"/>
    </xf>
    <xf numFmtId="0" fontId="19" fillId="16" borderId="12" xfId="0" applyFont="1" applyFill="1" applyBorder="1" applyAlignment="1">
      <alignment horizontal="center" vertical="center"/>
    </xf>
    <xf numFmtId="4" fontId="19" fillId="16" borderId="28" xfId="0" applyNumberFormat="1" applyFont="1" applyFill="1" applyBorder="1" applyAlignment="1">
      <alignment horizontal="center" vertical="center"/>
    </xf>
    <xf numFmtId="4" fontId="12" fillId="16" borderId="28" xfId="0" applyNumberFormat="1" applyFont="1" applyFill="1" applyBorder="1" applyAlignment="1">
      <alignment horizontal="center" vertical="center"/>
    </xf>
    <xf numFmtId="164" fontId="12" fillId="16" borderId="33" xfId="2" applyFont="1" applyFill="1" applyBorder="1" applyAlignment="1">
      <alignment horizontal="center" vertical="center"/>
    </xf>
    <xf numFmtId="164" fontId="16" fillId="16" borderId="33" xfId="2" applyFont="1" applyFill="1" applyBorder="1" applyAlignment="1">
      <alignment horizontal="center" vertical="center"/>
    </xf>
    <xf numFmtId="164" fontId="19" fillId="16" borderId="33" xfId="2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25" fillId="16" borderId="32" xfId="0" applyFont="1" applyFill="1" applyBorder="1" applyAlignment="1">
      <alignment horizontal="right" vertical="center" wrapText="1"/>
    </xf>
    <xf numFmtId="0" fontId="25" fillId="16" borderId="32" xfId="0" applyFont="1" applyFill="1" applyBorder="1" applyAlignment="1">
      <alignment horizontal="right" vertical="center"/>
    </xf>
    <xf numFmtId="0" fontId="19" fillId="16" borderId="50" xfId="0" applyFont="1" applyFill="1" applyBorder="1" applyAlignment="1">
      <alignment horizontal="left" vertical="center"/>
    </xf>
    <xf numFmtId="0" fontId="19" fillId="16" borderId="50" xfId="0" applyFont="1" applyFill="1" applyBorder="1" applyAlignment="1">
      <alignment vertical="center"/>
    </xf>
    <xf numFmtId="4" fontId="19" fillId="16" borderId="32" xfId="0" applyNumberFormat="1" applyFont="1" applyFill="1" applyBorder="1" applyAlignment="1">
      <alignment horizontal="center" vertical="center"/>
    </xf>
    <xf numFmtId="4" fontId="17" fillId="16" borderId="39" xfId="0" applyNumberFormat="1" applyFont="1" applyFill="1" applyBorder="1" applyAlignment="1">
      <alignment horizontal="center" vertical="center" wrapText="1"/>
    </xf>
    <xf numFmtId="4" fontId="24" fillId="16" borderId="39" xfId="0" applyNumberFormat="1" applyFont="1" applyFill="1" applyBorder="1" applyAlignment="1">
      <alignment horizontal="center" vertical="center"/>
    </xf>
    <xf numFmtId="0" fontId="19" fillId="16" borderId="50" xfId="0" applyFont="1" applyFill="1" applyBorder="1" applyAlignment="1">
      <alignment horizontal="center" vertical="center"/>
    </xf>
    <xf numFmtId="0" fontId="19" fillId="16" borderId="41" xfId="0" applyFont="1" applyFill="1" applyBorder="1" applyAlignment="1">
      <alignment vertical="center"/>
    </xf>
    <xf numFmtId="0" fontId="25" fillId="16" borderId="29" xfId="0" applyFont="1" applyFill="1" applyBorder="1" applyAlignment="1">
      <alignment horizontal="right" vertical="center" wrapText="1"/>
    </xf>
    <xf numFmtId="4" fontId="17" fillId="16" borderId="53" xfId="0" applyNumberFormat="1" applyFont="1" applyFill="1" applyBorder="1" applyAlignment="1">
      <alignment horizontal="center" vertical="center"/>
    </xf>
    <xf numFmtId="0" fontId="19" fillId="16" borderId="43" xfId="0" applyFont="1" applyFill="1" applyBorder="1" applyAlignment="1">
      <alignment horizontal="center" vertical="center"/>
    </xf>
    <xf numFmtId="2" fontId="19" fillId="16" borderId="44" xfId="0" applyNumberFormat="1" applyFont="1" applyFill="1" applyBorder="1" applyAlignment="1">
      <alignment horizontal="center" vertical="center"/>
    </xf>
    <xf numFmtId="4" fontId="19" fillId="16" borderId="39" xfId="0" applyNumberFormat="1" applyFont="1" applyFill="1" applyBorder="1" applyAlignment="1">
      <alignment horizontal="center" vertical="center"/>
    </xf>
    <xf numFmtId="2" fontId="19" fillId="16" borderId="32" xfId="0" applyNumberFormat="1" applyFont="1" applyFill="1" applyBorder="1" applyAlignment="1">
      <alignment horizontal="center" vertical="center"/>
    </xf>
    <xf numFmtId="4" fontId="19" fillId="16" borderId="30" xfId="0" applyNumberFormat="1" applyFont="1" applyFill="1" applyBorder="1" applyAlignment="1">
      <alignment horizontal="center" vertical="center"/>
    </xf>
    <xf numFmtId="4" fontId="19" fillId="16" borderId="36" xfId="0" applyNumberFormat="1" applyFont="1" applyFill="1" applyBorder="1" applyAlignment="1">
      <alignment horizontal="center" vertical="center"/>
    </xf>
    <xf numFmtId="4" fontId="19" fillId="16" borderId="33" xfId="0" applyNumberFormat="1" applyFont="1" applyFill="1" applyBorder="1" applyAlignment="1">
      <alignment horizontal="center" vertical="center"/>
    </xf>
    <xf numFmtId="4" fontId="19" fillId="16" borderId="51" xfId="0" applyNumberFormat="1" applyFont="1" applyFill="1" applyBorder="1" applyAlignment="1">
      <alignment horizontal="center" vertical="center"/>
    </xf>
    <xf numFmtId="4" fontId="19" fillId="16" borderId="52" xfId="0" applyNumberFormat="1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4" fontId="10" fillId="15" borderId="19" xfId="0" applyNumberFormat="1" applyFont="1" applyFill="1" applyBorder="1" applyAlignment="1">
      <alignment vertical="center"/>
    </xf>
    <xf numFmtId="44" fontId="10" fillId="15" borderId="17" xfId="0" applyNumberFormat="1" applyFont="1" applyFill="1" applyBorder="1" applyAlignment="1">
      <alignment vertical="center"/>
    </xf>
    <xf numFmtId="44" fontId="10" fillId="15" borderId="18" xfId="0" applyNumberFormat="1" applyFont="1" applyFill="1" applyBorder="1" applyAlignment="1">
      <alignment horizontal="left" vertical="center"/>
    </xf>
    <xf numFmtId="169" fontId="10" fillId="15" borderId="18" xfId="2" applyNumberFormat="1" applyFont="1" applyFill="1" applyBorder="1" applyAlignment="1">
      <alignment vertical="center"/>
    </xf>
    <xf numFmtId="169" fontId="10" fillId="15" borderId="19" xfId="2" applyNumberFormat="1" applyFont="1" applyFill="1" applyBorder="1" applyAlignment="1">
      <alignment vertical="center"/>
    </xf>
    <xf numFmtId="169" fontId="10" fillId="15" borderId="17" xfId="2" applyNumberFormat="1" applyFont="1" applyFill="1" applyBorder="1" applyAlignment="1">
      <alignment vertical="center"/>
    </xf>
    <xf numFmtId="0" fontId="26" fillId="16" borderId="32" xfId="0" applyFont="1" applyFill="1" applyBorder="1" applyAlignment="1">
      <alignment horizontal="right" vertical="center"/>
    </xf>
    <xf numFmtId="0" fontId="26" fillId="16" borderId="32" xfId="0" applyFont="1" applyFill="1" applyBorder="1" applyAlignment="1">
      <alignment horizontal="right" vertical="center" wrapText="1"/>
    </xf>
    <xf numFmtId="0" fontId="12" fillId="14" borderId="54" xfId="0" applyFont="1" applyFill="1" applyBorder="1" applyAlignment="1">
      <alignment vertical="center"/>
    </xf>
    <xf numFmtId="0" fontId="15" fillId="15" borderId="44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vertical="center"/>
    </xf>
    <xf numFmtId="0" fontId="15" fillId="15" borderId="31" xfId="0" applyFont="1" applyFill="1" applyBorder="1" applyAlignment="1">
      <alignment horizontal="center" vertical="center" wrapText="1"/>
    </xf>
    <xf numFmtId="0" fontId="0" fillId="0" borderId="45" xfId="0" applyBorder="1" applyAlignment="1">
      <alignment vertical="center"/>
    </xf>
    <xf numFmtId="165" fontId="14" fillId="15" borderId="39" xfId="1" applyFont="1" applyFill="1" applyBorder="1" applyAlignment="1" applyProtection="1">
      <alignment horizontal="center" vertical="center" wrapText="1"/>
    </xf>
    <xf numFmtId="2" fontId="12" fillId="17" borderId="31" xfId="0" applyNumberFormat="1" applyFont="1" applyFill="1" applyBorder="1" applyAlignment="1">
      <alignment horizontal="center" vertical="center"/>
    </xf>
    <xf numFmtId="4" fontId="19" fillId="17" borderId="31" xfId="0" applyNumberFormat="1" applyFont="1" applyFill="1" applyBorder="1" applyAlignment="1">
      <alignment horizontal="center" vertical="center"/>
    </xf>
    <xf numFmtId="4" fontId="12" fillId="17" borderId="31" xfId="0" applyNumberFormat="1" applyFont="1" applyFill="1" applyBorder="1" applyAlignment="1">
      <alignment horizontal="center" vertical="center"/>
    </xf>
    <xf numFmtId="2" fontId="24" fillId="16" borderId="43" xfId="0" applyNumberFormat="1" applyFont="1" applyFill="1" applyBorder="1" applyAlignment="1">
      <alignment horizontal="center" vertical="center"/>
    </xf>
    <xf numFmtId="0" fontId="16" fillId="16" borderId="32" xfId="0" applyFont="1" applyFill="1" applyBorder="1" applyAlignment="1">
      <alignment horizontal="center" vertical="center"/>
    </xf>
    <xf numFmtId="0" fontId="16" fillId="16" borderId="32" xfId="0" applyFont="1" applyFill="1" applyBorder="1" applyAlignment="1">
      <alignment horizontal="center" vertical="center" wrapText="1"/>
    </xf>
    <xf numFmtId="0" fontId="27" fillId="16" borderId="32" xfId="0" applyFont="1" applyFill="1" applyBorder="1" applyAlignment="1">
      <alignment horizontal="center" vertical="center" wrapText="1"/>
    </xf>
    <xf numFmtId="170" fontId="17" fillId="16" borderId="39" xfId="0" applyNumberFormat="1" applyFont="1" applyFill="1" applyBorder="1" applyAlignment="1">
      <alignment horizontal="center" vertical="center"/>
    </xf>
    <xf numFmtId="171" fontId="17" fillId="16" borderId="39" xfId="0" applyNumberFormat="1" applyFont="1" applyFill="1" applyBorder="1" applyAlignment="1">
      <alignment horizontal="center" vertical="center"/>
    </xf>
    <xf numFmtId="4" fontId="17" fillId="16" borderId="44" xfId="0" applyNumberFormat="1" applyFont="1" applyFill="1" applyBorder="1" applyAlignment="1">
      <alignment horizontal="center" vertical="center" wrapText="1"/>
    </xf>
    <xf numFmtId="2" fontId="24" fillId="16" borderId="31" xfId="0" applyNumberFormat="1" applyFont="1" applyFill="1" applyBorder="1" applyAlignment="1">
      <alignment horizontal="center" vertical="center" wrapText="1"/>
    </xf>
    <xf numFmtId="170" fontId="17" fillId="16" borderId="44" xfId="0" applyNumberFormat="1" applyFont="1" applyFill="1" applyBorder="1" applyAlignment="1">
      <alignment horizontal="center" vertical="center"/>
    </xf>
    <xf numFmtId="0" fontId="30" fillId="16" borderId="32" xfId="0" applyFont="1" applyFill="1" applyBorder="1" applyAlignment="1">
      <alignment horizontal="center" vertical="center"/>
    </xf>
    <xf numFmtId="4" fontId="17" fillId="16" borderId="1" xfId="0" applyNumberFormat="1" applyFont="1" applyFill="1" applyBorder="1" applyAlignment="1">
      <alignment horizontal="center" vertical="center"/>
    </xf>
    <xf numFmtId="2" fontId="17" fillId="16" borderId="1" xfId="2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9" fontId="0" fillId="0" borderId="0" xfId="3" applyFont="1" applyAlignment="1">
      <alignment horizontal="left"/>
    </xf>
    <xf numFmtId="0" fontId="19" fillId="0" borderId="32" xfId="0" applyFont="1" applyFill="1" applyBorder="1" applyAlignment="1">
      <alignment horizontal="justify" vertical="center"/>
    </xf>
    <xf numFmtId="0" fontId="19" fillId="0" borderId="32" xfId="0" applyFont="1" applyFill="1" applyBorder="1" applyAlignment="1">
      <alignment vertical="center" wrapText="1"/>
    </xf>
    <xf numFmtId="0" fontId="17" fillId="0" borderId="32" xfId="0" applyFont="1" applyFill="1" applyBorder="1" applyAlignment="1">
      <alignment horizontal="justify" vertical="center"/>
    </xf>
    <xf numFmtId="4" fontId="21" fillId="16" borderId="42" xfId="0" applyNumberFormat="1" applyFont="1" applyFill="1" applyBorder="1" applyAlignment="1">
      <alignment horizontal="center" vertical="center"/>
    </xf>
    <xf numFmtId="0" fontId="7" fillId="15" borderId="3" xfId="0" applyFont="1" applyFill="1" applyBorder="1" applyAlignment="1">
      <alignment horizontal="center" vertical="center"/>
    </xf>
    <xf numFmtId="0" fontId="7" fillId="15" borderId="4" xfId="0" applyFont="1" applyFill="1" applyBorder="1" applyAlignment="1">
      <alignment horizontal="center" vertical="center"/>
    </xf>
    <xf numFmtId="0" fontId="7" fillId="15" borderId="5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10" fillId="15" borderId="9" xfId="0" applyFont="1" applyFill="1" applyBorder="1" applyAlignment="1">
      <alignment horizontal="left" vertical="center"/>
    </xf>
    <xf numFmtId="0" fontId="10" fillId="15" borderId="10" xfId="0" applyFont="1" applyFill="1" applyBorder="1" applyAlignment="1">
      <alignment horizontal="left" vertical="center"/>
    </xf>
    <xf numFmtId="44" fontId="10" fillId="15" borderId="13" xfId="0" applyNumberFormat="1" applyFont="1" applyFill="1" applyBorder="1" applyAlignment="1">
      <alignment horizontal="left" vertical="center"/>
    </xf>
    <xf numFmtId="44" fontId="10" fillId="15" borderId="10" xfId="0" applyNumberFormat="1" applyFont="1" applyFill="1" applyBorder="1" applyAlignment="1">
      <alignment horizontal="left" vertical="center"/>
    </xf>
    <xf numFmtId="0" fontId="10" fillId="15" borderId="11" xfId="0" applyFont="1" applyFill="1" applyBorder="1" applyAlignment="1">
      <alignment horizontal="left" vertical="center"/>
    </xf>
    <xf numFmtId="0" fontId="10" fillId="15" borderId="13" xfId="0" applyFont="1" applyFill="1" applyBorder="1" applyAlignment="1">
      <alignment horizontal="left" vertical="center"/>
    </xf>
    <xf numFmtId="0" fontId="10" fillId="15" borderId="13" xfId="0" applyFont="1" applyFill="1" applyBorder="1" applyAlignment="1">
      <alignment vertical="center"/>
    </xf>
    <xf numFmtId="0" fontId="10" fillId="15" borderId="10" xfId="0" applyFont="1" applyFill="1" applyBorder="1" applyAlignment="1">
      <alignment vertical="center"/>
    </xf>
    <xf numFmtId="168" fontId="10" fillId="15" borderId="16" xfId="0" applyNumberFormat="1" applyFont="1" applyFill="1" applyBorder="1" applyAlignment="1">
      <alignment horizontal="center" vertical="center"/>
    </xf>
    <xf numFmtId="168" fontId="10" fillId="15" borderId="17" xfId="0" applyNumberFormat="1" applyFont="1" applyFill="1" applyBorder="1" applyAlignment="1">
      <alignment horizontal="center" vertical="center"/>
    </xf>
    <xf numFmtId="49" fontId="11" fillId="15" borderId="18" xfId="0" applyNumberFormat="1" applyFont="1" applyFill="1" applyBorder="1" applyAlignment="1">
      <alignment horizontal="center" vertical="center"/>
    </xf>
    <xf numFmtId="49" fontId="11" fillId="15" borderId="19" xfId="0" applyNumberFormat="1" applyFont="1" applyFill="1" applyBorder="1" applyAlignment="1">
      <alignment horizontal="center" vertical="center"/>
    </xf>
    <xf numFmtId="0" fontId="13" fillId="15" borderId="21" xfId="0" applyFont="1" applyFill="1" applyBorder="1" applyAlignment="1">
      <alignment horizontal="center" vertical="center" wrapText="1"/>
    </xf>
    <xf numFmtId="0" fontId="13" fillId="15" borderId="35" xfId="0" applyFont="1" applyFill="1" applyBorder="1" applyAlignment="1">
      <alignment horizontal="center" vertical="center" wrapText="1"/>
    </xf>
    <xf numFmtId="0" fontId="14" fillId="15" borderId="24" xfId="0" applyFont="1" applyFill="1" applyBorder="1" applyAlignment="1">
      <alignment horizontal="center" vertical="center" wrapText="1"/>
    </xf>
    <xf numFmtId="0" fontId="14" fillId="15" borderId="25" xfId="0" applyFont="1" applyFill="1" applyBorder="1" applyAlignment="1">
      <alignment horizontal="center" vertical="center" wrapText="1"/>
    </xf>
    <xf numFmtId="0" fontId="14" fillId="15" borderId="26" xfId="0" applyFont="1" applyFill="1" applyBorder="1" applyAlignment="1">
      <alignment horizontal="center" vertical="center" wrapText="1"/>
    </xf>
    <xf numFmtId="0" fontId="14" fillId="15" borderId="27" xfId="0" applyFont="1" applyFill="1" applyBorder="1" applyAlignment="1">
      <alignment horizontal="center" vertical="center" wrapText="1"/>
    </xf>
    <xf numFmtId="0" fontId="13" fillId="15" borderId="8" xfId="0" applyFont="1" applyFill="1" applyBorder="1" applyAlignment="1">
      <alignment horizontal="center" vertical="center" wrapText="1"/>
    </xf>
    <xf numFmtId="0" fontId="13" fillId="15" borderId="15" xfId="0" applyFont="1" applyFill="1" applyBorder="1" applyAlignment="1">
      <alignment horizontal="center" vertical="center" wrapText="1"/>
    </xf>
    <xf numFmtId="4" fontId="21" fillId="16" borderId="42" xfId="0" applyNumberFormat="1" applyFont="1" applyFill="1" applyBorder="1" applyAlignment="1">
      <alignment horizontal="center" vertical="center" wrapText="1"/>
    </xf>
    <xf numFmtId="0" fontId="14" fillId="15" borderId="21" xfId="0" applyFont="1" applyFill="1" applyBorder="1" applyAlignment="1">
      <alignment horizontal="center" vertical="center" wrapText="1"/>
    </xf>
    <xf numFmtId="0" fontId="14" fillId="15" borderId="35" xfId="0" applyFont="1" applyFill="1" applyBorder="1" applyAlignment="1">
      <alignment horizontal="center" vertical="center" wrapText="1"/>
    </xf>
    <xf numFmtId="0" fontId="13" fillId="15" borderId="22" xfId="0" applyFont="1" applyFill="1" applyBorder="1" applyAlignment="1">
      <alignment horizontal="center" vertical="center" wrapText="1"/>
    </xf>
    <xf numFmtId="0" fontId="13" fillId="15" borderId="23" xfId="0" applyFont="1" applyFill="1" applyBorder="1" applyAlignment="1">
      <alignment horizontal="center" vertical="center" wrapText="1"/>
    </xf>
    <xf numFmtId="44" fontId="10" fillId="15" borderId="18" xfId="0" applyNumberFormat="1" applyFont="1" applyFill="1" applyBorder="1" applyAlignment="1">
      <alignment horizontal="center" vertical="center"/>
    </xf>
    <xf numFmtId="44" fontId="10" fillId="15" borderId="19" xfId="0" applyNumberFormat="1" applyFont="1" applyFill="1" applyBorder="1" applyAlignment="1">
      <alignment horizontal="center" vertical="center"/>
    </xf>
    <xf numFmtId="44" fontId="10" fillId="15" borderId="17" xfId="0" applyNumberFormat="1" applyFont="1" applyFill="1" applyBorder="1" applyAlignment="1">
      <alignment horizontal="center" vertical="center"/>
    </xf>
    <xf numFmtId="169" fontId="10" fillId="15" borderId="18" xfId="2" applyNumberFormat="1" applyFont="1" applyFill="1" applyBorder="1" applyAlignment="1">
      <alignment horizontal="center" vertical="center"/>
    </xf>
    <xf numFmtId="169" fontId="10" fillId="15" borderId="19" xfId="2" applyNumberFormat="1" applyFont="1" applyFill="1" applyBorder="1" applyAlignment="1">
      <alignment horizontal="center" vertical="center"/>
    </xf>
    <xf numFmtId="4" fontId="19" fillId="16" borderId="47" xfId="0" applyNumberFormat="1" applyFont="1" applyFill="1" applyBorder="1" applyAlignment="1">
      <alignment horizontal="center" vertical="center"/>
    </xf>
    <xf numFmtId="4" fontId="19" fillId="16" borderId="48" xfId="0" applyNumberFormat="1" applyFont="1" applyFill="1" applyBorder="1" applyAlignment="1">
      <alignment horizontal="center" vertical="center"/>
    </xf>
    <xf numFmtId="4" fontId="19" fillId="16" borderId="49" xfId="0" applyNumberFormat="1" applyFont="1" applyFill="1" applyBorder="1" applyAlignment="1">
      <alignment horizontal="center" vertical="center"/>
    </xf>
    <xf numFmtId="4" fontId="19" fillId="16" borderId="32" xfId="0" applyNumberFormat="1" applyFont="1" applyFill="1" applyBorder="1" applyAlignment="1">
      <alignment horizontal="center" vertical="center"/>
    </xf>
    <xf numFmtId="0" fontId="14" fillId="15" borderId="22" xfId="0" applyFont="1" applyFill="1" applyBorder="1" applyAlignment="1">
      <alignment horizontal="center" vertical="center" wrapText="1"/>
    </xf>
    <xf numFmtId="4" fontId="17" fillId="16" borderId="47" xfId="0" applyNumberFormat="1" applyFont="1" applyFill="1" applyBorder="1" applyAlignment="1">
      <alignment horizontal="center" vertical="center"/>
    </xf>
    <xf numFmtId="4" fontId="17" fillId="16" borderId="32" xfId="0" applyNumberFormat="1" applyFont="1" applyFill="1" applyBorder="1" applyAlignment="1">
      <alignment horizontal="center" vertical="center"/>
    </xf>
    <xf numFmtId="4" fontId="17" fillId="16" borderId="48" xfId="0" applyNumberFormat="1" applyFont="1" applyFill="1" applyBorder="1" applyAlignment="1">
      <alignment horizontal="center" vertical="center"/>
    </xf>
    <xf numFmtId="4" fontId="17" fillId="16" borderId="49" xfId="0" applyNumberFormat="1" applyFont="1" applyFill="1" applyBorder="1" applyAlignment="1">
      <alignment horizontal="center" vertical="center"/>
    </xf>
    <xf numFmtId="4" fontId="17" fillId="16" borderId="47" xfId="0" applyNumberFormat="1" applyFont="1" applyFill="1" applyBorder="1" applyAlignment="1">
      <alignment horizontal="center" vertical="center" wrapText="1"/>
    </xf>
    <xf numFmtId="4" fontId="17" fillId="16" borderId="32" xfId="0" applyNumberFormat="1" applyFont="1" applyFill="1" applyBorder="1" applyAlignment="1">
      <alignment horizontal="center" vertical="center" wrapText="1"/>
    </xf>
    <xf numFmtId="4" fontId="17" fillId="16" borderId="48" xfId="0" applyNumberFormat="1" applyFont="1" applyFill="1" applyBorder="1" applyAlignment="1">
      <alignment horizontal="center" vertical="center" wrapText="1"/>
    </xf>
    <xf numFmtId="4" fontId="17" fillId="16" borderId="49" xfId="0" applyNumberFormat="1" applyFont="1" applyFill="1" applyBorder="1" applyAlignment="1">
      <alignment horizontal="center" vertical="center" wrapText="1"/>
    </xf>
    <xf numFmtId="0" fontId="22" fillId="15" borderId="42" xfId="0" applyFont="1" applyFill="1" applyBorder="1" applyAlignment="1">
      <alignment horizontal="center" vertical="center" wrapText="1"/>
    </xf>
    <xf numFmtId="0" fontId="23" fillId="15" borderId="42" xfId="0" applyFont="1" applyFill="1" applyBorder="1" applyAlignment="1">
      <alignment horizontal="center" vertical="center" wrapText="1"/>
    </xf>
    <xf numFmtId="169" fontId="10" fillId="15" borderId="17" xfId="2" applyNumberFormat="1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righ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right" vertical="center" wrapText="1"/>
    </xf>
  </cellXfs>
  <cellStyles count="4">
    <cellStyle name="Moeda" xfId="2" builtinId="4"/>
    <cellStyle name="Normal" xfId="0" builtinId="0"/>
    <cellStyle name="Porcentagem" xfId="3" builtinId="5"/>
    <cellStyle name="Vírgula" xfId="1" builtinId="3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jpeg"/><Relationship Id="rId13" Type="http://schemas.openxmlformats.org/officeDocument/2006/relationships/image" Target="../media/image16.jpeg"/><Relationship Id="rId18" Type="http://schemas.openxmlformats.org/officeDocument/2006/relationships/image" Target="../media/image21.jpg"/><Relationship Id="rId26" Type="http://schemas.openxmlformats.org/officeDocument/2006/relationships/image" Target="../media/image29.jpeg"/><Relationship Id="rId3" Type="http://schemas.openxmlformats.org/officeDocument/2006/relationships/image" Target="../media/image6.jpeg"/><Relationship Id="rId21" Type="http://schemas.openxmlformats.org/officeDocument/2006/relationships/image" Target="../media/image24.jpeg"/><Relationship Id="rId7" Type="http://schemas.openxmlformats.org/officeDocument/2006/relationships/image" Target="../media/image10.jpeg"/><Relationship Id="rId12" Type="http://schemas.openxmlformats.org/officeDocument/2006/relationships/image" Target="../media/image15.jpeg"/><Relationship Id="rId17" Type="http://schemas.openxmlformats.org/officeDocument/2006/relationships/image" Target="../media/image20.jpg"/><Relationship Id="rId25" Type="http://schemas.openxmlformats.org/officeDocument/2006/relationships/image" Target="../media/image28.jpeg"/><Relationship Id="rId2" Type="http://schemas.openxmlformats.org/officeDocument/2006/relationships/image" Target="../media/image5.jpg"/><Relationship Id="rId16" Type="http://schemas.openxmlformats.org/officeDocument/2006/relationships/image" Target="../media/image19.jpg"/><Relationship Id="rId20" Type="http://schemas.openxmlformats.org/officeDocument/2006/relationships/image" Target="../media/image23.jpg"/><Relationship Id="rId1" Type="http://schemas.openxmlformats.org/officeDocument/2006/relationships/image" Target="../media/image4.jpeg"/><Relationship Id="rId6" Type="http://schemas.openxmlformats.org/officeDocument/2006/relationships/image" Target="../media/image9.jpeg"/><Relationship Id="rId11" Type="http://schemas.openxmlformats.org/officeDocument/2006/relationships/image" Target="../media/image14.jpeg"/><Relationship Id="rId24" Type="http://schemas.openxmlformats.org/officeDocument/2006/relationships/image" Target="../media/image27.jpeg"/><Relationship Id="rId5" Type="http://schemas.openxmlformats.org/officeDocument/2006/relationships/image" Target="../media/image8.jpg"/><Relationship Id="rId15" Type="http://schemas.openxmlformats.org/officeDocument/2006/relationships/image" Target="../media/image18.jpg"/><Relationship Id="rId23" Type="http://schemas.openxmlformats.org/officeDocument/2006/relationships/image" Target="../media/image26.jpeg"/><Relationship Id="rId28" Type="http://schemas.openxmlformats.org/officeDocument/2006/relationships/image" Target="../media/image31.jpg"/><Relationship Id="rId10" Type="http://schemas.openxmlformats.org/officeDocument/2006/relationships/image" Target="../media/image13.jpeg"/><Relationship Id="rId19" Type="http://schemas.openxmlformats.org/officeDocument/2006/relationships/image" Target="../media/image22.jpeg"/><Relationship Id="rId4" Type="http://schemas.openxmlformats.org/officeDocument/2006/relationships/image" Target="../media/image7.jpeg"/><Relationship Id="rId9" Type="http://schemas.openxmlformats.org/officeDocument/2006/relationships/image" Target="../media/image12.jpeg"/><Relationship Id="rId14" Type="http://schemas.openxmlformats.org/officeDocument/2006/relationships/image" Target="../media/image17.jpeg"/><Relationship Id="rId22" Type="http://schemas.openxmlformats.org/officeDocument/2006/relationships/image" Target="../media/image25.jpeg"/><Relationship Id="rId27" Type="http://schemas.openxmlformats.org/officeDocument/2006/relationships/image" Target="../media/image30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9.jpg"/><Relationship Id="rId13" Type="http://schemas.openxmlformats.org/officeDocument/2006/relationships/image" Target="../media/image44.jpeg"/><Relationship Id="rId18" Type="http://schemas.openxmlformats.org/officeDocument/2006/relationships/image" Target="../media/image49.jpeg"/><Relationship Id="rId3" Type="http://schemas.openxmlformats.org/officeDocument/2006/relationships/image" Target="../media/image34.jpeg"/><Relationship Id="rId7" Type="http://schemas.openxmlformats.org/officeDocument/2006/relationships/image" Target="../media/image38.jpg"/><Relationship Id="rId12" Type="http://schemas.openxmlformats.org/officeDocument/2006/relationships/image" Target="../media/image43.jpeg"/><Relationship Id="rId17" Type="http://schemas.openxmlformats.org/officeDocument/2006/relationships/image" Target="../media/image48.jpeg"/><Relationship Id="rId2" Type="http://schemas.openxmlformats.org/officeDocument/2006/relationships/image" Target="../media/image33.jpg"/><Relationship Id="rId16" Type="http://schemas.openxmlformats.org/officeDocument/2006/relationships/image" Target="../media/image47.jpeg"/><Relationship Id="rId1" Type="http://schemas.openxmlformats.org/officeDocument/2006/relationships/image" Target="../media/image32.jpg"/><Relationship Id="rId6" Type="http://schemas.openxmlformats.org/officeDocument/2006/relationships/image" Target="../media/image37.jpeg"/><Relationship Id="rId11" Type="http://schemas.openxmlformats.org/officeDocument/2006/relationships/image" Target="../media/image42.jpg"/><Relationship Id="rId5" Type="http://schemas.openxmlformats.org/officeDocument/2006/relationships/image" Target="../media/image36.jpeg"/><Relationship Id="rId15" Type="http://schemas.openxmlformats.org/officeDocument/2006/relationships/image" Target="../media/image46.jpeg"/><Relationship Id="rId10" Type="http://schemas.openxmlformats.org/officeDocument/2006/relationships/image" Target="../media/image41.jpeg"/><Relationship Id="rId19" Type="http://schemas.openxmlformats.org/officeDocument/2006/relationships/image" Target="../media/image50.png"/><Relationship Id="rId4" Type="http://schemas.openxmlformats.org/officeDocument/2006/relationships/image" Target="../media/image35.jpeg"/><Relationship Id="rId9" Type="http://schemas.openxmlformats.org/officeDocument/2006/relationships/image" Target="../media/image40.jpeg"/><Relationship Id="rId14" Type="http://schemas.openxmlformats.org/officeDocument/2006/relationships/image" Target="../media/image45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508000</xdr:colOff>
      <xdr:row>2</xdr:row>
      <xdr:rowOff>50801</xdr:rowOff>
    </xdr:from>
    <xdr:to>
      <xdr:col>25</xdr:col>
      <xdr:colOff>863600</xdr:colOff>
      <xdr:row>7</xdr:row>
      <xdr:rowOff>38101</xdr:rowOff>
    </xdr:to>
    <xdr:pic>
      <xdr:nvPicPr>
        <xdr:cNvPr id="3" name="Imagem 68">
          <a:extLst>
            <a:ext uri="{FF2B5EF4-FFF2-40B4-BE49-F238E27FC236}">
              <a16:creationId xmlns:a16="http://schemas.microsoft.com/office/drawing/2014/main" id="{1D81D3D5-4D07-496B-BDE0-EC8E86D24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0" y="520701"/>
          <a:ext cx="16002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E0175BA-D925-4369-A4DD-C15C8F715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20627" y="863614"/>
          <a:ext cx="1087754" cy="5095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476250</xdr:colOff>
      <xdr:row>135</xdr:row>
      <xdr:rowOff>158750</xdr:rowOff>
    </xdr:from>
    <xdr:to>
      <xdr:col>19</xdr:col>
      <xdr:colOff>368300</xdr:colOff>
      <xdr:row>140</xdr:row>
      <xdr:rowOff>25400</xdr:rowOff>
    </xdr:to>
    <xdr:pic>
      <xdr:nvPicPr>
        <xdr:cNvPr id="3" name="Imagem 68">
          <a:extLst>
            <a:ext uri="{FF2B5EF4-FFF2-40B4-BE49-F238E27FC236}">
              <a16:creationId xmlns:a16="http://schemas.microsoft.com/office/drawing/2014/main" id="{50CCA2B8-6665-47D9-AC4B-53D96FDC5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875" y="26543000"/>
          <a:ext cx="10985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15875</xdr:colOff>
      <xdr:row>3</xdr:row>
      <xdr:rowOff>0</xdr:rowOff>
    </xdr:from>
    <xdr:to>
      <xdr:col>13</xdr:col>
      <xdr:colOff>1114425</xdr:colOff>
      <xdr:row>7</xdr:row>
      <xdr:rowOff>25400</xdr:rowOff>
    </xdr:to>
    <xdr:pic>
      <xdr:nvPicPr>
        <xdr:cNvPr id="4" name="Imagem 68">
          <a:extLst>
            <a:ext uri="{FF2B5EF4-FFF2-40B4-BE49-F238E27FC236}">
              <a16:creationId xmlns:a16="http://schemas.microsoft.com/office/drawing/2014/main" id="{9BCFA232-31B0-4814-AC71-7B3527EF9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875" y="666750"/>
          <a:ext cx="10985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19C8E3D-668C-4074-AE9C-C7B77F775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51183" y="505474"/>
          <a:ext cx="2182211" cy="1046015"/>
        </a:xfrm>
        <a:prstGeom prst="rect">
          <a:avLst/>
        </a:prstGeom>
      </xdr:spPr>
    </xdr:pic>
    <xdr:clientData/>
  </xdr:twoCellAnchor>
  <xdr:twoCellAnchor editAs="oneCell">
    <xdr:from>
      <xdr:col>3</xdr:col>
      <xdr:colOff>3030876</xdr:colOff>
      <xdr:row>11</xdr:row>
      <xdr:rowOff>17121</xdr:rowOff>
    </xdr:from>
    <xdr:to>
      <xdr:col>7</xdr:col>
      <xdr:colOff>1341810</xdr:colOff>
      <xdr:row>25</xdr:row>
      <xdr:rowOff>60272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FBF2F2F-74B5-5C8B-AB5A-4BFB881E0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3168" y="2243188"/>
          <a:ext cx="3396642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1425707</xdr:colOff>
      <xdr:row>11</xdr:row>
      <xdr:rowOff>21572</xdr:rowOff>
    </xdr:from>
    <xdr:to>
      <xdr:col>16</xdr:col>
      <xdr:colOff>735916</xdr:colOff>
      <xdr:row>25</xdr:row>
      <xdr:rowOff>64723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EFB573D1-822E-6915-912A-E01B63BE5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3707" y="2247639"/>
          <a:ext cx="3402748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813707</xdr:colOff>
      <xdr:row>11</xdr:row>
      <xdr:rowOff>337</xdr:rowOff>
    </xdr:from>
    <xdr:to>
      <xdr:col>25</xdr:col>
      <xdr:colOff>467613</xdr:colOff>
      <xdr:row>25</xdr:row>
      <xdr:rowOff>43488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03952D20-0074-483E-416E-7767276018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64246" y="2226404"/>
          <a:ext cx="3412536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330135</xdr:colOff>
      <xdr:row>25</xdr:row>
      <xdr:rowOff>90405</xdr:rowOff>
    </xdr:from>
    <xdr:to>
      <xdr:col>3</xdr:col>
      <xdr:colOff>3014918</xdr:colOff>
      <xdr:row>39</xdr:row>
      <xdr:rowOff>133557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B4C2E7A9-59FB-CDF4-E0B7-14A38B947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4674" y="4833641"/>
          <a:ext cx="3412536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3057235</xdr:colOff>
      <xdr:row>25</xdr:row>
      <xdr:rowOff>86292</xdr:rowOff>
    </xdr:from>
    <xdr:to>
      <xdr:col>7</xdr:col>
      <xdr:colOff>1373043</xdr:colOff>
      <xdr:row>39</xdr:row>
      <xdr:rowOff>129444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B3F7E787-B5EA-A891-6061-D57CE5F11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9527" y="4829528"/>
          <a:ext cx="3401516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3074697</xdr:colOff>
      <xdr:row>83</xdr:row>
      <xdr:rowOff>26697</xdr:rowOff>
    </xdr:from>
    <xdr:to>
      <xdr:col>7</xdr:col>
      <xdr:colOff>1402749</xdr:colOff>
      <xdr:row>97</xdr:row>
      <xdr:rowOff>69849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FAAB814F-E5A2-AA1E-2965-4F70F540E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6989" y="15198203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330810</xdr:colOff>
      <xdr:row>54</xdr:row>
      <xdr:rowOff>91078</xdr:rowOff>
    </xdr:from>
    <xdr:to>
      <xdr:col>3</xdr:col>
      <xdr:colOff>3020496</xdr:colOff>
      <xdr:row>68</xdr:row>
      <xdr:rowOff>134230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7E7E02FD-1E81-393E-942D-2FFC327C6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5349" y="10048449"/>
          <a:ext cx="3417439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3066474</xdr:colOff>
      <xdr:row>54</xdr:row>
      <xdr:rowOff>69843</xdr:rowOff>
    </xdr:from>
    <xdr:to>
      <xdr:col>7</xdr:col>
      <xdr:colOff>1389628</xdr:colOff>
      <xdr:row>68</xdr:row>
      <xdr:rowOff>112995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9286677B-F78F-2CA0-9202-A53FD01BB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66" y="10027214"/>
          <a:ext cx="3408862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1418494</xdr:colOff>
      <xdr:row>25</xdr:row>
      <xdr:rowOff>91415</xdr:rowOff>
    </xdr:from>
    <xdr:to>
      <xdr:col>16</xdr:col>
      <xdr:colOff>747072</xdr:colOff>
      <xdr:row>39</xdr:row>
      <xdr:rowOff>134567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5ECB0C30-F1F7-ABD1-A3CA-3530D4DF7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6494" y="4834651"/>
          <a:ext cx="3421117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840742</xdr:colOff>
      <xdr:row>25</xdr:row>
      <xdr:rowOff>78742</xdr:rowOff>
    </xdr:from>
    <xdr:to>
      <xdr:col>25</xdr:col>
      <xdr:colOff>488531</xdr:colOff>
      <xdr:row>39</xdr:row>
      <xdr:rowOff>121894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701D8C13-AD84-1E2B-9174-6A1F00172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1281" y="4821978"/>
          <a:ext cx="3406419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1444516</xdr:colOff>
      <xdr:row>54</xdr:row>
      <xdr:rowOff>57504</xdr:rowOff>
    </xdr:from>
    <xdr:to>
      <xdr:col>16</xdr:col>
      <xdr:colOff>775575</xdr:colOff>
      <xdr:row>68</xdr:row>
      <xdr:rowOff>100656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05E7FCAB-6B6A-09A2-623B-DEABE349E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2516" y="10014875"/>
          <a:ext cx="3423598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3045912</xdr:colOff>
      <xdr:row>39</xdr:row>
      <xdr:rowOff>134901</xdr:rowOff>
    </xdr:from>
    <xdr:to>
      <xdr:col>7</xdr:col>
      <xdr:colOff>1371519</xdr:colOff>
      <xdr:row>53</xdr:row>
      <xdr:rowOff>178052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6308711F-337E-54A3-840F-989EE31AD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8204" y="7395305"/>
          <a:ext cx="3411315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336270</xdr:colOff>
      <xdr:row>39</xdr:row>
      <xdr:rowOff>139347</xdr:rowOff>
    </xdr:from>
    <xdr:to>
      <xdr:col>3</xdr:col>
      <xdr:colOff>3024726</xdr:colOff>
      <xdr:row>54</xdr:row>
      <xdr:rowOff>2700</xdr:rowOff>
    </xdr:to>
    <xdr:pic>
      <xdr:nvPicPr>
        <xdr:cNvPr id="32" name="Imagem 31">
          <a:extLst>
            <a:ext uri="{FF2B5EF4-FFF2-40B4-BE49-F238E27FC236}">
              <a16:creationId xmlns:a16="http://schemas.microsoft.com/office/drawing/2014/main" id="{4C50FC5B-5459-80DC-AB0F-643F8F38A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0809" y="7399751"/>
          <a:ext cx="3416209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839055</xdr:colOff>
      <xdr:row>39</xdr:row>
      <xdr:rowOff>128430</xdr:rowOff>
    </xdr:from>
    <xdr:to>
      <xdr:col>25</xdr:col>
      <xdr:colOff>613438</xdr:colOff>
      <xdr:row>53</xdr:row>
      <xdr:rowOff>171581</xdr:rowOff>
    </xdr:to>
    <xdr:pic>
      <xdr:nvPicPr>
        <xdr:cNvPr id="34" name="Imagem 33">
          <a:extLst>
            <a:ext uri="{FF2B5EF4-FFF2-40B4-BE49-F238E27FC236}">
              <a16:creationId xmlns:a16="http://schemas.microsoft.com/office/drawing/2014/main" id="{DE0C3CCE-ADF1-B6A7-C1D2-814D6759CA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9594" y="7388834"/>
          <a:ext cx="3533013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1433931</xdr:colOff>
      <xdr:row>39</xdr:row>
      <xdr:rowOff>98631</xdr:rowOff>
    </xdr:from>
    <xdr:to>
      <xdr:col>16</xdr:col>
      <xdr:colOff>745370</xdr:colOff>
      <xdr:row>53</xdr:row>
      <xdr:rowOff>141782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F03E3B73-C051-1077-EECD-26A94BC8F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1931" y="7359035"/>
          <a:ext cx="3403978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856180</xdr:colOff>
      <xdr:row>54</xdr:row>
      <xdr:rowOff>42808</xdr:rowOff>
    </xdr:from>
    <xdr:to>
      <xdr:col>25</xdr:col>
      <xdr:colOff>511310</xdr:colOff>
      <xdr:row>68</xdr:row>
      <xdr:rowOff>85960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196A9786-4E9E-0F85-8B9D-A75213462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6719" y="10000179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355483</xdr:colOff>
      <xdr:row>68</xdr:row>
      <xdr:rowOff>150000</xdr:rowOff>
    </xdr:from>
    <xdr:to>
      <xdr:col>3</xdr:col>
      <xdr:colOff>3024372</xdr:colOff>
      <xdr:row>83</xdr:row>
      <xdr:rowOff>13353</xdr:rowOff>
    </xdr:to>
    <xdr:pic>
      <xdr:nvPicPr>
        <xdr:cNvPr id="42" name="Imagem 41">
          <a:extLst>
            <a:ext uri="{FF2B5EF4-FFF2-40B4-BE49-F238E27FC236}">
              <a16:creationId xmlns:a16="http://schemas.microsoft.com/office/drawing/2014/main" id="{E3CFB278-22E5-4EC1-2008-44A1381DC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022" y="12624539"/>
          <a:ext cx="339664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3082586</xdr:colOff>
      <xdr:row>68</xdr:row>
      <xdr:rowOff>128765</xdr:rowOff>
    </xdr:from>
    <xdr:to>
      <xdr:col>7</xdr:col>
      <xdr:colOff>1410638</xdr:colOff>
      <xdr:row>82</xdr:row>
      <xdr:rowOff>171916</xdr:rowOff>
    </xdr:to>
    <xdr:pic>
      <xdr:nvPicPr>
        <xdr:cNvPr id="44" name="Imagem 43">
          <a:extLst>
            <a:ext uri="{FF2B5EF4-FFF2-40B4-BE49-F238E27FC236}">
              <a16:creationId xmlns:a16="http://schemas.microsoft.com/office/drawing/2014/main" id="{A51EC06F-B34E-9FBE-8802-C199F677A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4878" y="12603304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1489753</xdr:colOff>
      <xdr:row>68</xdr:row>
      <xdr:rowOff>136989</xdr:rowOff>
    </xdr:from>
    <xdr:to>
      <xdr:col>16</xdr:col>
      <xdr:colOff>810360</xdr:colOff>
      <xdr:row>83</xdr:row>
      <xdr:rowOff>342</xdr:rowOff>
    </xdr:to>
    <xdr:pic>
      <xdr:nvPicPr>
        <xdr:cNvPr id="46" name="Imagem 45">
          <a:extLst>
            <a:ext uri="{FF2B5EF4-FFF2-40B4-BE49-F238E27FC236}">
              <a16:creationId xmlns:a16="http://schemas.microsoft.com/office/drawing/2014/main" id="{81F2D3B7-EAA5-6690-ED4B-BBFB926E3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7753" y="12611528"/>
          <a:ext cx="3413146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873305</xdr:colOff>
      <xdr:row>68</xdr:row>
      <xdr:rowOff>102742</xdr:rowOff>
    </xdr:from>
    <xdr:to>
      <xdr:col>25</xdr:col>
      <xdr:colOff>659118</xdr:colOff>
      <xdr:row>82</xdr:row>
      <xdr:rowOff>145893</xdr:rowOff>
    </xdr:to>
    <xdr:pic>
      <xdr:nvPicPr>
        <xdr:cNvPr id="48" name="Imagem 47">
          <a:extLst>
            <a:ext uri="{FF2B5EF4-FFF2-40B4-BE49-F238E27FC236}">
              <a16:creationId xmlns:a16="http://schemas.microsoft.com/office/drawing/2014/main" id="{907D28E7-D01B-8068-1D16-D754B5DD92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3844" y="12577281"/>
          <a:ext cx="3544443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1472966</xdr:colOff>
      <xdr:row>83</xdr:row>
      <xdr:rowOff>34581</xdr:rowOff>
    </xdr:from>
    <xdr:to>
      <xdr:col>16</xdr:col>
      <xdr:colOff>794187</xdr:colOff>
      <xdr:row>97</xdr:row>
      <xdr:rowOff>77733</xdr:rowOff>
    </xdr:to>
    <xdr:pic>
      <xdr:nvPicPr>
        <xdr:cNvPr id="54" name="Imagem 53">
          <a:extLst>
            <a:ext uri="{FF2B5EF4-FFF2-40B4-BE49-F238E27FC236}">
              <a16:creationId xmlns:a16="http://schemas.microsoft.com/office/drawing/2014/main" id="{7D0FEAC3-6B58-AE24-6D56-6555CDCC2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0966" y="15206087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119866</xdr:colOff>
      <xdr:row>108</xdr:row>
      <xdr:rowOff>51371</xdr:rowOff>
    </xdr:from>
    <xdr:to>
      <xdr:col>3</xdr:col>
      <xdr:colOff>2808332</xdr:colOff>
      <xdr:row>122</xdr:row>
      <xdr:rowOff>94522</xdr:rowOff>
    </xdr:to>
    <xdr:pic>
      <xdr:nvPicPr>
        <xdr:cNvPr id="56" name="Imagem 55">
          <a:extLst>
            <a:ext uri="{FF2B5EF4-FFF2-40B4-BE49-F238E27FC236}">
              <a16:creationId xmlns:a16="http://schemas.microsoft.com/office/drawing/2014/main" id="{9FDCD255-0A75-5EB2-9AD2-264557114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405" y="19717820"/>
          <a:ext cx="3416219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869192</xdr:colOff>
      <xdr:row>82</xdr:row>
      <xdr:rowOff>150000</xdr:rowOff>
    </xdr:from>
    <xdr:to>
      <xdr:col>25</xdr:col>
      <xdr:colOff>524322</xdr:colOff>
      <xdr:row>97</xdr:row>
      <xdr:rowOff>13354</xdr:rowOff>
    </xdr:to>
    <xdr:pic>
      <xdr:nvPicPr>
        <xdr:cNvPr id="58" name="Imagem 57">
          <a:extLst>
            <a:ext uri="{FF2B5EF4-FFF2-40B4-BE49-F238E27FC236}">
              <a16:creationId xmlns:a16="http://schemas.microsoft.com/office/drawing/2014/main" id="{F01E1C7F-13D9-8E84-3B23-48BAD2164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9731" y="15141708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2979506</xdr:colOff>
      <xdr:row>108</xdr:row>
      <xdr:rowOff>25686</xdr:rowOff>
    </xdr:from>
    <xdr:to>
      <xdr:col>7</xdr:col>
      <xdr:colOff>1319838</xdr:colOff>
      <xdr:row>122</xdr:row>
      <xdr:rowOff>68837</xdr:rowOff>
    </xdr:to>
    <xdr:pic>
      <xdr:nvPicPr>
        <xdr:cNvPr id="60" name="Imagem 59">
          <a:extLst>
            <a:ext uri="{FF2B5EF4-FFF2-40B4-BE49-F238E27FC236}">
              <a16:creationId xmlns:a16="http://schemas.microsoft.com/office/drawing/2014/main" id="{EBF8DB60-3B63-80CA-9906-FAB36CD83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1798" y="19692135"/>
          <a:ext cx="3426040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1429584</xdr:colOff>
      <xdr:row>108</xdr:row>
      <xdr:rowOff>40904</xdr:rowOff>
    </xdr:from>
    <xdr:to>
      <xdr:col>16</xdr:col>
      <xdr:colOff>747051</xdr:colOff>
      <xdr:row>122</xdr:row>
      <xdr:rowOff>84055</xdr:rowOff>
    </xdr:to>
    <xdr:pic>
      <xdr:nvPicPr>
        <xdr:cNvPr id="62" name="Imagem 61">
          <a:extLst>
            <a:ext uri="{FF2B5EF4-FFF2-40B4-BE49-F238E27FC236}">
              <a16:creationId xmlns:a16="http://schemas.microsoft.com/office/drawing/2014/main" id="{C017F948-37A7-1380-B037-FB4FEE1FE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7584" y="19707353"/>
          <a:ext cx="3410006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839056</xdr:colOff>
      <xdr:row>108</xdr:row>
      <xdr:rowOff>59933</xdr:rowOff>
    </xdr:from>
    <xdr:to>
      <xdr:col>25</xdr:col>
      <xdr:colOff>492962</xdr:colOff>
      <xdr:row>122</xdr:row>
      <xdr:rowOff>103084</xdr:rowOff>
    </xdr:to>
    <xdr:pic>
      <xdr:nvPicPr>
        <xdr:cNvPr id="64" name="Imagem 63">
          <a:extLst>
            <a:ext uri="{FF2B5EF4-FFF2-40B4-BE49-F238E27FC236}">
              <a16:creationId xmlns:a16="http://schemas.microsoft.com/office/drawing/2014/main" id="{166500FD-32DB-65EA-C915-E6A5F5D24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9595" y="19726382"/>
          <a:ext cx="3412536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361739</xdr:colOff>
      <xdr:row>83</xdr:row>
      <xdr:rowOff>51841</xdr:rowOff>
    </xdr:from>
    <xdr:to>
      <xdr:col>3</xdr:col>
      <xdr:colOff>3029568</xdr:colOff>
      <xdr:row>97</xdr:row>
      <xdr:rowOff>94993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3C544FD-FDC2-1EBA-A414-21D17CF7F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6278" y="15223347"/>
          <a:ext cx="3395582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291101</xdr:colOff>
      <xdr:row>11</xdr:row>
      <xdr:rowOff>17123</xdr:rowOff>
    </xdr:from>
    <xdr:to>
      <xdr:col>3</xdr:col>
      <xdr:colOff>2977108</xdr:colOff>
      <xdr:row>25</xdr:row>
      <xdr:rowOff>60274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E689BE95-A088-777D-2690-607F63CA1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5640" y="2243190"/>
          <a:ext cx="3413760" cy="25603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264367</xdr:colOff>
      <xdr:row>11</xdr:row>
      <xdr:rowOff>62205</xdr:rowOff>
    </xdr:from>
    <xdr:to>
      <xdr:col>3</xdr:col>
      <xdr:colOff>2852741</xdr:colOff>
      <xdr:row>25</xdr:row>
      <xdr:rowOff>9953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FEA83ED1-F14B-32B0-F5D8-D3F2C5B9FE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2309327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3145320</xdr:colOff>
      <xdr:row>11</xdr:row>
      <xdr:rowOff>35896</xdr:rowOff>
    </xdr:from>
    <xdr:to>
      <xdr:col>7</xdr:col>
      <xdr:colOff>1387184</xdr:colOff>
      <xdr:row>24</xdr:row>
      <xdr:rowOff>164619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BAF0E921-7AC3-B90B-B783-DADB52865D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6495" y="2255221"/>
          <a:ext cx="3328214" cy="2481398"/>
        </a:xfrm>
        <a:prstGeom prst="rect">
          <a:avLst/>
        </a:prstGeom>
      </xdr:spPr>
    </xdr:pic>
    <xdr:clientData/>
  </xdr:twoCellAnchor>
  <xdr:twoCellAnchor editAs="oneCell">
    <xdr:from>
      <xdr:col>16</xdr:col>
      <xdr:colOff>1207214</xdr:colOff>
      <xdr:row>39</xdr:row>
      <xdr:rowOff>2009</xdr:rowOff>
    </xdr:from>
    <xdr:to>
      <xdr:col>25</xdr:col>
      <xdr:colOff>763979</xdr:colOff>
      <xdr:row>52</xdr:row>
      <xdr:rowOff>136369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CC999F3E-D332-8FB2-A486-997CB3DA9C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63538" y="7446955"/>
          <a:ext cx="3315279" cy="2543928"/>
        </a:xfrm>
        <a:prstGeom prst="rect">
          <a:avLst/>
        </a:prstGeom>
      </xdr:spPr>
    </xdr:pic>
    <xdr:clientData/>
  </xdr:twoCellAnchor>
  <xdr:twoCellAnchor editAs="oneCell">
    <xdr:from>
      <xdr:col>7</xdr:col>
      <xdr:colOff>1662980</xdr:colOff>
      <xdr:row>11</xdr:row>
      <xdr:rowOff>76778</xdr:rowOff>
    </xdr:from>
    <xdr:to>
      <xdr:col>16</xdr:col>
      <xdr:colOff>892333</xdr:colOff>
      <xdr:row>25</xdr:row>
      <xdr:rowOff>24526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6221FAAF-DA6F-8775-4F2A-F53C2583E0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3204" y="2323900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3142802</xdr:colOff>
      <xdr:row>54</xdr:row>
      <xdr:rowOff>50251</xdr:rowOff>
    </xdr:from>
    <xdr:to>
      <xdr:col>7</xdr:col>
      <xdr:colOff>1384666</xdr:colOff>
      <xdr:row>67</xdr:row>
      <xdr:rowOff>184611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EBEE83D8-550E-FF6A-D235-9C55B0D9A8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3937" y="10275467"/>
          <a:ext cx="3328729" cy="2543928"/>
        </a:xfrm>
        <a:prstGeom prst="rect">
          <a:avLst/>
        </a:prstGeom>
      </xdr:spPr>
    </xdr:pic>
    <xdr:clientData/>
  </xdr:twoCellAnchor>
  <xdr:twoCellAnchor editAs="oneCell">
    <xdr:from>
      <xdr:col>2</xdr:col>
      <xdr:colOff>319404</xdr:colOff>
      <xdr:row>54</xdr:row>
      <xdr:rowOff>58188</xdr:rowOff>
    </xdr:from>
    <xdr:to>
      <xdr:col>3</xdr:col>
      <xdr:colOff>2902524</xdr:colOff>
      <xdr:row>68</xdr:row>
      <xdr:rowOff>5937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1F1E118E-DC10-478B-CE4C-69EF7D7DA0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9431" y="10283404"/>
          <a:ext cx="3314228" cy="2542668"/>
        </a:xfrm>
        <a:prstGeom prst="rect">
          <a:avLst/>
        </a:prstGeom>
      </xdr:spPr>
    </xdr:pic>
    <xdr:clientData/>
  </xdr:twoCellAnchor>
  <xdr:twoCellAnchor editAs="oneCell">
    <xdr:from>
      <xdr:col>7</xdr:col>
      <xdr:colOff>1662000</xdr:colOff>
      <xdr:row>25</xdr:row>
      <xdr:rowOff>44695</xdr:rowOff>
    </xdr:from>
    <xdr:to>
      <xdr:col>16</xdr:col>
      <xdr:colOff>891353</xdr:colOff>
      <xdr:row>38</xdr:row>
      <xdr:rowOff>179056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4B904671-3EAB-87BF-2BF5-3A2E2821C7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2224" y="4904389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1205509</xdr:colOff>
      <xdr:row>11</xdr:row>
      <xdr:rowOff>78062</xdr:rowOff>
    </xdr:from>
    <xdr:to>
      <xdr:col>25</xdr:col>
      <xdr:colOff>761434</xdr:colOff>
      <xdr:row>25</xdr:row>
      <xdr:rowOff>25810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340640EE-0481-2686-7457-60BA4B8C8F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45652" y="2325184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3162580</xdr:colOff>
      <xdr:row>68</xdr:row>
      <xdr:rowOff>165017</xdr:rowOff>
    </xdr:from>
    <xdr:to>
      <xdr:col>7</xdr:col>
      <xdr:colOff>1395197</xdr:colOff>
      <xdr:row>82</xdr:row>
      <xdr:rowOff>114025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3BDD201D-EDB8-9427-03F5-47CAC891F6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3715" y="12985152"/>
          <a:ext cx="3319482" cy="2543927"/>
        </a:xfrm>
        <a:prstGeom prst="rect">
          <a:avLst/>
        </a:prstGeom>
      </xdr:spPr>
    </xdr:pic>
    <xdr:clientData/>
  </xdr:twoCellAnchor>
  <xdr:twoCellAnchor editAs="oneCell">
    <xdr:from>
      <xdr:col>16</xdr:col>
      <xdr:colOff>1262368</xdr:colOff>
      <xdr:row>54</xdr:row>
      <xdr:rowOff>57164</xdr:rowOff>
    </xdr:from>
    <xdr:to>
      <xdr:col>25</xdr:col>
      <xdr:colOff>831531</xdr:colOff>
      <xdr:row>68</xdr:row>
      <xdr:rowOff>4912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79FB2A42-7DBE-2E44-7452-5886651642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18692" y="10282380"/>
          <a:ext cx="3327677" cy="2542667"/>
        </a:xfrm>
        <a:prstGeom prst="rect">
          <a:avLst/>
        </a:prstGeom>
      </xdr:spPr>
    </xdr:pic>
    <xdr:clientData/>
  </xdr:twoCellAnchor>
  <xdr:twoCellAnchor editAs="oneCell">
    <xdr:from>
      <xdr:col>8</xdr:col>
      <xdr:colOff>6892</xdr:colOff>
      <xdr:row>54</xdr:row>
      <xdr:rowOff>79394</xdr:rowOff>
    </xdr:from>
    <xdr:to>
      <xdr:col>16</xdr:col>
      <xdr:colOff>960938</xdr:colOff>
      <xdr:row>68</xdr:row>
      <xdr:rowOff>28404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710BABF6-1C92-B1C3-B81B-3A6C93826C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4838" y="10304610"/>
          <a:ext cx="3322424" cy="2543929"/>
        </a:xfrm>
        <a:prstGeom prst="rect">
          <a:avLst/>
        </a:prstGeom>
      </xdr:spPr>
    </xdr:pic>
    <xdr:clientData/>
  </xdr:twoCellAnchor>
  <xdr:twoCellAnchor editAs="oneCell">
    <xdr:from>
      <xdr:col>14</xdr:col>
      <xdr:colOff>22397</xdr:colOff>
      <xdr:row>69</xdr:row>
      <xdr:rowOff>15040</xdr:rowOff>
    </xdr:from>
    <xdr:to>
      <xdr:col>16</xdr:col>
      <xdr:colOff>970559</xdr:colOff>
      <xdr:row>82</xdr:row>
      <xdr:rowOff>148140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8E44FFC3-2856-7DF1-D025-E72FA94125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0343" y="13020526"/>
          <a:ext cx="3316540" cy="2542668"/>
        </a:xfrm>
        <a:prstGeom prst="rect">
          <a:avLst/>
        </a:prstGeom>
      </xdr:spPr>
    </xdr:pic>
    <xdr:clientData/>
  </xdr:twoCellAnchor>
  <xdr:twoCellAnchor editAs="oneCell">
    <xdr:from>
      <xdr:col>2</xdr:col>
      <xdr:colOff>295632</xdr:colOff>
      <xdr:row>25</xdr:row>
      <xdr:rowOff>33987</xdr:rowOff>
    </xdr:from>
    <xdr:to>
      <xdr:col>3</xdr:col>
      <xdr:colOff>2889838</xdr:colOff>
      <xdr:row>38</xdr:row>
      <xdr:rowOff>162710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B10626A6-D051-4198-4BD4-147481EAAE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382" y="4786962"/>
          <a:ext cx="3327631" cy="2481398"/>
        </a:xfrm>
        <a:prstGeom prst="rect">
          <a:avLst/>
        </a:prstGeom>
      </xdr:spPr>
    </xdr:pic>
    <xdr:clientData/>
  </xdr:twoCellAnchor>
  <xdr:twoCellAnchor editAs="oneCell">
    <xdr:from>
      <xdr:col>3</xdr:col>
      <xdr:colOff>3139655</xdr:colOff>
      <xdr:row>25</xdr:row>
      <xdr:rowOff>29448</xdr:rowOff>
    </xdr:from>
    <xdr:to>
      <xdr:col>7</xdr:col>
      <xdr:colOff>1381519</xdr:colOff>
      <xdr:row>38</xdr:row>
      <xdr:rowOff>163809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0B1C65B7-A829-BAFB-FB8C-5EEEC8ECCA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2471" y="4889142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1677554</xdr:colOff>
      <xdr:row>39</xdr:row>
      <xdr:rowOff>27256</xdr:rowOff>
    </xdr:from>
    <xdr:to>
      <xdr:col>16</xdr:col>
      <xdr:colOff>897241</xdr:colOff>
      <xdr:row>52</xdr:row>
      <xdr:rowOff>160356</xdr:rowOff>
    </xdr:to>
    <xdr:pic>
      <xdr:nvPicPr>
        <xdr:cNvPr id="34" name="Imagem 33">
          <a:extLst>
            <a:ext uri="{FF2B5EF4-FFF2-40B4-BE49-F238E27FC236}">
              <a16:creationId xmlns:a16="http://schemas.microsoft.com/office/drawing/2014/main" id="{D0C036B0-5DF7-79CB-575F-451E4ABB69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5554" y="7472202"/>
          <a:ext cx="3318011" cy="2542668"/>
        </a:xfrm>
        <a:prstGeom prst="rect">
          <a:avLst/>
        </a:prstGeom>
      </xdr:spPr>
    </xdr:pic>
    <xdr:clientData/>
  </xdr:twoCellAnchor>
  <xdr:twoCellAnchor editAs="oneCell">
    <xdr:from>
      <xdr:col>16</xdr:col>
      <xdr:colOff>1210347</xdr:colOff>
      <xdr:row>25</xdr:row>
      <xdr:rowOff>28469</xdr:rowOff>
    </xdr:from>
    <xdr:to>
      <xdr:col>25</xdr:col>
      <xdr:colOff>766272</xdr:colOff>
      <xdr:row>38</xdr:row>
      <xdr:rowOff>162830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FDD41128-CE75-D327-D154-233B9A37C1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50490" y="4888163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3148083</xdr:colOff>
      <xdr:row>39</xdr:row>
      <xdr:rowOff>41032</xdr:rowOff>
    </xdr:from>
    <xdr:to>
      <xdr:col>7</xdr:col>
      <xdr:colOff>1379229</xdr:colOff>
      <xdr:row>52</xdr:row>
      <xdr:rowOff>175392</xdr:rowOff>
    </xdr:to>
    <xdr:pic>
      <xdr:nvPicPr>
        <xdr:cNvPr id="38" name="Imagem 37">
          <a:extLst>
            <a:ext uri="{FF2B5EF4-FFF2-40B4-BE49-F238E27FC236}">
              <a16:creationId xmlns:a16="http://schemas.microsoft.com/office/drawing/2014/main" id="{7DC2649F-901C-28B9-675F-FFE617B1D6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9218" y="7485978"/>
          <a:ext cx="3318011" cy="2543928"/>
        </a:xfrm>
        <a:prstGeom prst="rect">
          <a:avLst/>
        </a:prstGeom>
      </xdr:spPr>
    </xdr:pic>
    <xdr:clientData/>
  </xdr:twoCellAnchor>
  <xdr:twoCellAnchor editAs="oneCell">
    <xdr:from>
      <xdr:col>2</xdr:col>
      <xdr:colOff>320693</xdr:colOff>
      <xdr:row>39</xdr:row>
      <xdr:rowOff>33001</xdr:rowOff>
    </xdr:from>
    <xdr:to>
      <xdr:col>3</xdr:col>
      <xdr:colOff>2909067</xdr:colOff>
      <xdr:row>52</xdr:row>
      <xdr:rowOff>167362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D1544909-C9B8-BEC6-F673-C58F2BA7DE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611" y="7505266"/>
          <a:ext cx="3319272" cy="2560320"/>
        </a:xfrm>
        <a:prstGeom prst="rect">
          <a:avLst/>
        </a:prstGeom>
      </xdr:spPr>
    </xdr:pic>
    <xdr:clientData/>
  </xdr:twoCellAnchor>
  <xdr:twoCellAnchor>
    <xdr:from>
      <xdr:col>24</xdr:col>
      <xdr:colOff>476250</xdr:colOff>
      <xdr:row>2</xdr:row>
      <xdr:rowOff>47624</xdr:rowOff>
    </xdr:from>
    <xdr:to>
      <xdr:col>25</xdr:col>
      <xdr:colOff>587375</xdr:colOff>
      <xdr:row>7</xdr:row>
      <xdr:rowOff>64649</xdr:rowOff>
    </xdr:to>
    <xdr:pic>
      <xdr:nvPicPr>
        <xdr:cNvPr id="21" name="Imagem 68">
          <a:extLst>
            <a:ext uri="{FF2B5EF4-FFF2-40B4-BE49-F238E27FC236}">
              <a16:creationId xmlns:a16="http://schemas.microsoft.com/office/drawing/2014/main" id="{907EFC10-1E05-4B09-8B9A-39B514588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lum contras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523874"/>
          <a:ext cx="1349375" cy="1001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685800</xdr:colOff>
      <xdr:row>1</xdr:row>
      <xdr:rowOff>0</xdr:rowOff>
    </xdr:to>
    <xdr:pic>
      <xdr:nvPicPr>
        <xdr:cNvPr id="1038851392" name="Picture">
          <a:extLst>
            <a:ext uri="{FF2B5EF4-FFF2-40B4-BE49-F238E27FC236}">
              <a16:creationId xmlns:a16="http://schemas.microsoft.com/office/drawing/2014/main" id="{00000000-0008-0000-0000-0000409DEB3D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AFA7-2C5E-4961-BB4F-255848992C4D}">
  <sheetPr>
    <pageSetUpPr fitToPage="1"/>
  </sheetPr>
  <dimension ref="B1:AA198"/>
  <sheetViews>
    <sheetView tabSelected="1" view="pageBreakPreview" zoomScale="75" zoomScaleNormal="73" zoomScaleSheetLayoutView="75" workbookViewId="0">
      <selection activeCell="S191" sqref="S191"/>
    </sheetView>
  </sheetViews>
  <sheetFormatPr defaultRowHeight="15" x14ac:dyDescent="0.25"/>
  <cols>
    <col min="2" max="2" width="6.28515625" customWidth="1"/>
    <col min="3" max="3" width="11.85546875" customWidth="1"/>
    <col min="4" max="4" width="47.5703125" customWidth="1"/>
    <col min="5" max="5" width="16.28515625" customWidth="1"/>
    <col min="8" max="8" width="25.28515625" style="139" hidden="1" customWidth="1"/>
    <col min="9" max="9" width="15.28515625" customWidth="1"/>
    <col min="10" max="14" width="8.85546875" hidden="1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9" hidden="1" customWidth="1"/>
    <col min="19" max="19" width="16.28515625" customWidth="1"/>
    <col min="20" max="24" width="8.85546875" hidden="1" customWidth="1"/>
    <col min="25" max="25" width="18.5703125" customWidth="1"/>
    <col min="26" max="26" width="17.28515625" bestFit="1" customWidth="1"/>
    <col min="27" max="27" width="9.140625" style="191"/>
  </cols>
  <sheetData>
    <row r="1" spans="2:27" ht="15.75" thickBot="1" x14ac:dyDescent="0.3"/>
    <row r="2" spans="2:27" ht="21" thickBot="1" x14ac:dyDescent="0.3">
      <c r="B2" s="197" t="s">
        <v>596</v>
      </c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W2" s="198"/>
      <c r="X2" s="198"/>
      <c r="Y2" s="198"/>
      <c r="Z2" s="199"/>
    </row>
    <row r="3" spans="2:27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200"/>
      <c r="Z3" s="201"/>
    </row>
    <row r="4" spans="2:27" ht="16.5" x14ac:dyDescent="0.25">
      <c r="B4" s="206" t="s">
        <v>542</v>
      </c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16" t="s">
        <v>544</v>
      </c>
      <c r="P4" s="96" t="s">
        <v>555</v>
      </c>
      <c r="Q4" s="208">
        <v>1240378.43</v>
      </c>
      <c r="R4" s="209"/>
      <c r="S4" s="209"/>
      <c r="T4" s="209"/>
      <c r="U4" s="209"/>
      <c r="V4" s="209"/>
      <c r="W4" s="209"/>
      <c r="X4" s="209"/>
      <c r="Y4" s="202"/>
      <c r="Z4" s="203"/>
    </row>
    <row r="5" spans="2:27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202"/>
      <c r="Z5" s="203"/>
    </row>
    <row r="6" spans="2:27" ht="16.5" x14ac:dyDescent="0.25">
      <c r="B6" s="206" t="s">
        <v>518</v>
      </c>
      <c r="C6" s="207"/>
      <c r="D6" s="210"/>
      <c r="E6" s="211" t="s">
        <v>519</v>
      </c>
      <c r="F6" s="207"/>
      <c r="G6" s="207"/>
      <c r="H6" s="207"/>
      <c r="I6" s="207"/>
      <c r="J6" s="207"/>
      <c r="K6" s="207"/>
      <c r="L6" s="207"/>
      <c r="M6" s="207"/>
      <c r="N6" s="207"/>
      <c r="O6" s="212" t="s">
        <v>592</v>
      </c>
      <c r="P6" s="213"/>
      <c r="Q6" s="213"/>
      <c r="R6" s="213"/>
      <c r="S6" s="213"/>
      <c r="T6" s="213"/>
      <c r="U6" s="213"/>
      <c r="V6" s="213"/>
      <c r="W6" s="213"/>
      <c r="X6" s="213"/>
      <c r="Y6" s="202"/>
      <c r="Z6" s="203"/>
    </row>
    <row r="7" spans="2:27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202"/>
      <c r="Z7" s="203"/>
    </row>
    <row r="8" spans="2:27" ht="17.25" thickBot="1" x14ac:dyDescent="0.3">
      <c r="B8" s="214">
        <v>45291</v>
      </c>
      <c r="C8" s="215"/>
      <c r="D8" s="23" t="s">
        <v>711</v>
      </c>
      <c r="E8" s="164">
        <f>S196</f>
        <v>61443.00776244999</v>
      </c>
      <c r="F8" s="162"/>
      <c r="G8" s="163"/>
      <c r="H8" s="165">
        <f>Y196-E8</f>
        <v>66571.964737500035</v>
      </c>
      <c r="I8" s="166"/>
      <c r="J8" s="166"/>
      <c r="K8" s="166"/>
      <c r="L8" s="166"/>
      <c r="M8" s="166"/>
      <c r="N8" s="166"/>
      <c r="O8" s="166"/>
      <c r="P8" s="167"/>
      <c r="Q8" s="216" t="s">
        <v>597</v>
      </c>
      <c r="R8" s="217"/>
      <c r="S8" s="217"/>
      <c r="T8" s="217"/>
      <c r="U8" s="217"/>
      <c r="V8" s="217"/>
      <c r="W8" s="217"/>
      <c r="X8" s="217"/>
      <c r="Y8" s="204"/>
      <c r="Z8" s="205"/>
    </row>
    <row r="9" spans="2:27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7" x14ac:dyDescent="0.25">
      <c r="B10" s="218" t="s">
        <v>526</v>
      </c>
      <c r="C10" s="218" t="s">
        <v>527</v>
      </c>
      <c r="D10" s="224" t="s">
        <v>528</v>
      </c>
      <c r="E10" s="218" t="s">
        <v>529</v>
      </c>
      <c r="F10" s="227" t="s">
        <v>543</v>
      </c>
      <c r="G10" s="229" t="s">
        <v>530</v>
      </c>
      <c r="H10" s="230"/>
      <c r="I10" s="230"/>
      <c r="J10" s="230"/>
      <c r="K10" s="230"/>
      <c r="L10" s="230"/>
      <c r="M10" s="230"/>
      <c r="N10" s="230"/>
      <c r="O10" s="230"/>
      <c r="P10" s="230"/>
      <c r="Q10" s="220" t="s">
        <v>531</v>
      </c>
      <c r="R10" s="221"/>
      <c r="S10" s="221"/>
      <c r="T10" s="221"/>
      <c r="U10" s="221"/>
      <c r="V10" s="221"/>
      <c r="W10" s="221"/>
      <c r="X10" s="221"/>
      <c r="Y10" s="222"/>
      <c r="Z10" s="223"/>
    </row>
    <row r="11" spans="2:27" ht="36" x14ac:dyDescent="0.25">
      <c r="B11" s="219"/>
      <c r="C11" s="219"/>
      <c r="D11" s="225"/>
      <c r="E11" s="219"/>
      <c r="F11" s="228"/>
      <c r="G11" s="34" t="s">
        <v>532</v>
      </c>
      <c r="H11" s="35" t="s">
        <v>533</v>
      </c>
      <c r="I11" s="35" t="s">
        <v>534</v>
      </c>
      <c r="J11" s="35" t="s">
        <v>535</v>
      </c>
      <c r="K11" s="35" t="s">
        <v>536</v>
      </c>
      <c r="L11" s="35" t="s">
        <v>537</v>
      </c>
      <c r="M11" s="35" t="s">
        <v>538</v>
      </c>
      <c r="N11" s="35" t="s">
        <v>539</v>
      </c>
      <c r="O11" s="36" t="s">
        <v>540</v>
      </c>
      <c r="P11" s="36" t="s">
        <v>541</v>
      </c>
      <c r="Q11" s="37" t="s">
        <v>532</v>
      </c>
      <c r="R11" s="38" t="s">
        <v>593</v>
      </c>
      <c r="S11" s="38" t="s">
        <v>534</v>
      </c>
      <c r="T11" s="39" t="s">
        <v>535</v>
      </c>
      <c r="U11" s="39" t="s">
        <v>536</v>
      </c>
      <c r="V11" s="39" t="s">
        <v>537</v>
      </c>
      <c r="W11" s="39" t="s">
        <v>538</v>
      </c>
      <c r="X11" s="39" t="s">
        <v>539</v>
      </c>
      <c r="Y11" s="40" t="s">
        <v>540</v>
      </c>
      <c r="Z11" s="41" t="s">
        <v>541</v>
      </c>
    </row>
    <row r="12" spans="2:27" ht="14.45" customHeight="1" x14ac:dyDescent="0.25">
      <c r="B12" s="51">
        <v>1</v>
      </c>
      <c r="C12" s="57" t="s">
        <v>10</v>
      </c>
      <c r="D12" s="50"/>
      <c r="E12" s="42"/>
      <c r="F12" s="42"/>
      <c r="G12" s="42"/>
      <c r="H12" s="42"/>
      <c r="I12" s="42"/>
      <c r="J12" s="43"/>
      <c r="K12" s="42"/>
      <c r="L12" s="42"/>
      <c r="M12" s="42"/>
      <c r="N12" s="42"/>
      <c r="O12" s="33"/>
      <c r="P12" s="33"/>
      <c r="Q12" s="44"/>
      <c r="R12" s="45"/>
      <c r="S12" s="45"/>
      <c r="T12" s="45"/>
      <c r="U12" s="45"/>
      <c r="V12" s="45"/>
      <c r="W12" s="45"/>
      <c r="X12" s="44"/>
      <c r="Y12" s="44"/>
      <c r="Z12" s="49"/>
    </row>
    <row r="13" spans="2:27" x14ac:dyDescent="0.25">
      <c r="B13" s="51">
        <v>1.1000000000000001</v>
      </c>
      <c r="C13" s="57" t="s">
        <v>12</v>
      </c>
      <c r="D13" s="50"/>
      <c r="E13" s="42"/>
      <c r="F13" s="42"/>
      <c r="G13" s="95"/>
      <c r="H13" s="42"/>
      <c r="I13" s="42"/>
      <c r="J13" s="43"/>
      <c r="K13" s="42"/>
      <c r="L13" s="42"/>
      <c r="M13" s="42"/>
      <c r="N13" s="42"/>
      <c r="O13" s="33"/>
      <c r="P13" s="33"/>
      <c r="Q13" s="44"/>
      <c r="R13" s="45"/>
      <c r="S13" s="45"/>
      <c r="T13" s="45"/>
      <c r="U13" s="45"/>
      <c r="V13" s="45"/>
      <c r="W13" s="45"/>
      <c r="X13" s="44"/>
      <c r="Y13" s="44"/>
      <c r="Z13" s="49"/>
    </row>
    <row r="14" spans="2:27" ht="22.5" x14ac:dyDescent="0.25">
      <c r="B14" s="52" t="s">
        <v>13</v>
      </c>
      <c r="C14" s="61" t="s">
        <v>14</v>
      </c>
      <c r="D14" s="55" t="s">
        <v>15</v>
      </c>
      <c r="E14" s="67" t="s">
        <v>17</v>
      </c>
      <c r="F14" s="67">
        <v>414.1</v>
      </c>
      <c r="G14" s="67">
        <v>6</v>
      </c>
      <c r="H14" s="29">
        <f>'MEMORIAL DE CALCULO 01'!K14</f>
        <v>6</v>
      </c>
      <c r="I14" s="29"/>
      <c r="J14" s="29"/>
      <c r="K14" s="73"/>
      <c r="L14" s="73"/>
      <c r="M14" s="73"/>
      <c r="N14" s="67"/>
      <c r="O14" s="67">
        <f>H14+I14+J14+K14+L14+M14+N14</f>
        <v>6</v>
      </c>
      <c r="P14" s="67">
        <f>G14-O14</f>
        <v>0</v>
      </c>
      <c r="Q14" s="67">
        <f>F14*G14</f>
        <v>2484.6000000000004</v>
      </c>
      <c r="R14" s="74">
        <f>F14*H14</f>
        <v>2484.6000000000004</v>
      </c>
      <c r="S14" s="74">
        <f>F14*I14</f>
        <v>0</v>
      </c>
      <c r="T14" s="74">
        <f t="shared" ref="T14:W14" si="0">H14*J14</f>
        <v>0</v>
      </c>
      <c r="U14" s="74">
        <f t="shared" si="0"/>
        <v>0</v>
      </c>
      <c r="V14" s="74">
        <f t="shared" si="0"/>
        <v>0</v>
      </c>
      <c r="W14" s="74">
        <f t="shared" si="0"/>
        <v>0</v>
      </c>
      <c r="X14" s="74">
        <f>L14*N14</f>
        <v>0</v>
      </c>
      <c r="Y14" s="75">
        <f>R14+S14+T14+U14+V14+W14</f>
        <v>2484.6000000000004</v>
      </c>
      <c r="Z14" s="76">
        <f>Q14-Y14</f>
        <v>0</v>
      </c>
      <c r="AA14" s="192">
        <f>Y14/Q14</f>
        <v>1</v>
      </c>
    </row>
    <row r="15" spans="2:27" ht="22.5" x14ac:dyDescent="0.25">
      <c r="B15" s="52" t="s">
        <v>18</v>
      </c>
      <c r="C15" s="61">
        <v>93209</v>
      </c>
      <c r="D15" s="55" t="s">
        <v>20</v>
      </c>
      <c r="E15" s="67" t="s">
        <v>17</v>
      </c>
      <c r="F15" s="67">
        <v>947.21</v>
      </c>
      <c r="G15" s="67">
        <v>5</v>
      </c>
      <c r="H15" s="29">
        <v>2.25</v>
      </c>
      <c r="I15" s="29">
        <f>'MEMORIAL DE CALCULO 02'!K15</f>
        <v>2.75</v>
      </c>
      <c r="J15" s="29"/>
      <c r="K15" s="73"/>
      <c r="L15" s="73"/>
      <c r="M15" s="73"/>
      <c r="N15" s="67"/>
      <c r="O15" s="67">
        <f t="shared" ref="O15:O78" si="1">H15+I15+J15+K15+L15+M15+N15</f>
        <v>5</v>
      </c>
      <c r="P15" s="67">
        <f t="shared" ref="P15:P78" si="2">G15-O15</f>
        <v>0</v>
      </c>
      <c r="Q15" s="67">
        <f t="shared" ref="Q15:Q78" si="3">F15*G15</f>
        <v>4736.05</v>
      </c>
      <c r="R15" s="74">
        <f t="shared" ref="R15:R78" si="4">F15*H15</f>
        <v>2131.2224999999999</v>
      </c>
      <c r="S15" s="74">
        <f t="shared" ref="S15:S78" si="5">F15*I15</f>
        <v>2604.8275000000003</v>
      </c>
      <c r="T15" s="74"/>
      <c r="U15" s="74"/>
      <c r="V15" s="74"/>
      <c r="W15" s="74"/>
      <c r="X15" s="75"/>
      <c r="Y15" s="75">
        <f t="shared" ref="Y15:Y78" si="6">R15+S15+T15+U15+V15+W15</f>
        <v>4736.05</v>
      </c>
      <c r="Z15" s="76">
        <f t="shared" ref="Z15:Z78" si="7">Q15-Y15</f>
        <v>0</v>
      </c>
      <c r="AA15" s="192">
        <f t="shared" ref="AA15:AA78" si="8">Y15/Q15</f>
        <v>1</v>
      </c>
    </row>
    <row r="16" spans="2:27" ht="33.75" x14ac:dyDescent="0.25">
      <c r="B16" s="52" t="s">
        <v>22</v>
      </c>
      <c r="C16" s="61">
        <v>93206</v>
      </c>
      <c r="D16" s="55" t="s">
        <v>23</v>
      </c>
      <c r="E16" s="67" t="s">
        <v>17</v>
      </c>
      <c r="F16" s="67">
        <v>1086.7</v>
      </c>
      <c r="G16" s="67">
        <v>5</v>
      </c>
      <c r="H16" s="29">
        <v>2.25</v>
      </c>
      <c r="I16" s="29">
        <f>'MEMORIAL DE CALCULO 02'!K16</f>
        <v>2.75</v>
      </c>
      <c r="J16" s="29"/>
      <c r="K16" s="73"/>
      <c r="L16" s="73"/>
      <c r="M16" s="73"/>
      <c r="N16" s="67"/>
      <c r="O16" s="67">
        <f t="shared" si="1"/>
        <v>5</v>
      </c>
      <c r="P16" s="67">
        <f t="shared" si="2"/>
        <v>0</v>
      </c>
      <c r="Q16" s="67">
        <f t="shared" si="3"/>
        <v>5433.5</v>
      </c>
      <c r="R16" s="74">
        <f t="shared" si="4"/>
        <v>2445.0750000000003</v>
      </c>
      <c r="S16" s="74">
        <f t="shared" si="5"/>
        <v>2988.4250000000002</v>
      </c>
      <c r="T16" s="74"/>
      <c r="U16" s="74"/>
      <c r="V16" s="74"/>
      <c r="W16" s="74"/>
      <c r="X16" s="75"/>
      <c r="Y16" s="75">
        <f t="shared" si="6"/>
        <v>5433.5</v>
      </c>
      <c r="Z16" s="76">
        <f t="shared" si="7"/>
        <v>0</v>
      </c>
      <c r="AA16" s="192">
        <f t="shared" si="8"/>
        <v>1</v>
      </c>
    </row>
    <row r="17" spans="2:27" ht="22.5" x14ac:dyDescent="0.25">
      <c r="B17" s="52" t="s">
        <v>24</v>
      </c>
      <c r="C17" s="61" t="s">
        <v>25</v>
      </c>
      <c r="D17" s="55" t="s">
        <v>26</v>
      </c>
      <c r="E17" s="67" t="s">
        <v>17</v>
      </c>
      <c r="F17" s="67">
        <v>102.24</v>
      </c>
      <c r="G17" s="67">
        <v>277.39999999999998</v>
      </c>
      <c r="H17" s="29">
        <v>258.39999999999998</v>
      </c>
      <c r="I17" s="29">
        <f>'MEMORIAL DE CALCULO 02'!K17</f>
        <v>19</v>
      </c>
      <c r="J17" s="29"/>
      <c r="K17" s="73"/>
      <c r="L17" s="73"/>
      <c r="M17" s="73"/>
      <c r="N17" s="67"/>
      <c r="O17" s="67">
        <f t="shared" si="1"/>
        <v>277.39999999999998</v>
      </c>
      <c r="P17" s="67">
        <f t="shared" si="2"/>
        <v>0</v>
      </c>
      <c r="Q17" s="67">
        <f t="shared" si="3"/>
        <v>28361.375999999997</v>
      </c>
      <c r="R17" s="74">
        <f t="shared" si="4"/>
        <v>26418.815999999995</v>
      </c>
      <c r="S17" s="74">
        <f t="shared" si="5"/>
        <v>1942.56</v>
      </c>
      <c r="T17" s="74"/>
      <c r="U17" s="74"/>
      <c r="V17" s="74"/>
      <c r="W17" s="74"/>
      <c r="X17" s="75"/>
      <c r="Y17" s="75">
        <f t="shared" si="6"/>
        <v>28361.375999999997</v>
      </c>
      <c r="Z17" s="76">
        <f t="shared" si="7"/>
        <v>0</v>
      </c>
      <c r="AA17" s="192">
        <f t="shared" si="8"/>
        <v>1</v>
      </c>
    </row>
    <row r="18" spans="2:27" ht="22.5" x14ac:dyDescent="0.25">
      <c r="B18" s="52" t="s">
        <v>27</v>
      </c>
      <c r="C18" s="61">
        <v>98524</v>
      </c>
      <c r="D18" s="55" t="s">
        <v>28</v>
      </c>
      <c r="E18" s="67" t="s">
        <v>17</v>
      </c>
      <c r="F18" s="67">
        <v>2.29</v>
      </c>
      <c r="G18" s="67">
        <v>1430.2</v>
      </c>
      <c r="H18" s="29"/>
      <c r="I18" s="29"/>
      <c r="J18" s="29"/>
      <c r="K18" s="73"/>
      <c r="L18" s="73"/>
      <c r="M18" s="73"/>
      <c r="N18" s="67"/>
      <c r="O18" s="67">
        <f t="shared" si="1"/>
        <v>0</v>
      </c>
      <c r="P18" s="67">
        <f t="shared" si="2"/>
        <v>1430.2</v>
      </c>
      <c r="Q18" s="67">
        <f t="shared" si="3"/>
        <v>3275.1580000000004</v>
      </c>
      <c r="R18" s="74">
        <f t="shared" si="4"/>
        <v>0</v>
      </c>
      <c r="S18" s="74">
        <f t="shared" si="5"/>
        <v>0</v>
      </c>
      <c r="T18" s="74"/>
      <c r="U18" s="74"/>
      <c r="V18" s="74"/>
      <c r="W18" s="74"/>
      <c r="X18" s="75"/>
      <c r="Y18" s="75">
        <f t="shared" si="6"/>
        <v>0</v>
      </c>
      <c r="Z18" s="76">
        <f t="shared" si="7"/>
        <v>3275.1580000000004</v>
      </c>
      <c r="AA18" s="192">
        <f t="shared" si="8"/>
        <v>0</v>
      </c>
    </row>
    <row r="19" spans="2:27" ht="22.5" x14ac:dyDescent="0.25">
      <c r="B19" s="52" t="s">
        <v>29</v>
      </c>
      <c r="C19" s="60">
        <v>100575</v>
      </c>
      <c r="D19" s="55" t="s">
        <v>31</v>
      </c>
      <c r="E19" s="67" t="s">
        <v>17</v>
      </c>
      <c r="F19" s="67">
        <v>0.12</v>
      </c>
      <c r="G19" s="67">
        <v>1430.2</v>
      </c>
      <c r="H19" s="29"/>
      <c r="I19" s="29"/>
      <c r="J19" s="29"/>
      <c r="K19" s="73"/>
      <c r="L19" s="73"/>
      <c r="M19" s="73"/>
      <c r="N19" s="67"/>
      <c r="O19" s="67">
        <f t="shared" si="1"/>
        <v>0</v>
      </c>
      <c r="P19" s="67">
        <f t="shared" si="2"/>
        <v>1430.2</v>
      </c>
      <c r="Q19" s="67">
        <f t="shared" si="3"/>
        <v>171.624</v>
      </c>
      <c r="R19" s="74">
        <f t="shared" si="4"/>
        <v>0</v>
      </c>
      <c r="S19" s="74">
        <f t="shared" si="5"/>
        <v>0</v>
      </c>
      <c r="T19" s="74"/>
      <c r="U19" s="74"/>
      <c r="V19" s="74"/>
      <c r="W19" s="74"/>
      <c r="X19" s="75"/>
      <c r="Y19" s="75">
        <f t="shared" si="6"/>
        <v>0</v>
      </c>
      <c r="Z19" s="76">
        <f t="shared" si="7"/>
        <v>171.624</v>
      </c>
      <c r="AA19" s="192">
        <f t="shared" si="8"/>
        <v>0</v>
      </c>
    </row>
    <row r="20" spans="2:27" ht="14.45" customHeight="1" x14ac:dyDescent="0.25">
      <c r="B20" s="59" t="s">
        <v>32</v>
      </c>
      <c r="C20" s="63" t="s">
        <v>33</v>
      </c>
      <c r="D20" s="55"/>
      <c r="E20" s="67"/>
      <c r="F20" s="67"/>
      <c r="G20" s="67"/>
      <c r="H20" s="29"/>
      <c r="I20" s="29"/>
      <c r="J20" s="29"/>
      <c r="K20" s="73"/>
      <c r="L20" s="73"/>
      <c r="M20" s="73"/>
      <c r="N20" s="67"/>
      <c r="O20" s="67"/>
      <c r="P20" s="67"/>
      <c r="Q20" s="67"/>
      <c r="R20" s="74">
        <f t="shared" si="4"/>
        <v>0</v>
      </c>
      <c r="S20" s="74">
        <f t="shared" si="5"/>
        <v>0</v>
      </c>
      <c r="T20" s="74"/>
      <c r="U20" s="74"/>
      <c r="V20" s="74"/>
      <c r="W20" s="74"/>
      <c r="X20" s="75"/>
      <c r="Y20" s="75">
        <f t="shared" si="6"/>
        <v>0</v>
      </c>
      <c r="Z20" s="76">
        <f t="shared" si="7"/>
        <v>0</v>
      </c>
      <c r="AA20" s="192"/>
    </row>
    <row r="21" spans="2:27" ht="33.75" x14ac:dyDescent="0.25">
      <c r="B21" s="52" t="s">
        <v>34</v>
      </c>
      <c r="C21" s="60">
        <v>99059</v>
      </c>
      <c r="D21" s="55" t="s">
        <v>36</v>
      </c>
      <c r="E21" s="67" t="s">
        <v>37</v>
      </c>
      <c r="F21" s="67">
        <v>52.4</v>
      </c>
      <c r="G21" s="67">
        <v>137.5</v>
      </c>
      <c r="H21" s="29">
        <f>'MEMORIAL DE CALCULO 01'!K22</f>
        <v>137.5</v>
      </c>
      <c r="I21" s="29"/>
      <c r="J21" s="29"/>
      <c r="K21" s="73"/>
      <c r="L21" s="73"/>
      <c r="M21" s="73"/>
      <c r="N21" s="67"/>
      <c r="O21" s="67">
        <f t="shared" si="1"/>
        <v>137.5</v>
      </c>
      <c r="P21" s="67">
        <f t="shared" si="2"/>
        <v>0</v>
      </c>
      <c r="Q21" s="67">
        <f t="shared" si="3"/>
        <v>7205</v>
      </c>
      <c r="R21" s="74">
        <f t="shared" si="4"/>
        <v>7205</v>
      </c>
      <c r="S21" s="74">
        <f t="shared" si="5"/>
        <v>0</v>
      </c>
      <c r="T21" s="74"/>
      <c r="U21" s="74"/>
      <c r="V21" s="74"/>
      <c r="W21" s="74"/>
      <c r="X21" s="75"/>
      <c r="Y21" s="75">
        <f t="shared" si="6"/>
        <v>7205</v>
      </c>
      <c r="Z21" s="76">
        <f t="shared" si="7"/>
        <v>0</v>
      </c>
      <c r="AA21" s="192">
        <f t="shared" si="8"/>
        <v>1</v>
      </c>
    </row>
    <row r="22" spans="2:27" ht="22.5" x14ac:dyDescent="0.25">
      <c r="B22" s="58" t="s">
        <v>38</v>
      </c>
      <c r="C22" s="60">
        <v>93358</v>
      </c>
      <c r="D22" s="55" t="s">
        <v>40</v>
      </c>
      <c r="E22" s="67" t="s">
        <v>41</v>
      </c>
      <c r="F22" s="67">
        <v>64.95</v>
      </c>
      <c r="G22" s="67">
        <v>89.01</v>
      </c>
      <c r="H22" s="29">
        <f>'MEMORIAL DE CALCULO 01'!K23</f>
        <v>69.939250000000001</v>
      </c>
      <c r="I22" s="29">
        <f>'MEMORIAL DE CALCULO 02'!K25</f>
        <v>1.2053699999999998</v>
      </c>
      <c r="J22" s="29"/>
      <c r="K22" s="73"/>
      <c r="L22" s="73"/>
      <c r="M22" s="73"/>
      <c r="N22" s="67"/>
      <c r="O22" s="67">
        <f t="shared" si="1"/>
        <v>71.144620000000003</v>
      </c>
      <c r="P22" s="67">
        <f t="shared" si="2"/>
        <v>17.865380000000002</v>
      </c>
      <c r="Q22" s="67">
        <f t="shared" si="3"/>
        <v>5781.1995000000006</v>
      </c>
      <c r="R22" s="74">
        <f t="shared" si="4"/>
        <v>4542.5542875000001</v>
      </c>
      <c r="S22" s="74">
        <f t="shared" si="5"/>
        <v>78.288781499999999</v>
      </c>
      <c r="T22" s="74"/>
      <c r="U22" s="74"/>
      <c r="V22" s="74"/>
      <c r="W22" s="74"/>
      <c r="X22" s="75"/>
      <c r="Y22" s="75">
        <f t="shared" si="6"/>
        <v>4620.8430690000005</v>
      </c>
      <c r="Z22" s="76">
        <f t="shared" si="7"/>
        <v>1160.3564310000002</v>
      </c>
      <c r="AA22" s="192">
        <f t="shared" si="8"/>
        <v>0.79928794517469948</v>
      </c>
    </row>
    <row r="23" spans="2:27" x14ac:dyDescent="0.25">
      <c r="B23" s="52" t="s">
        <v>42</v>
      </c>
      <c r="C23" s="60">
        <v>96995</v>
      </c>
      <c r="D23" s="55" t="s">
        <v>44</v>
      </c>
      <c r="E23" s="67" t="s">
        <v>41</v>
      </c>
      <c r="F23" s="67">
        <v>39.369999999999997</v>
      </c>
      <c r="G23" s="67">
        <v>44.26</v>
      </c>
      <c r="H23" s="29"/>
      <c r="I23" s="29"/>
      <c r="J23" s="29"/>
      <c r="K23" s="73"/>
      <c r="L23" s="73"/>
      <c r="M23" s="73"/>
      <c r="N23" s="67"/>
      <c r="O23" s="67">
        <f t="shared" si="1"/>
        <v>0</v>
      </c>
      <c r="P23" s="67">
        <f t="shared" si="2"/>
        <v>44.26</v>
      </c>
      <c r="Q23" s="67">
        <f t="shared" si="3"/>
        <v>1742.5161999999998</v>
      </c>
      <c r="R23" s="74">
        <f t="shared" si="4"/>
        <v>0</v>
      </c>
      <c r="S23" s="74">
        <f t="shared" si="5"/>
        <v>0</v>
      </c>
      <c r="T23" s="74"/>
      <c r="U23" s="74"/>
      <c r="V23" s="74"/>
      <c r="W23" s="74"/>
      <c r="X23" s="75"/>
      <c r="Y23" s="75">
        <f t="shared" si="6"/>
        <v>0</v>
      </c>
      <c r="Z23" s="76">
        <f t="shared" si="7"/>
        <v>1742.5161999999998</v>
      </c>
      <c r="AA23" s="192">
        <f t="shared" si="8"/>
        <v>0</v>
      </c>
    </row>
    <row r="24" spans="2:27" ht="22.5" x14ac:dyDescent="0.25">
      <c r="B24" s="52" t="s">
        <v>45</v>
      </c>
      <c r="C24" s="60">
        <v>94319</v>
      </c>
      <c r="D24" s="55" t="s">
        <v>47</v>
      </c>
      <c r="E24" s="67" t="s">
        <v>41</v>
      </c>
      <c r="F24" s="67">
        <v>74.510000000000005</v>
      </c>
      <c r="G24" s="67">
        <v>93.63</v>
      </c>
      <c r="H24" s="29"/>
      <c r="I24" s="29"/>
      <c r="J24" s="29"/>
      <c r="K24" s="73"/>
      <c r="L24" s="73"/>
      <c r="M24" s="73"/>
      <c r="N24" s="67"/>
      <c r="O24" s="67">
        <f t="shared" si="1"/>
        <v>0</v>
      </c>
      <c r="P24" s="67">
        <f t="shared" si="2"/>
        <v>93.63</v>
      </c>
      <c r="Q24" s="67">
        <f t="shared" si="3"/>
        <v>6976.3712999999998</v>
      </c>
      <c r="R24" s="74">
        <f t="shared" si="4"/>
        <v>0</v>
      </c>
      <c r="S24" s="74">
        <f t="shared" si="5"/>
        <v>0</v>
      </c>
      <c r="T24" s="74"/>
      <c r="U24" s="74"/>
      <c r="V24" s="74"/>
      <c r="W24" s="74"/>
      <c r="X24" s="75"/>
      <c r="Y24" s="75">
        <f t="shared" si="6"/>
        <v>0</v>
      </c>
      <c r="Z24" s="76">
        <f t="shared" si="7"/>
        <v>6976.3712999999998</v>
      </c>
      <c r="AA24" s="192">
        <f t="shared" si="8"/>
        <v>0</v>
      </c>
    </row>
    <row r="25" spans="2:27" x14ac:dyDescent="0.25">
      <c r="B25" s="59" t="s">
        <v>48</v>
      </c>
      <c r="C25" s="63" t="s">
        <v>49</v>
      </c>
      <c r="D25" s="55"/>
      <c r="E25" s="67"/>
      <c r="F25" s="67"/>
      <c r="G25" s="67"/>
      <c r="H25" s="29"/>
      <c r="I25" s="29"/>
      <c r="J25" s="29"/>
      <c r="K25" s="73"/>
      <c r="L25" s="73"/>
      <c r="M25" s="73"/>
      <c r="N25" s="67"/>
      <c r="O25" s="67"/>
      <c r="P25" s="67"/>
      <c r="Q25" s="67"/>
      <c r="R25" s="74">
        <f t="shared" si="4"/>
        <v>0</v>
      </c>
      <c r="S25" s="74">
        <f t="shared" si="5"/>
        <v>0</v>
      </c>
      <c r="T25" s="74"/>
      <c r="U25" s="74"/>
      <c r="V25" s="74"/>
      <c r="W25" s="74"/>
      <c r="X25" s="75"/>
      <c r="Y25" s="75">
        <f t="shared" si="6"/>
        <v>0</v>
      </c>
      <c r="Z25" s="76">
        <f t="shared" si="7"/>
        <v>0</v>
      </c>
      <c r="AA25" s="192"/>
    </row>
    <row r="26" spans="2:27" ht="45" x14ac:dyDescent="0.25">
      <c r="B26" s="52" t="s">
        <v>50</v>
      </c>
      <c r="C26" s="61" t="s">
        <v>51</v>
      </c>
      <c r="D26" s="55" t="s">
        <v>52</v>
      </c>
      <c r="E26" s="67" t="s">
        <v>41</v>
      </c>
      <c r="F26" s="67">
        <v>411.48</v>
      </c>
      <c r="G26" s="67">
        <v>13.99</v>
      </c>
      <c r="H26" s="29"/>
      <c r="I26" s="29">
        <f>'MEMORIAL DE CALCULO 02'!K54</f>
        <v>7.3434100000000004</v>
      </c>
      <c r="J26" s="29"/>
      <c r="K26" s="73"/>
      <c r="L26" s="73"/>
      <c r="M26" s="73"/>
      <c r="N26" s="67"/>
      <c r="O26" s="67">
        <f t="shared" si="1"/>
        <v>7.3434100000000004</v>
      </c>
      <c r="P26" s="67">
        <f t="shared" si="2"/>
        <v>6.6465899999999998</v>
      </c>
      <c r="Q26" s="67">
        <f t="shared" si="3"/>
        <v>5756.6052</v>
      </c>
      <c r="R26" s="74">
        <f t="shared" si="4"/>
        <v>0</v>
      </c>
      <c r="S26" s="74">
        <f t="shared" si="5"/>
        <v>3021.6663468000002</v>
      </c>
      <c r="T26" s="74"/>
      <c r="U26" s="74"/>
      <c r="V26" s="74"/>
      <c r="W26" s="74"/>
      <c r="X26" s="75"/>
      <c r="Y26" s="75">
        <f t="shared" si="6"/>
        <v>3021.6663468000002</v>
      </c>
      <c r="Z26" s="76">
        <f t="shared" si="7"/>
        <v>2734.9388531999998</v>
      </c>
      <c r="AA26" s="192">
        <f t="shared" si="8"/>
        <v>0.52490421729807013</v>
      </c>
    </row>
    <row r="27" spans="2:27" ht="22.5" x14ac:dyDescent="0.25">
      <c r="B27" s="52" t="s">
        <v>53</v>
      </c>
      <c r="C27" s="60">
        <v>101616</v>
      </c>
      <c r="D27" s="55" t="s">
        <v>55</v>
      </c>
      <c r="E27" s="67" t="s">
        <v>17</v>
      </c>
      <c r="F27" s="67">
        <v>4.91</v>
      </c>
      <c r="G27" s="67">
        <v>37.81</v>
      </c>
      <c r="H27" s="29"/>
      <c r="I27" s="29">
        <v>37.81</v>
      </c>
      <c r="J27" s="29"/>
      <c r="K27" s="73"/>
      <c r="L27" s="73"/>
      <c r="M27" s="73"/>
      <c r="N27" s="67"/>
      <c r="O27" s="67">
        <f t="shared" si="1"/>
        <v>37.81</v>
      </c>
      <c r="P27" s="67">
        <f t="shared" si="2"/>
        <v>0</v>
      </c>
      <c r="Q27" s="67">
        <f t="shared" si="3"/>
        <v>185.64710000000002</v>
      </c>
      <c r="R27" s="74">
        <f t="shared" si="4"/>
        <v>0</v>
      </c>
      <c r="S27" s="74">
        <f t="shared" si="5"/>
        <v>185.64710000000002</v>
      </c>
      <c r="T27" s="74"/>
      <c r="U27" s="74"/>
      <c r="V27" s="74"/>
      <c r="W27" s="74"/>
      <c r="X27" s="75"/>
      <c r="Y27" s="75">
        <f t="shared" si="6"/>
        <v>185.64710000000002</v>
      </c>
      <c r="Z27" s="76">
        <f t="shared" si="7"/>
        <v>0</v>
      </c>
      <c r="AA27" s="192">
        <f t="shared" si="8"/>
        <v>1</v>
      </c>
    </row>
    <row r="28" spans="2:27" ht="33.75" x14ac:dyDescent="0.25">
      <c r="B28" s="52" t="s">
        <v>56</v>
      </c>
      <c r="C28" s="60">
        <v>96619</v>
      </c>
      <c r="D28" s="64" t="s">
        <v>58</v>
      </c>
      <c r="E28" s="67" t="s">
        <v>17</v>
      </c>
      <c r="F28" s="67">
        <v>30.67</v>
      </c>
      <c r="G28" s="67">
        <v>77.41</v>
      </c>
      <c r="H28" s="29"/>
      <c r="I28" s="29">
        <v>37.81</v>
      </c>
      <c r="J28" s="29"/>
      <c r="K28" s="77"/>
      <c r="L28" s="77"/>
      <c r="M28" s="77"/>
      <c r="N28" s="77"/>
      <c r="O28" s="67">
        <f t="shared" si="1"/>
        <v>37.81</v>
      </c>
      <c r="P28" s="67">
        <f t="shared" si="2"/>
        <v>39.599999999999994</v>
      </c>
      <c r="Q28" s="67">
        <f t="shared" si="3"/>
        <v>2374.1646999999998</v>
      </c>
      <c r="R28" s="74">
        <f t="shared" si="4"/>
        <v>0</v>
      </c>
      <c r="S28" s="74">
        <f t="shared" si="5"/>
        <v>1159.6327000000001</v>
      </c>
      <c r="T28" s="74"/>
      <c r="U28" s="74"/>
      <c r="V28" s="74"/>
      <c r="W28" s="74"/>
      <c r="X28" s="75"/>
      <c r="Y28" s="75">
        <f t="shared" si="6"/>
        <v>1159.6327000000001</v>
      </c>
      <c r="Z28" s="76">
        <f t="shared" si="7"/>
        <v>1214.5319999999997</v>
      </c>
      <c r="AA28" s="192">
        <f t="shared" si="8"/>
        <v>0.48843818628084235</v>
      </c>
    </row>
    <row r="29" spans="2:27" ht="22.5" x14ac:dyDescent="0.25">
      <c r="B29" s="52" t="s">
        <v>59</v>
      </c>
      <c r="C29" s="60">
        <v>96545</v>
      </c>
      <c r="D29" s="55" t="s">
        <v>61</v>
      </c>
      <c r="E29" s="67" t="s">
        <v>62</v>
      </c>
      <c r="F29" s="67">
        <v>15.99</v>
      </c>
      <c r="G29" s="67">
        <v>537.29999999999995</v>
      </c>
      <c r="H29" s="29"/>
      <c r="I29" s="31">
        <f>'MEMORIAL DE CALCULO 02'!K90</f>
        <v>44.520449999999997</v>
      </c>
      <c r="J29" s="29"/>
      <c r="K29" s="73"/>
      <c r="L29" s="73"/>
      <c r="M29" s="73"/>
      <c r="N29" s="67"/>
      <c r="O29" s="67">
        <f t="shared" si="1"/>
        <v>44.520449999999997</v>
      </c>
      <c r="P29" s="67">
        <f t="shared" si="2"/>
        <v>492.77954999999997</v>
      </c>
      <c r="Q29" s="67">
        <f t="shared" si="3"/>
        <v>8591.4269999999997</v>
      </c>
      <c r="R29" s="74">
        <f t="shared" si="4"/>
        <v>0</v>
      </c>
      <c r="S29" s="74">
        <f t="shared" si="5"/>
        <v>711.8819954999999</v>
      </c>
      <c r="T29" s="74"/>
      <c r="U29" s="74"/>
      <c r="V29" s="74"/>
      <c r="W29" s="74"/>
      <c r="X29" s="75"/>
      <c r="Y29" s="75">
        <f t="shared" si="6"/>
        <v>711.8819954999999</v>
      </c>
      <c r="Z29" s="76">
        <f t="shared" si="7"/>
        <v>7879.5450044999998</v>
      </c>
      <c r="AA29" s="192">
        <f t="shared" si="8"/>
        <v>8.285957565605806E-2</v>
      </c>
    </row>
    <row r="30" spans="2:27" ht="33.75" x14ac:dyDescent="0.25">
      <c r="B30" s="52" t="s">
        <v>63</v>
      </c>
      <c r="C30" s="60">
        <v>94966</v>
      </c>
      <c r="D30" s="195" t="s">
        <v>65</v>
      </c>
      <c r="E30" s="67" t="s">
        <v>41</v>
      </c>
      <c r="F30" s="67">
        <v>530.88</v>
      </c>
      <c r="G30" s="67">
        <v>21.16</v>
      </c>
      <c r="H30" s="29"/>
      <c r="I30" s="31">
        <f>'MEMORIAL DE CALCULO 02'!K99</f>
        <v>8.4130549999999982</v>
      </c>
      <c r="J30" s="29"/>
      <c r="K30" s="73"/>
      <c r="L30" s="73"/>
      <c r="M30" s="73"/>
      <c r="N30" s="67"/>
      <c r="O30" s="67">
        <f t="shared" si="1"/>
        <v>8.4130549999999982</v>
      </c>
      <c r="P30" s="67">
        <f t="shared" si="2"/>
        <v>12.746945000000002</v>
      </c>
      <c r="Q30" s="67">
        <f t="shared" si="3"/>
        <v>11233.4208</v>
      </c>
      <c r="R30" s="74">
        <f t="shared" si="4"/>
        <v>0</v>
      </c>
      <c r="S30" s="74">
        <f t="shared" si="5"/>
        <v>4466.3226383999991</v>
      </c>
      <c r="T30" s="74"/>
      <c r="U30" s="74"/>
      <c r="V30" s="74"/>
      <c r="W30" s="74"/>
      <c r="X30" s="75"/>
      <c r="Y30" s="75">
        <f t="shared" si="6"/>
        <v>4466.3226383999991</v>
      </c>
      <c r="Z30" s="76">
        <f t="shared" si="7"/>
        <v>6767.0981616000008</v>
      </c>
      <c r="AA30" s="192">
        <f t="shared" si="8"/>
        <v>0.39759239130434776</v>
      </c>
    </row>
    <row r="31" spans="2:27" ht="33.75" x14ac:dyDescent="0.25">
      <c r="B31" s="52" t="s">
        <v>66</v>
      </c>
      <c r="C31" s="60">
        <v>94964</v>
      </c>
      <c r="D31" s="195" t="s">
        <v>68</v>
      </c>
      <c r="E31" s="67" t="s">
        <v>41</v>
      </c>
      <c r="F31" s="67">
        <v>488.69</v>
      </c>
      <c r="G31" s="67">
        <v>9.6</v>
      </c>
      <c r="H31" s="29"/>
      <c r="I31" s="31"/>
      <c r="J31" s="29"/>
      <c r="K31" s="73"/>
      <c r="L31" s="73"/>
      <c r="M31" s="73"/>
      <c r="N31" s="67"/>
      <c r="O31" s="67">
        <f t="shared" si="1"/>
        <v>0</v>
      </c>
      <c r="P31" s="67">
        <f t="shared" si="2"/>
        <v>9.6</v>
      </c>
      <c r="Q31" s="67">
        <f t="shared" si="3"/>
        <v>4691.424</v>
      </c>
      <c r="R31" s="74">
        <f t="shared" si="4"/>
        <v>0</v>
      </c>
      <c r="S31" s="74">
        <f t="shared" si="5"/>
        <v>0</v>
      </c>
      <c r="T31" s="74"/>
      <c r="U31" s="74"/>
      <c r="V31" s="74"/>
      <c r="W31" s="74"/>
      <c r="X31" s="75"/>
      <c r="Y31" s="75">
        <f t="shared" si="6"/>
        <v>0</v>
      </c>
      <c r="Z31" s="76">
        <f t="shared" si="7"/>
        <v>4691.424</v>
      </c>
      <c r="AA31" s="192">
        <f t="shared" si="8"/>
        <v>0</v>
      </c>
    </row>
    <row r="32" spans="2:27" ht="36.75" customHeight="1" x14ac:dyDescent="0.25">
      <c r="B32" s="52" t="s">
        <v>69</v>
      </c>
      <c r="C32" s="60">
        <v>103670</v>
      </c>
      <c r="D32" s="55" t="s">
        <v>71</v>
      </c>
      <c r="E32" s="67" t="s">
        <v>41</v>
      </c>
      <c r="F32" s="67">
        <v>230.55</v>
      </c>
      <c r="G32" s="67">
        <v>30.76</v>
      </c>
      <c r="H32" s="29"/>
      <c r="I32" s="29">
        <f>'MEMORIAL DE CALCULO 02'!K151</f>
        <v>18.013054999999998</v>
      </c>
      <c r="J32" s="29"/>
      <c r="K32" s="73"/>
      <c r="L32" s="73"/>
      <c r="M32" s="73"/>
      <c r="N32" s="67"/>
      <c r="O32" s="67">
        <f t="shared" si="1"/>
        <v>18.013054999999998</v>
      </c>
      <c r="P32" s="67">
        <f t="shared" si="2"/>
        <v>12.746945000000004</v>
      </c>
      <c r="Q32" s="67">
        <f t="shared" si="3"/>
        <v>7091.7180000000008</v>
      </c>
      <c r="R32" s="74">
        <f t="shared" si="4"/>
        <v>0</v>
      </c>
      <c r="S32" s="74">
        <f t="shared" si="5"/>
        <v>4152.9098302499997</v>
      </c>
      <c r="T32" s="74"/>
      <c r="U32" s="74"/>
      <c r="V32" s="74"/>
      <c r="W32" s="74"/>
      <c r="X32" s="75"/>
      <c r="Y32" s="75">
        <f t="shared" si="6"/>
        <v>4152.9098302499997</v>
      </c>
      <c r="Z32" s="76">
        <f t="shared" si="7"/>
        <v>2938.8081697500011</v>
      </c>
      <c r="AA32" s="192">
        <f t="shared" si="8"/>
        <v>0.58559996749024701</v>
      </c>
    </row>
    <row r="33" spans="2:27" ht="22.5" x14ac:dyDescent="0.25">
      <c r="B33" s="52" t="s">
        <v>72</v>
      </c>
      <c r="C33" s="60">
        <v>96543</v>
      </c>
      <c r="D33" s="55" t="s">
        <v>74</v>
      </c>
      <c r="E33" s="67" t="s">
        <v>62</v>
      </c>
      <c r="F33" s="67">
        <v>17.5</v>
      </c>
      <c r="G33" s="67">
        <v>404.4</v>
      </c>
      <c r="H33" s="29"/>
      <c r="I33" s="29">
        <f>'MEMORIAL DE CALCULO 02'!K153</f>
        <v>194.26804319999999</v>
      </c>
      <c r="J33" s="29"/>
      <c r="K33" s="73"/>
      <c r="L33" s="73"/>
      <c r="M33" s="73"/>
      <c r="N33" s="67"/>
      <c r="O33" s="67">
        <f t="shared" si="1"/>
        <v>194.26804319999999</v>
      </c>
      <c r="P33" s="67">
        <f t="shared" si="2"/>
        <v>210.13195679999998</v>
      </c>
      <c r="Q33" s="67">
        <f t="shared" si="3"/>
        <v>7077</v>
      </c>
      <c r="R33" s="74">
        <f t="shared" si="4"/>
        <v>0</v>
      </c>
      <c r="S33" s="74">
        <f t="shared" si="5"/>
        <v>3399.690756</v>
      </c>
      <c r="T33" s="74"/>
      <c r="U33" s="74"/>
      <c r="V33" s="74"/>
      <c r="W33" s="74"/>
      <c r="X33" s="75"/>
      <c r="Y33" s="75">
        <f t="shared" si="6"/>
        <v>3399.690756</v>
      </c>
      <c r="Z33" s="76">
        <f t="shared" si="7"/>
        <v>3677.309244</v>
      </c>
      <c r="AA33" s="192">
        <f t="shared" si="8"/>
        <v>0.48038586350148366</v>
      </c>
    </row>
    <row r="34" spans="2:27" ht="22.5" x14ac:dyDescent="0.25">
      <c r="B34" s="52" t="s">
        <v>75</v>
      </c>
      <c r="C34" s="60">
        <v>96544</v>
      </c>
      <c r="D34" s="55" t="s">
        <v>77</v>
      </c>
      <c r="E34" s="67" t="s">
        <v>62</v>
      </c>
      <c r="F34" s="67">
        <v>16.59</v>
      </c>
      <c r="G34" s="67">
        <v>295</v>
      </c>
      <c r="H34" s="29"/>
      <c r="I34" s="31">
        <f>'MEMORIAL DE CALCULO 02'!K193</f>
        <v>295</v>
      </c>
      <c r="J34" s="29"/>
      <c r="K34" s="73"/>
      <c r="L34" s="73"/>
      <c r="M34" s="73"/>
      <c r="N34" s="67"/>
      <c r="O34" s="67">
        <f>H34+I34+J34+K34+L34+M34+N34</f>
        <v>295</v>
      </c>
      <c r="P34" s="67">
        <f t="shared" si="2"/>
        <v>0</v>
      </c>
      <c r="Q34" s="67">
        <f t="shared" si="3"/>
        <v>4894.05</v>
      </c>
      <c r="R34" s="74">
        <f t="shared" si="4"/>
        <v>0</v>
      </c>
      <c r="S34" s="74">
        <f t="shared" si="5"/>
        <v>4894.05</v>
      </c>
      <c r="T34" s="74"/>
      <c r="U34" s="74"/>
      <c r="V34" s="74"/>
      <c r="W34" s="74"/>
      <c r="X34" s="75"/>
      <c r="Y34" s="75">
        <f t="shared" si="6"/>
        <v>4894.05</v>
      </c>
      <c r="Z34" s="76">
        <f t="shared" si="7"/>
        <v>0</v>
      </c>
      <c r="AA34" s="192">
        <f t="shared" si="8"/>
        <v>1</v>
      </c>
    </row>
    <row r="35" spans="2:27" ht="22.5" x14ac:dyDescent="0.25">
      <c r="B35" s="52" t="s">
        <v>78</v>
      </c>
      <c r="C35" s="60">
        <v>96546</v>
      </c>
      <c r="D35" s="55" t="s">
        <v>80</v>
      </c>
      <c r="E35" s="67" t="s">
        <v>62</v>
      </c>
      <c r="F35" s="67">
        <v>14.35</v>
      </c>
      <c r="G35" s="67">
        <v>534.1</v>
      </c>
      <c r="H35" s="29"/>
      <c r="I35" s="31">
        <v>534.1</v>
      </c>
      <c r="J35" s="29"/>
      <c r="K35" s="73"/>
      <c r="L35" s="73"/>
      <c r="M35" s="73"/>
      <c r="N35" s="67"/>
      <c r="O35" s="67">
        <f>H35+I35+J35+K35+L35+M35+N35</f>
        <v>534.1</v>
      </c>
      <c r="P35" s="67">
        <f t="shared" si="2"/>
        <v>0</v>
      </c>
      <c r="Q35" s="67">
        <f t="shared" si="3"/>
        <v>7664.335</v>
      </c>
      <c r="R35" s="74">
        <f t="shared" si="4"/>
        <v>0</v>
      </c>
      <c r="S35" s="74">
        <f t="shared" si="5"/>
        <v>7664.335</v>
      </c>
      <c r="T35" s="74"/>
      <c r="U35" s="74"/>
      <c r="V35" s="74"/>
      <c r="W35" s="74"/>
      <c r="X35" s="75"/>
      <c r="Y35" s="75">
        <f t="shared" si="6"/>
        <v>7664.335</v>
      </c>
      <c r="Z35" s="76">
        <f t="shared" si="7"/>
        <v>0</v>
      </c>
      <c r="AA35" s="192">
        <f t="shared" si="8"/>
        <v>1</v>
      </c>
    </row>
    <row r="36" spans="2:27" ht="37.5" customHeight="1" x14ac:dyDescent="0.25">
      <c r="B36" s="52" t="s">
        <v>81</v>
      </c>
      <c r="C36" s="60">
        <v>96547</v>
      </c>
      <c r="D36" s="55" t="s">
        <v>83</v>
      </c>
      <c r="E36" s="67" t="s">
        <v>62</v>
      </c>
      <c r="F36" s="67">
        <v>11.9</v>
      </c>
      <c r="G36" s="67">
        <v>152.9</v>
      </c>
      <c r="H36" s="29"/>
      <c r="I36" s="31">
        <f>'MEMORIAL DE CALCULO 02'!K221</f>
        <v>100.55646000000002</v>
      </c>
      <c r="J36" s="29"/>
      <c r="K36" s="73"/>
      <c r="L36" s="73"/>
      <c r="M36" s="73"/>
      <c r="N36" s="67"/>
      <c r="O36" s="67">
        <f>H36+I36+J36+K36+L36+M36+N36</f>
        <v>100.55646000000002</v>
      </c>
      <c r="P36" s="67">
        <f t="shared" si="2"/>
        <v>52.34353999999999</v>
      </c>
      <c r="Q36" s="67">
        <f t="shared" si="3"/>
        <v>1819.5100000000002</v>
      </c>
      <c r="R36" s="74">
        <f t="shared" si="4"/>
        <v>0</v>
      </c>
      <c r="S36" s="74">
        <f t="shared" si="5"/>
        <v>1196.6218740000002</v>
      </c>
      <c r="T36" s="74"/>
      <c r="U36" s="74"/>
      <c r="V36" s="74"/>
      <c r="W36" s="74"/>
      <c r="X36" s="75"/>
      <c r="Y36" s="75">
        <f t="shared" si="6"/>
        <v>1196.6218740000002</v>
      </c>
      <c r="Z36" s="76">
        <f t="shared" si="7"/>
        <v>622.88812600000006</v>
      </c>
      <c r="AA36" s="192">
        <f t="shared" si="8"/>
        <v>0.65766160889470238</v>
      </c>
    </row>
    <row r="37" spans="2:27" ht="33.75" x14ac:dyDescent="0.25">
      <c r="B37" s="52" t="s">
        <v>84</v>
      </c>
      <c r="C37" s="60">
        <v>96536</v>
      </c>
      <c r="D37" s="55" t="s">
        <v>86</v>
      </c>
      <c r="E37" s="67" t="s">
        <v>17</v>
      </c>
      <c r="F37" s="67">
        <v>69.64</v>
      </c>
      <c r="G37" s="67">
        <v>429.83</v>
      </c>
      <c r="H37" s="29"/>
      <c r="I37" s="31">
        <f>'MEMORIAL DE CALCULO 02'!K238</f>
        <v>206.33700000000002</v>
      </c>
      <c r="J37" s="29"/>
      <c r="K37" s="73"/>
      <c r="L37" s="73"/>
      <c r="M37" s="73"/>
      <c r="N37" s="67"/>
      <c r="O37" s="67">
        <f t="shared" si="1"/>
        <v>206.33700000000002</v>
      </c>
      <c r="P37" s="67">
        <f t="shared" si="2"/>
        <v>223.49299999999997</v>
      </c>
      <c r="Q37" s="67">
        <f t="shared" si="3"/>
        <v>29933.361199999999</v>
      </c>
      <c r="R37" s="74">
        <f t="shared" si="4"/>
        <v>0</v>
      </c>
      <c r="S37" s="74">
        <f t="shared" si="5"/>
        <v>14369.308680000002</v>
      </c>
      <c r="T37" s="74"/>
      <c r="U37" s="74"/>
      <c r="V37" s="74"/>
      <c r="W37" s="74"/>
      <c r="X37" s="75"/>
      <c r="Y37" s="75">
        <f t="shared" si="6"/>
        <v>14369.308680000002</v>
      </c>
      <c r="Z37" s="76">
        <f t="shared" si="7"/>
        <v>15564.052519999997</v>
      </c>
      <c r="AA37" s="192">
        <f t="shared" si="8"/>
        <v>0.48004327292185289</v>
      </c>
    </row>
    <row r="38" spans="2:27" ht="22.5" x14ac:dyDescent="0.25">
      <c r="B38" s="52" t="s">
        <v>87</v>
      </c>
      <c r="C38" s="61">
        <v>98557</v>
      </c>
      <c r="D38" s="55" t="s">
        <v>89</v>
      </c>
      <c r="E38" s="67" t="s">
        <v>17</v>
      </c>
      <c r="F38" s="67">
        <v>48.22</v>
      </c>
      <c r="G38" s="67">
        <v>253.95</v>
      </c>
      <c r="H38" s="29"/>
      <c r="I38" s="31"/>
      <c r="J38" s="29"/>
      <c r="K38" s="73"/>
      <c r="L38" s="73"/>
      <c r="M38" s="73"/>
      <c r="N38" s="67"/>
      <c r="O38" s="67">
        <f t="shared" si="1"/>
        <v>0</v>
      </c>
      <c r="P38" s="67">
        <f t="shared" si="2"/>
        <v>253.95</v>
      </c>
      <c r="Q38" s="67">
        <f t="shared" si="3"/>
        <v>12245.468999999999</v>
      </c>
      <c r="R38" s="74">
        <f t="shared" si="4"/>
        <v>0</v>
      </c>
      <c r="S38" s="74">
        <f t="shared" si="5"/>
        <v>0</v>
      </c>
      <c r="T38" s="74"/>
      <c r="U38" s="74"/>
      <c r="V38" s="74"/>
      <c r="W38" s="74"/>
      <c r="X38" s="75"/>
      <c r="Y38" s="75">
        <f t="shared" si="6"/>
        <v>0</v>
      </c>
      <c r="Z38" s="76">
        <f t="shared" si="7"/>
        <v>12245.468999999999</v>
      </c>
      <c r="AA38" s="192">
        <f t="shared" si="8"/>
        <v>0</v>
      </c>
    </row>
    <row r="39" spans="2:27" x14ac:dyDescent="0.25">
      <c r="B39" s="59" t="s">
        <v>90</v>
      </c>
      <c r="C39" s="63" t="s">
        <v>91</v>
      </c>
      <c r="D39" s="55"/>
      <c r="E39" s="67"/>
      <c r="F39" s="67"/>
      <c r="G39" s="67"/>
      <c r="H39" s="29"/>
      <c r="I39" s="31"/>
      <c r="J39" s="29"/>
      <c r="K39" s="73"/>
      <c r="L39" s="73"/>
      <c r="M39" s="73"/>
      <c r="N39" s="67"/>
      <c r="O39" s="67"/>
      <c r="P39" s="67"/>
      <c r="Q39" s="67"/>
      <c r="R39" s="74">
        <f t="shared" si="4"/>
        <v>0</v>
      </c>
      <c r="S39" s="74">
        <f t="shared" si="5"/>
        <v>0</v>
      </c>
      <c r="T39" s="74"/>
      <c r="U39" s="74"/>
      <c r="V39" s="74"/>
      <c r="W39" s="74"/>
      <c r="X39" s="75"/>
      <c r="Y39" s="75">
        <f t="shared" si="6"/>
        <v>0</v>
      </c>
      <c r="Z39" s="76">
        <f t="shared" si="7"/>
        <v>0</v>
      </c>
      <c r="AA39" s="192"/>
    </row>
    <row r="40" spans="2:27" ht="45" x14ac:dyDescent="0.25">
      <c r="B40" s="52" t="s">
        <v>92</v>
      </c>
      <c r="C40" s="60">
        <v>92443</v>
      </c>
      <c r="D40" s="55" t="s">
        <v>94</v>
      </c>
      <c r="E40" s="67" t="s">
        <v>17</v>
      </c>
      <c r="F40" s="67">
        <v>40.35</v>
      </c>
      <c r="G40" s="67">
        <v>408.7</v>
      </c>
      <c r="H40" s="29"/>
      <c r="I40" s="31"/>
      <c r="J40" s="29"/>
      <c r="K40" s="73"/>
      <c r="L40" s="73"/>
      <c r="M40" s="73"/>
      <c r="N40" s="67"/>
      <c r="O40" s="67">
        <f t="shared" si="1"/>
        <v>0</v>
      </c>
      <c r="P40" s="67">
        <f t="shared" si="2"/>
        <v>408.7</v>
      </c>
      <c r="Q40" s="67">
        <f>F40*G40</f>
        <v>16491.045000000002</v>
      </c>
      <c r="R40" s="74">
        <f t="shared" si="4"/>
        <v>0</v>
      </c>
      <c r="S40" s="74">
        <f t="shared" si="5"/>
        <v>0</v>
      </c>
      <c r="T40" s="74"/>
      <c r="U40" s="74"/>
      <c r="V40" s="74"/>
      <c r="W40" s="74"/>
      <c r="X40" s="75"/>
      <c r="Y40" s="75">
        <f t="shared" si="6"/>
        <v>0</v>
      </c>
      <c r="Z40" s="76">
        <f t="shared" si="7"/>
        <v>16491.045000000002</v>
      </c>
      <c r="AA40" s="192">
        <f t="shared" si="8"/>
        <v>0</v>
      </c>
    </row>
    <row r="41" spans="2:27" ht="33.75" x14ac:dyDescent="0.25">
      <c r="B41" s="52" t="s">
        <v>95</v>
      </c>
      <c r="C41" s="60">
        <v>92480</v>
      </c>
      <c r="D41" s="64" t="s">
        <v>97</v>
      </c>
      <c r="E41" s="67" t="s">
        <v>17</v>
      </c>
      <c r="F41" s="67">
        <v>62.17</v>
      </c>
      <c r="G41" s="67">
        <v>435.33</v>
      </c>
      <c r="H41" s="77"/>
      <c r="I41" s="77"/>
      <c r="J41" s="29"/>
      <c r="K41" s="77"/>
      <c r="L41" s="77"/>
      <c r="M41" s="77"/>
      <c r="N41" s="77"/>
      <c r="O41" s="67">
        <f t="shared" si="1"/>
        <v>0</v>
      </c>
      <c r="P41" s="67">
        <f t="shared" si="2"/>
        <v>435.33</v>
      </c>
      <c r="Q41" s="67">
        <f t="shared" si="3"/>
        <v>27064.466100000001</v>
      </c>
      <c r="R41" s="74">
        <f t="shared" si="4"/>
        <v>0</v>
      </c>
      <c r="S41" s="74">
        <f t="shared" si="5"/>
        <v>0</v>
      </c>
      <c r="T41" s="74"/>
      <c r="U41" s="74"/>
      <c r="V41" s="74"/>
      <c r="W41" s="74"/>
      <c r="X41" s="75"/>
      <c r="Y41" s="75">
        <f t="shared" si="6"/>
        <v>0</v>
      </c>
      <c r="Z41" s="76">
        <f t="shared" si="7"/>
        <v>27064.466100000001</v>
      </c>
      <c r="AA41" s="192">
        <f t="shared" si="8"/>
        <v>0</v>
      </c>
    </row>
    <row r="42" spans="2:27" ht="22.5" x14ac:dyDescent="0.25">
      <c r="B42" s="52" t="s">
        <v>98</v>
      </c>
      <c r="C42" s="60">
        <v>92267</v>
      </c>
      <c r="D42" s="55" t="s">
        <v>100</v>
      </c>
      <c r="E42" s="67" t="s">
        <v>17</v>
      </c>
      <c r="F42" s="67">
        <v>30.99</v>
      </c>
      <c r="G42" s="67">
        <v>111.15</v>
      </c>
      <c r="H42" s="73"/>
      <c r="I42" s="29"/>
      <c r="J42" s="29"/>
      <c r="K42" s="73"/>
      <c r="L42" s="73"/>
      <c r="M42" s="73"/>
      <c r="N42" s="67"/>
      <c r="O42" s="67">
        <f t="shared" si="1"/>
        <v>0</v>
      </c>
      <c r="P42" s="67">
        <f t="shared" si="2"/>
        <v>111.15</v>
      </c>
      <c r="Q42" s="67">
        <f t="shared" si="3"/>
        <v>3444.5385000000001</v>
      </c>
      <c r="R42" s="74">
        <f t="shared" si="4"/>
        <v>0</v>
      </c>
      <c r="S42" s="74">
        <f t="shared" si="5"/>
        <v>0</v>
      </c>
      <c r="T42" s="74"/>
      <c r="U42" s="74"/>
      <c r="V42" s="74"/>
      <c r="W42" s="74"/>
      <c r="X42" s="75"/>
      <c r="Y42" s="75">
        <f t="shared" si="6"/>
        <v>0</v>
      </c>
      <c r="Z42" s="76">
        <f t="shared" si="7"/>
        <v>3444.5385000000001</v>
      </c>
      <c r="AA42" s="192">
        <f t="shared" si="8"/>
        <v>0</v>
      </c>
    </row>
    <row r="43" spans="2:27" ht="33.75" x14ac:dyDescent="0.25">
      <c r="B43" s="52" t="s">
        <v>101</v>
      </c>
      <c r="C43" s="60">
        <v>92759</v>
      </c>
      <c r="D43" s="55" t="s">
        <v>103</v>
      </c>
      <c r="E43" s="67" t="s">
        <v>62</v>
      </c>
      <c r="F43" s="67">
        <v>14.67</v>
      </c>
      <c r="G43" s="67">
        <v>1027.8</v>
      </c>
      <c r="H43" s="73"/>
      <c r="I43" s="29"/>
      <c r="J43" s="29"/>
      <c r="K43" s="73"/>
      <c r="L43" s="73"/>
      <c r="M43" s="73"/>
      <c r="N43" s="67"/>
      <c r="O43" s="67">
        <f t="shared" si="1"/>
        <v>0</v>
      </c>
      <c r="P43" s="67">
        <f t="shared" si="2"/>
        <v>1027.8</v>
      </c>
      <c r="Q43" s="67">
        <f t="shared" si="3"/>
        <v>15077.825999999999</v>
      </c>
      <c r="R43" s="74">
        <f t="shared" si="4"/>
        <v>0</v>
      </c>
      <c r="S43" s="74">
        <f t="shared" si="5"/>
        <v>0</v>
      </c>
      <c r="T43" s="74"/>
      <c r="U43" s="74"/>
      <c r="V43" s="74"/>
      <c r="W43" s="74"/>
      <c r="X43" s="75"/>
      <c r="Y43" s="75">
        <f t="shared" si="6"/>
        <v>0</v>
      </c>
      <c r="Z43" s="76">
        <f t="shared" si="7"/>
        <v>15077.825999999999</v>
      </c>
      <c r="AA43" s="192">
        <f t="shared" si="8"/>
        <v>0</v>
      </c>
    </row>
    <row r="44" spans="2:27" ht="33.75" x14ac:dyDescent="0.25">
      <c r="B44" s="52" t="s">
        <v>104</v>
      </c>
      <c r="C44" s="60">
        <v>92760</v>
      </c>
      <c r="D44" s="55" t="s">
        <v>106</v>
      </c>
      <c r="E44" s="67" t="s">
        <v>62</v>
      </c>
      <c r="F44" s="67">
        <v>14.4</v>
      </c>
      <c r="G44" s="67">
        <v>39.1</v>
      </c>
      <c r="H44" s="73"/>
      <c r="I44" s="29"/>
      <c r="J44" s="29"/>
      <c r="K44" s="73"/>
      <c r="L44" s="73"/>
      <c r="M44" s="73"/>
      <c r="N44" s="67"/>
      <c r="O44" s="67">
        <f t="shared" si="1"/>
        <v>0</v>
      </c>
      <c r="P44" s="67">
        <f t="shared" si="2"/>
        <v>39.1</v>
      </c>
      <c r="Q44" s="67">
        <f t="shared" si="3"/>
        <v>563.04000000000008</v>
      </c>
      <c r="R44" s="74">
        <f t="shared" si="4"/>
        <v>0</v>
      </c>
      <c r="S44" s="74">
        <f t="shared" si="5"/>
        <v>0</v>
      </c>
      <c r="T44" s="74"/>
      <c r="U44" s="74"/>
      <c r="V44" s="74"/>
      <c r="W44" s="74"/>
      <c r="X44" s="75"/>
      <c r="Y44" s="75">
        <f t="shared" si="6"/>
        <v>0</v>
      </c>
      <c r="Z44" s="76">
        <f t="shared" si="7"/>
        <v>563.04000000000008</v>
      </c>
      <c r="AA44" s="192">
        <f t="shared" si="8"/>
        <v>0</v>
      </c>
    </row>
    <row r="45" spans="2:27" ht="33.75" x14ac:dyDescent="0.25">
      <c r="B45" s="52" t="s">
        <v>107</v>
      </c>
      <c r="C45" s="60">
        <v>92761</v>
      </c>
      <c r="D45" s="55" t="s">
        <v>109</v>
      </c>
      <c r="E45" s="67" t="s">
        <v>62</v>
      </c>
      <c r="F45" s="67">
        <v>14.25</v>
      </c>
      <c r="G45" s="67">
        <v>1000</v>
      </c>
      <c r="H45" s="73"/>
      <c r="I45" s="29"/>
      <c r="J45" s="29"/>
      <c r="K45" s="73"/>
      <c r="L45" s="73"/>
      <c r="M45" s="73"/>
      <c r="N45" s="67"/>
      <c r="O45" s="67">
        <f t="shared" si="1"/>
        <v>0</v>
      </c>
      <c r="P45" s="67">
        <f t="shared" si="2"/>
        <v>1000</v>
      </c>
      <c r="Q45" s="67">
        <f t="shared" si="3"/>
        <v>14250</v>
      </c>
      <c r="R45" s="74">
        <f t="shared" si="4"/>
        <v>0</v>
      </c>
      <c r="S45" s="74">
        <f t="shared" si="5"/>
        <v>0</v>
      </c>
      <c r="T45" s="74"/>
      <c r="U45" s="74"/>
      <c r="V45" s="74"/>
      <c r="W45" s="74"/>
      <c r="X45" s="75"/>
      <c r="Y45" s="75">
        <f t="shared" si="6"/>
        <v>0</v>
      </c>
      <c r="Z45" s="76">
        <f t="shared" si="7"/>
        <v>14250</v>
      </c>
      <c r="AA45" s="192">
        <f t="shared" si="8"/>
        <v>0</v>
      </c>
    </row>
    <row r="46" spans="2:27" ht="33.75" x14ac:dyDescent="0.25">
      <c r="B46" s="52" t="s">
        <v>110</v>
      </c>
      <c r="C46" s="60">
        <v>92762</v>
      </c>
      <c r="D46" s="55" t="s">
        <v>112</v>
      </c>
      <c r="E46" s="67" t="s">
        <v>62</v>
      </c>
      <c r="F46" s="67">
        <v>12.94</v>
      </c>
      <c r="G46" s="67">
        <v>1306.0999999999999</v>
      </c>
      <c r="H46" s="73"/>
      <c r="I46" s="29"/>
      <c r="J46" s="29"/>
      <c r="K46" s="73"/>
      <c r="L46" s="73"/>
      <c r="M46" s="73"/>
      <c r="N46" s="67"/>
      <c r="O46" s="67">
        <f t="shared" si="1"/>
        <v>0</v>
      </c>
      <c r="P46" s="67">
        <f t="shared" si="2"/>
        <v>1306.0999999999999</v>
      </c>
      <c r="Q46" s="67">
        <f t="shared" si="3"/>
        <v>16900.933999999997</v>
      </c>
      <c r="R46" s="74">
        <f t="shared" si="4"/>
        <v>0</v>
      </c>
      <c r="S46" s="74">
        <f t="shared" si="5"/>
        <v>0</v>
      </c>
      <c r="T46" s="74"/>
      <c r="U46" s="74"/>
      <c r="V46" s="74"/>
      <c r="W46" s="74"/>
      <c r="X46" s="75"/>
      <c r="Y46" s="75">
        <f t="shared" si="6"/>
        <v>0</v>
      </c>
      <c r="Z46" s="76">
        <f t="shared" si="7"/>
        <v>16900.933999999997</v>
      </c>
      <c r="AA46" s="192">
        <f t="shared" si="8"/>
        <v>0</v>
      </c>
    </row>
    <row r="47" spans="2:27" ht="33.75" x14ac:dyDescent="0.25">
      <c r="B47" s="52" t="s">
        <v>113</v>
      </c>
      <c r="C47" s="60">
        <v>92763</v>
      </c>
      <c r="D47" s="55" t="s">
        <v>115</v>
      </c>
      <c r="E47" s="67" t="s">
        <v>62</v>
      </c>
      <c r="F47" s="67">
        <v>10.71</v>
      </c>
      <c r="G47" s="67">
        <v>168.2</v>
      </c>
      <c r="H47" s="73"/>
      <c r="I47" s="29"/>
      <c r="J47" s="29"/>
      <c r="K47" s="73"/>
      <c r="L47" s="73"/>
      <c r="M47" s="73"/>
      <c r="N47" s="67"/>
      <c r="O47" s="67">
        <f t="shared" si="1"/>
        <v>0</v>
      </c>
      <c r="P47" s="67">
        <f t="shared" si="2"/>
        <v>168.2</v>
      </c>
      <c r="Q47" s="67">
        <f t="shared" si="3"/>
        <v>1801.422</v>
      </c>
      <c r="R47" s="74">
        <f t="shared" si="4"/>
        <v>0</v>
      </c>
      <c r="S47" s="74">
        <f t="shared" si="5"/>
        <v>0</v>
      </c>
      <c r="T47" s="74"/>
      <c r="U47" s="74"/>
      <c r="V47" s="74"/>
      <c r="W47" s="74"/>
      <c r="X47" s="75"/>
      <c r="Y47" s="75">
        <f t="shared" si="6"/>
        <v>0</v>
      </c>
      <c r="Z47" s="76">
        <f t="shared" si="7"/>
        <v>1801.422</v>
      </c>
      <c r="AA47" s="192">
        <f t="shared" si="8"/>
        <v>0</v>
      </c>
    </row>
    <row r="48" spans="2:27" ht="33.75" x14ac:dyDescent="0.25">
      <c r="B48" s="52" t="s">
        <v>116</v>
      </c>
      <c r="C48" s="60">
        <v>92768</v>
      </c>
      <c r="D48" s="55" t="s">
        <v>118</v>
      </c>
      <c r="E48" s="67" t="s">
        <v>62</v>
      </c>
      <c r="F48" s="67">
        <v>14.31</v>
      </c>
      <c r="G48" s="67">
        <v>158.69999999999999</v>
      </c>
      <c r="H48" s="73"/>
      <c r="I48" s="29"/>
      <c r="J48" s="29"/>
      <c r="K48" s="73"/>
      <c r="L48" s="73"/>
      <c r="M48" s="73"/>
      <c r="N48" s="67"/>
      <c r="O48" s="67">
        <f t="shared" si="1"/>
        <v>0</v>
      </c>
      <c r="P48" s="67">
        <f t="shared" si="2"/>
        <v>158.69999999999999</v>
      </c>
      <c r="Q48" s="67">
        <f t="shared" si="3"/>
        <v>2270.9969999999998</v>
      </c>
      <c r="R48" s="74">
        <f t="shared" si="4"/>
        <v>0</v>
      </c>
      <c r="S48" s="74">
        <f t="shared" si="5"/>
        <v>0</v>
      </c>
      <c r="T48" s="74"/>
      <c r="U48" s="74"/>
      <c r="V48" s="74"/>
      <c r="W48" s="74"/>
      <c r="X48" s="75"/>
      <c r="Y48" s="75">
        <f t="shared" si="6"/>
        <v>0</v>
      </c>
      <c r="Z48" s="76">
        <f t="shared" si="7"/>
        <v>2270.9969999999998</v>
      </c>
      <c r="AA48" s="192">
        <f t="shared" si="8"/>
        <v>0</v>
      </c>
    </row>
    <row r="49" spans="2:27" ht="33.75" x14ac:dyDescent="0.25">
      <c r="B49" s="52" t="s">
        <v>119</v>
      </c>
      <c r="C49" s="60">
        <v>92769</v>
      </c>
      <c r="D49" s="55" t="s">
        <v>121</v>
      </c>
      <c r="E49" s="67" t="s">
        <v>62</v>
      </c>
      <c r="F49" s="67">
        <v>14.01</v>
      </c>
      <c r="G49" s="67">
        <v>170.5</v>
      </c>
      <c r="H49" s="73"/>
      <c r="I49" s="29"/>
      <c r="J49" s="29"/>
      <c r="K49" s="73"/>
      <c r="L49" s="73"/>
      <c r="M49" s="73"/>
      <c r="N49" s="67"/>
      <c r="O49" s="67">
        <f t="shared" si="1"/>
        <v>0</v>
      </c>
      <c r="P49" s="67">
        <f t="shared" si="2"/>
        <v>170.5</v>
      </c>
      <c r="Q49" s="67">
        <f t="shared" si="3"/>
        <v>2388.7049999999999</v>
      </c>
      <c r="R49" s="74">
        <f t="shared" si="4"/>
        <v>0</v>
      </c>
      <c r="S49" s="74">
        <f t="shared" si="5"/>
        <v>0</v>
      </c>
      <c r="T49" s="74"/>
      <c r="U49" s="74"/>
      <c r="V49" s="74"/>
      <c r="W49" s="74"/>
      <c r="X49" s="75"/>
      <c r="Y49" s="75">
        <f t="shared" si="6"/>
        <v>0</v>
      </c>
      <c r="Z49" s="76">
        <f t="shared" si="7"/>
        <v>2388.7049999999999</v>
      </c>
      <c r="AA49" s="192">
        <f t="shared" si="8"/>
        <v>0</v>
      </c>
    </row>
    <row r="50" spans="2:27" ht="33.75" x14ac:dyDescent="0.25">
      <c r="B50" s="52" t="s">
        <v>122</v>
      </c>
      <c r="C50" s="60">
        <v>92770</v>
      </c>
      <c r="D50" s="55" t="s">
        <v>124</v>
      </c>
      <c r="E50" s="67" t="s">
        <v>62</v>
      </c>
      <c r="F50" s="67">
        <v>13.86</v>
      </c>
      <c r="G50" s="67">
        <v>279.10000000000002</v>
      </c>
      <c r="H50" s="73"/>
      <c r="I50" s="29"/>
      <c r="J50" s="29"/>
      <c r="K50" s="73"/>
      <c r="L50" s="73"/>
      <c r="M50" s="73"/>
      <c r="N50" s="67"/>
      <c r="O50" s="67">
        <f t="shared" si="1"/>
        <v>0</v>
      </c>
      <c r="P50" s="67">
        <f t="shared" si="2"/>
        <v>279.10000000000002</v>
      </c>
      <c r="Q50" s="67">
        <f t="shared" si="3"/>
        <v>3868.326</v>
      </c>
      <c r="R50" s="74">
        <f t="shared" si="4"/>
        <v>0</v>
      </c>
      <c r="S50" s="74">
        <f t="shared" si="5"/>
        <v>0</v>
      </c>
      <c r="T50" s="74"/>
      <c r="U50" s="74"/>
      <c r="V50" s="74"/>
      <c r="W50" s="74"/>
      <c r="X50" s="75"/>
      <c r="Y50" s="75">
        <f t="shared" si="6"/>
        <v>0</v>
      </c>
      <c r="Z50" s="76">
        <f t="shared" si="7"/>
        <v>3868.326</v>
      </c>
      <c r="AA50" s="192">
        <f t="shared" si="8"/>
        <v>0</v>
      </c>
    </row>
    <row r="51" spans="2:27" ht="33.75" x14ac:dyDescent="0.25">
      <c r="B51" s="52" t="s">
        <v>125</v>
      </c>
      <c r="C51" s="60">
        <v>94966</v>
      </c>
      <c r="D51" s="55" t="s">
        <v>65</v>
      </c>
      <c r="E51" s="67" t="s">
        <v>41</v>
      </c>
      <c r="F51" s="67">
        <v>530.88</v>
      </c>
      <c r="G51" s="67">
        <v>61.56</v>
      </c>
      <c r="H51" s="73"/>
      <c r="I51" s="29"/>
      <c r="J51" s="29"/>
      <c r="K51" s="73"/>
      <c r="L51" s="73"/>
      <c r="M51" s="73"/>
      <c r="N51" s="67"/>
      <c r="O51" s="67">
        <f t="shared" si="1"/>
        <v>0</v>
      </c>
      <c r="P51" s="67">
        <f t="shared" si="2"/>
        <v>61.56</v>
      </c>
      <c r="Q51" s="67">
        <f t="shared" si="3"/>
        <v>32680.9728</v>
      </c>
      <c r="R51" s="74">
        <f t="shared" si="4"/>
        <v>0</v>
      </c>
      <c r="S51" s="74">
        <f t="shared" si="5"/>
        <v>0</v>
      </c>
      <c r="T51" s="74"/>
      <c r="U51" s="74"/>
      <c r="V51" s="74"/>
      <c r="W51" s="74"/>
      <c r="X51" s="75"/>
      <c r="Y51" s="75">
        <f t="shared" si="6"/>
        <v>0</v>
      </c>
      <c r="Z51" s="76">
        <f t="shared" si="7"/>
        <v>32680.9728</v>
      </c>
      <c r="AA51" s="192">
        <f t="shared" si="8"/>
        <v>0</v>
      </c>
    </row>
    <row r="52" spans="2:27" ht="22.5" x14ac:dyDescent="0.25">
      <c r="B52" s="52" t="s">
        <v>126</v>
      </c>
      <c r="C52" s="60">
        <v>103670</v>
      </c>
      <c r="D52" s="64" t="s">
        <v>71</v>
      </c>
      <c r="E52" s="67" t="s">
        <v>41</v>
      </c>
      <c r="F52" s="67">
        <v>230.55</v>
      </c>
      <c r="G52" s="67">
        <v>61.56</v>
      </c>
      <c r="H52" s="77"/>
      <c r="I52" s="77"/>
      <c r="J52" s="29"/>
      <c r="K52" s="77"/>
      <c r="L52" s="77"/>
      <c r="M52" s="77"/>
      <c r="N52" s="77"/>
      <c r="O52" s="67">
        <f t="shared" si="1"/>
        <v>0</v>
      </c>
      <c r="P52" s="67">
        <f t="shared" si="2"/>
        <v>61.56</v>
      </c>
      <c r="Q52" s="67">
        <f t="shared" si="3"/>
        <v>14192.658000000001</v>
      </c>
      <c r="R52" s="74">
        <f t="shared" si="4"/>
        <v>0</v>
      </c>
      <c r="S52" s="74">
        <f t="shared" si="5"/>
        <v>0</v>
      </c>
      <c r="T52" s="74"/>
      <c r="U52" s="74"/>
      <c r="V52" s="74"/>
      <c r="W52" s="74"/>
      <c r="X52" s="75"/>
      <c r="Y52" s="75">
        <f t="shared" si="6"/>
        <v>0</v>
      </c>
      <c r="Z52" s="76">
        <f t="shared" si="7"/>
        <v>14192.658000000001</v>
      </c>
      <c r="AA52" s="192">
        <f t="shared" si="8"/>
        <v>0</v>
      </c>
    </row>
    <row r="53" spans="2:27" ht="33.75" x14ac:dyDescent="0.25">
      <c r="B53" s="52" t="s">
        <v>127</v>
      </c>
      <c r="C53" s="60">
        <v>92771</v>
      </c>
      <c r="D53" s="64" t="s">
        <v>129</v>
      </c>
      <c r="E53" s="67" t="s">
        <v>62</v>
      </c>
      <c r="F53" s="67">
        <v>12.55</v>
      </c>
      <c r="G53" s="67">
        <v>312.3</v>
      </c>
      <c r="H53" s="77"/>
      <c r="I53" s="77"/>
      <c r="J53" s="29"/>
      <c r="K53" s="77"/>
      <c r="L53" s="77"/>
      <c r="M53" s="77"/>
      <c r="N53" s="77"/>
      <c r="O53" s="67">
        <f t="shared" si="1"/>
        <v>0</v>
      </c>
      <c r="P53" s="67">
        <f t="shared" si="2"/>
        <v>312.3</v>
      </c>
      <c r="Q53" s="67">
        <f t="shared" si="3"/>
        <v>3919.3650000000002</v>
      </c>
      <c r="R53" s="74">
        <f t="shared" si="4"/>
        <v>0</v>
      </c>
      <c r="S53" s="74">
        <f t="shared" si="5"/>
        <v>0</v>
      </c>
      <c r="T53" s="74"/>
      <c r="U53" s="74"/>
      <c r="V53" s="74"/>
      <c r="W53" s="74"/>
      <c r="X53" s="75"/>
      <c r="Y53" s="75">
        <f t="shared" si="6"/>
        <v>0</v>
      </c>
      <c r="Z53" s="76">
        <f t="shared" si="7"/>
        <v>3919.3650000000002</v>
      </c>
      <c r="AA53" s="192">
        <f t="shared" si="8"/>
        <v>0</v>
      </c>
    </row>
    <row r="54" spans="2:27" ht="33.75" x14ac:dyDescent="0.25">
      <c r="B54" s="52" t="s">
        <v>130</v>
      </c>
      <c r="C54" s="60">
        <v>92772</v>
      </c>
      <c r="D54" s="55" t="s">
        <v>132</v>
      </c>
      <c r="E54" s="67" t="s">
        <v>62</v>
      </c>
      <c r="F54" s="67">
        <v>10.39</v>
      </c>
      <c r="G54" s="67">
        <v>154.80000000000001</v>
      </c>
      <c r="H54" s="73"/>
      <c r="I54" s="29"/>
      <c r="J54" s="29"/>
      <c r="K54" s="73"/>
      <c r="L54" s="73"/>
      <c r="M54" s="73"/>
      <c r="N54" s="67"/>
      <c r="O54" s="67">
        <f t="shared" si="1"/>
        <v>0</v>
      </c>
      <c r="P54" s="67">
        <f t="shared" si="2"/>
        <v>154.80000000000001</v>
      </c>
      <c r="Q54" s="67">
        <f t="shared" si="3"/>
        <v>1608.3720000000003</v>
      </c>
      <c r="R54" s="74">
        <f t="shared" si="4"/>
        <v>0</v>
      </c>
      <c r="S54" s="74">
        <f t="shared" si="5"/>
        <v>0</v>
      </c>
      <c r="T54" s="74"/>
      <c r="U54" s="74"/>
      <c r="V54" s="74"/>
      <c r="W54" s="74"/>
      <c r="X54" s="75"/>
      <c r="Y54" s="75">
        <f t="shared" si="6"/>
        <v>0</v>
      </c>
      <c r="Z54" s="76">
        <f t="shared" si="7"/>
        <v>1608.3720000000003</v>
      </c>
      <c r="AA54" s="192">
        <f t="shared" si="8"/>
        <v>0</v>
      </c>
    </row>
    <row r="55" spans="2:27" x14ac:dyDescent="0.25">
      <c r="B55" s="59">
        <v>1.5</v>
      </c>
      <c r="C55" s="63" t="s">
        <v>134</v>
      </c>
      <c r="D55" s="55"/>
      <c r="E55" s="67"/>
      <c r="F55" s="67"/>
      <c r="G55" s="67"/>
      <c r="H55" s="73"/>
      <c r="I55" s="29"/>
      <c r="J55" s="29"/>
      <c r="K55" s="73"/>
      <c r="L55" s="73"/>
      <c r="M55" s="73"/>
      <c r="N55" s="67"/>
      <c r="O55" s="67"/>
      <c r="P55" s="67"/>
      <c r="Q55" s="67"/>
      <c r="R55" s="74">
        <f t="shared" si="4"/>
        <v>0</v>
      </c>
      <c r="S55" s="74">
        <f t="shared" si="5"/>
        <v>0</v>
      </c>
      <c r="T55" s="74"/>
      <c r="U55" s="74"/>
      <c r="V55" s="74"/>
      <c r="W55" s="74"/>
      <c r="X55" s="75"/>
      <c r="Y55" s="75">
        <f t="shared" si="6"/>
        <v>0</v>
      </c>
      <c r="Z55" s="76">
        <f t="shared" si="7"/>
        <v>0</v>
      </c>
      <c r="AA55" s="192"/>
    </row>
    <row r="56" spans="2:27" ht="45" x14ac:dyDescent="0.25">
      <c r="B56" s="52" t="s">
        <v>135</v>
      </c>
      <c r="C56" s="60">
        <v>103356</v>
      </c>
      <c r="D56" s="55" t="s">
        <v>137</v>
      </c>
      <c r="E56" s="67" t="s">
        <v>17</v>
      </c>
      <c r="F56" s="67">
        <v>46.86</v>
      </c>
      <c r="G56" s="67">
        <v>1131.99</v>
      </c>
      <c r="H56" s="73"/>
      <c r="I56" s="29"/>
      <c r="J56" s="29"/>
      <c r="K56" s="73"/>
      <c r="L56" s="73"/>
      <c r="M56" s="73"/>
      <c r="N56" s="67"/>
      <c r="O56" s="67">
        <f t="shared" si="1"/>
        <v>0</v>
      </c>
      <c r="P56" s="67">
        <f t="shared" si="2"/>
        <v>1131.99</v>
      </c>
      <c r="Q56" s="67">
        <f t="shared" si="3"/>
        <v>53045.051399999997</v>
      </c>
      <c r="R56" s="74">
        <f t="shared" si="4"/>
        <v>0</v>
      </c>
      <c r="S56" s="74">
        <f t="shared" si="5"/>
        <v>0</v>
      </c>
      <c r="T56" s="74"/>
      <c r="U56" s="74"/>
      <c r="V56" s="74"/>
      <c r="W56" s="74"/>
      <c r="X56" s="75"/>
      <c r="Y56" s="75">
        <f t="shared" si="6"/>
        <v>0</v>
      </c>
      <c r="Z56" s="76">
        <f t="shared" si="7"/>
        <v>53045.051399999997</v>
      </c>
      <c r="AA56" s="192">
        <f t="shared" si="8"/>
        <v>0</v>
      </c>
    </row>
    <row r="57" spans="2:27" ht="22.5" x14ac:dyDescent="0.25">
      <c r="B57" s="52" t="s">
        <v>138</v>
      </c>
      <c r="C57" s="60">
        <v>93189</v>
      </c>
      <c r="D57" s="64" t="s">
        <v>140</v>
      </c>
      <c r="E57" s="67" t="s">
        <v>37</v>
      </c>
      <c r="F57" s="67">
        <v>99.36</v>
      </c>
      <c r="G57" s="67">
        <v>64.099999999999994</v>
      </c>
      <c r="H57" s="77"/>
      <c r="I57" s="29"/>
      <c r="J57" s="29"/>
      <c r="K57" s="77"/>
      <c r="L57" s="77"/>
      <c r="M57" s="77"/>
      <c r="N57" s="77"/>
      <c r="O57" s="67">
        <f t="shared" si="1"/>
        <v>0</v>
      </c>
      <c r="P57" s="67">
        <f t="shared" si="2"/>
        <v>64.099999999999994</v>
      </c>
      <c r="Q57" s="67">
        <f t="shared" si="3"/>
        <v>6368.9759999999997</v>
      </c>
      <c r="R57" s="74">
        <f t="shared" si="4"/>
        <v>0</v>
      </c>
      <c r="S57" s="74">
        <f t="shared" si="5"/>
        <v>0</v>
      </c>
      <c r="T57" s="74"/>
      <c r="U57" s="74"/>
      <c r="V57" s="74"/>
      <c r="W57" s="74"/>
      <c r="X57" s="75"/>
      <c r="Y57" s="75">
        <f t="shared" si="6"/>
        <v>0</v>
      </c>
      <c r="Z57" s="76">
        <f t="shared" si="7"/>
        <v>6368.9759999999997</v>
      </c>
      <c r="AA57" s="192">
        <f t="shared" si="8"/>
        <v>0</v>
      </c>
    </row>
    <row r="58" spans="2:27" ht="33.75" x14ac:dyDescent="0.25">
      <c r="B58" s="52" t="s">
        <v>141</v>
      </c>
      <c r="C58" s="60">
        <v>93191</v>
      </c>
      <c r="D58" s="55" t="s">
        <v>143</v>
      </c>
      <c r="E58" s="67" t="s">
        <v>37</v>
      </c>
      <c r="F58" s="67">
        <v>50.71</v>
      </c>
      <c r="G58" s="67">
        <v>72.2</v>
      </c>
      <c r="H58" s="73"/>
      <c r="I58" s="29"/>
      <c r="J58" s="29"/>
      <c r="K58" s="73"/>
      <c r="L58" s="73"/>
      <c r="M58" s="73"/>
      <c r="N58" s="67"/>
      <c r="O58" s="67">
        <f t="shared" si="1"/>
        <v>0</v>
      </c>
      <c r="P58" s="67">
        <f t="shared" si="2"/>
        <v>72.2</v>
      </c>
      <c r="Q58" s="67">
        <f t="shared" si="3"/>
        <v>3661.2620000000002</v>
      </c>
      <c r="R58" s="74">
        <f t="shared" si="4"/>
        <v>0</v>
      </c>
      <c r="S58" s="74">
        <f t="shared" si="5"/>
        <v>0</v>
      </c>
      <c r="T58" s="74"/>
      <c r="U58" s="74"/>
      <c r="V58" s="74"/>
      <c r="W58" s="74"/>
      <c r="X58" s="75"/>
      <c r="Y58" s="75">
        <f t="shared" si="6"/>
        <v>0</v>
      </c>
      <c r="Z58" s="76">
        <f t="shared" si="7"/>
        <v>3661.2620000000002</v>
      </c>
      <c r="AA58" s="192">
        <f t="shared" si="8"/>
        <v>0</v>
      </c>
    </row>
    <row r="59" spans="2:27" ht="22.5" x14ac:dyDescent="0.25">
      <c r="B59" s="52" t="s">
        <v>144</v>
      </c>
      <c r="C59" s="60">
        <v>93197</v>
      </c>
      <c r="D59" s="55" t="s">
        <v>146</v>
      </c>
      <c r="E59" s="67" t="s">
        <v>37</v>
      </c>
      <c r="F59" s="67">
        <v>90.23</v>
      </c>
      <c r="G59" s="67">
        <v>72.2</v>
      </c>
      <c r="H59" s="73"/>
      <c r="I59" s="29"/>
      <c r="J59" s="29"/>
      <c r="K59" s="73"/>
      <c r="L59" s="73"/>
      <c r="M59" s="73"/>
      <c r="N59" s="67"/>
      <c r="O59" s="67">
        <f t="shared" si="1"/>
        <v>0</v>
      </c>
      <c r="P59" s="67">
        <f t="shared" si="2"/>
        <v>72.2</v>
      </c>
      <c r="Q59" s="67">
        <f t="shared" si="3"/>
        <v>6514.6060000000007</v>
      </c>
      <c r="R59" s="74">
        <f t="shared" si="4"/>
        <v>0</v>
      </c>
      <c r="S59" s="74">
        <f t="shared" si="5"/>
        <v>0</v>
      </c>
      <c r="T59" s="74"/>
      <c r="U59" s="74"/>
      <c r="V59" s="74"/>
      <c r="W59" s="74"/>
      <c r="X59" s="75"/>
      <c r="Y59" s="75">
        <f t="shared" si="6"/>
        <v>0</v>
      </c>
      <c r="Z59" s="76">
        <f t="shared" si="7"/>
        <v>6514.6060000000007</v>
      </c>
      <c r="AA59" s="192">
        <f t="shared" si="8"/>
        <v>0</v>
      </c>
    </row>
    <row r="60" spans="2:27" ht="14.45" customHeight="1" x14ac:dyDescent="0.25">
      <c r="B60" s="59">
        <v>1.6</v>
      </c>
      <c r="C60" s="63" t="s">
        <v>148</v>
      </c>
      <c r="D60" s="55"/>
      <c r="E60" s="67"/>
      <c r="F60" s="67"/>
      <c r="G60" s="67"/>
      <c r="H60" s="73"/>
      <c r="I60" s="29"/>
      <c r="J60" s="29"/>
      <c r="K60" s="73"/>
      <c r="L60" s="73"/>
      <c r="M60" s="73"/>
      <c r="N60" s="67"/>
      <c r="O60" s="67"/>
      <c r="P60" s="67"/>
      <c r="Q60" s="67"/>
      <c r="R60" s="74">
        <f t="shared" si="4"/>
        <v>0</v>
      </c>
      <c r="S60" s="74">
        <f t="shared" si="5"/>
        <v>0</v>
      </c>
      <c r="T60" s="74"/>
      <c r="U60" s="74"/>
      <c r="V60" s="74"/>
      <c r="W60" s="74"/>
      <c r="X60" s="75"/>
      <c r="Y60" s="75">
        <f t="shared" si="6"/>
        <v>0</v>
      </c>
      <c r="Z60" s="76">
        <f t="shared" si="7"/>
        <v>0</v>
      </c>
      <c r="AA60" s="192"/>
    </row>
    <row r="61" spans="2:27" ht="45" x14ac:dyDescent="0.25">
      <c r="B61" s="52" t="s">
        <v>149</v>
      </c>
      <c r="C61" s="60">
        <v>87893</v>
      </c>
      <c r="D61" s="55" t="s">
        <v>151</v>
      </c>
      <c r="E61" s="67" t="s">
        <v>17</v>
      </c>
      <c r="F61" s="67">
        <v>6.08</v>
      </c>
      <c r="G61" s="67">
        <v>1348.98</v>
      </c>
      <c r="H61" s="73"/>
      <c r="I61" s="29"/>
      <c r="J61" s="29"/>
      <c r="K61" s="73"/>
      <c r="L61" s="73"/>
      <c r="M61" s="73"/>
      <c r="N61" s="67"/>
      <c r="O61" s="67">
        <f t="shared" si="1"/>
        <v>0</v>
      </c>
      <c r="P61" s="67">
        <f t="shared" si="2"/>
        <v>1348.98</v>
      </c>
      <c r="Q61" s="67">
        <f t="shared" si="3"/>
        <v>8201.7983999999997</v>
      </c>
      <c r="R61" s="74">
        <f t="shared" si="4"/>
        <v>0</v>
      </c>
      <c r="S61" s="74">
        <f t="shared" si="5"/>
        <v>0</v>
      </c>
      <c r="T61" s="74"/>
      <c r="U61" s="74"/>
      <c r="V61" s="74"/>
      <c r="W61" s="74"/>
      <c r="X61" s="75"/>
      <c r="Y61" s="75">
        <f t="shared" si="6"/>
        <v>0</v>
      </c>
      <c r="Z61" s="76">
        <f t="shared" si="7"/>
        <v>8201.7983999999997</v>
      </c>
      <c r="AA61" s="192">
        <f t="shared" si="8"/>
        <v>0</v>
      </c>
    </row>
    <row r="62" spans="2:27" ht="45" x14ac:dyDescent="0.25">
      <c r="B62" s="52" t="s">
        <v>152</v>
      </c>
      <c r="C62" s="60">
        <v>87548</v>
      </c>
      <c r="D62" s="55" t="s">
        <v>154</v>
      </c>
      <c r="E62" s="67" t="s">
        <v>17</v>
      </c>
      <c r="F62" s="67">
        <v>22.4</v>
      </c>
      <c r="G62" s="67">
        <v>997.11</v>
      </c>
      <c r="H62" s="73"/>
      <c r="I62" s="29"/>
      <c r="J62" s="29"/>
      <c r="K62" s="73"/>
      <c r="L62" s="73"/>
      <c r="M62" s="73"/>
      <c r="N62" s="67"/>
      <c r="O62" s="67">
        <f t="shared" si="1"/>
        <v>0</v>
      </c>
      <c r="P62" s="67">
        <f t="shared" si="2"/>
        <v>997.11</v>
      </c>
      <c r="Q62" s="67">
        <f t="shared" si="3"/>
        <v>22335.263999999999</v>
      </c>
      <c r="R62" s="74">
        <f t="shared" si="4"/>
        <v>0</v>
      </c>
      <c r="S62" s="74">
        <f t="shared" si="5"/>
        <v>0</v>
      </c>
      <c r="T62" s="74"/>
      <c r="U62" s="74"/>
      <c r="V62" s="74"/>
      <c r="W62" s="74"/>
      <c r="X62" s="75"/>
      <c r="Y62" s="75">
        <f t="shared" si="6"/>
        <v>0</v>
      </c>
      <c r="Z62" s="76">
        <f t="shared" si="7"/>
        <v>22335.263999999999</v>
      </c>
      <c r="AA62" s="192">
        <f t="shared" si="8"/>
        <v>0</v>
      </c>
    </row>
    <row r="63" spans="2:27" ht="56.25" x14ac:dyDescent="0.25">
      <c r="B63" s="52" t="s">
        <v>155</v>
      </c>
      <c r="C63" s="60">
        <v>87536</v>
      </c>
      <c r="D63" s="55" t="s">
        <v>157</v>
      </c>
      <c r="E63" s="67" t="s">
        <v>17</v>
      </c>
      <c r="F63" s="67">
        <v>31.26</v>
      </c>
      <c r="G63" s="67">
        <v>351.87</v>
      </c>
      <c r="H63" s="73"/>
      <c r="I63" s="29"/>
      <c r="J63" s="29"/>
      <c r="K63" s="73"/>
      <c r="L63" s="73"/>
      <c r="M63" s="73"/>
      <c r="N63" s="67"/>
      <c r="O63" s="67">
        <f t="shared" si="1"/>
        <v>0</v>
      </c>
      <c r="P63" s="67">
        <f t="shared" si="2"/>
        <v>351.87</v>
      </c>
      <c r="Q63" s="67">
        <f t="shared" si="3"/>
        <v>10999.456200000001</v>
      </c>
      <c r="R63" s="74">
        <f t="shared" si="4"/>
        <v>0</v>
      </c>
      <c r="S63" s="74">
        <f t="shared" si="5"/>
        <v>0</v>
      </c>
      <c r="T63" s="74"/>
      <c r="U63" s="74"/>
      <c r="V63" s="74"/>
      <c r="W63" s="74"/>
      <c r="X63" s="75"/>
      <c r="Y63" s="75">
        <f t="shared" si="6"/>
        <v>0</v>
      </c>
      <c r="Z63" s="76">
        <f t="shared" si="7"/>
        <v>10999.456200000001</v>
      </c>
      <c r="AA63" s="192">
        <f t="shared" si="8"/>
        <v>0</v>
      </c>
    </row>
    <row r="64" spans="2:27" ht="33.75" x14ac:dyDescent="0.25">
      <c r="B64" s="52" t="s">
        <v>158</v>
      </c>
      <c r="C64" s="60">
        <v>87275</v>
      </c>
      <c r="D64" s="55" t="s">
        <v>160</v>
      </c>
      <c r="E64" s="67" t="s">
        <v>17</v>
      </c>
      <c r="F64" s="67">
        <v>75.14</v>
      </c>
      <c r="G64" s="67">
        <v>351.87</v>
      </c>
      <c r="H64" s="73"/>
      <c r="I64" s="29"/>
      <c r="J64" s="29"/>
      <c r="K64" s="73"/>
      <c r="L64" s="73"/>
      <c r="M64" s="73"/>
      <c r="N64" s="67"/>
      <c r="O64" s="67">
        <f t="shared" si="1"/>
        <v>0</v>
      </c>
      <c r="P64" s="67">
        <f t="shared" si="2"/>
        <v>351.87</v>
      </c>
      <c r="Q64" s="67">
        <f t="shared" si="3"/>
        <v>26439.5118</v>
      </c>
      <c r="R64" s="74">
        <f t="shared" si="4"/>
        <v>0</v>
      </c>
      <c r="S64" s="74">
        <f t="shared" si="5"/>
        <v>0</v>
      </c>
      <c r="T64" s="74"/>
      <c r="U64" s="74"/>
      <c r="V64" s="74"/>
      <c r="W64" s="74"/>
      <c r="X64" s="75"/>
      <c r="Y64" s="75">
        <f t="shared" si="6"/>
        <v>0</v>
      </c>
      <c r="Z64" s="76">
        <f t="shared" si="7"/>
        <v>26439.5118</v>
      </c>
      <c r="AA64" s="192">
        <f t="shared" si="8"/>
        <v>0</v>
      </c>
    </row>
    <row r="65" spans="2:27" x14ac:dyDescent="0.25">
      <c r="B65" s="59">
        <v>1.7</v>
      </c>
      <c r="C65" s="63" t="s">
        <v>162</v>
      </c>
      <c r="D65" s="55"/>
      <c r="E65" s="67"/>
      <c r="F65" s="67"/>
      <c r="G65" s="67"/>
      <c r="H65" s="73"/>
      <c r="I65" s="29"/>
      <c r="J65" s="29"/>
      <c r="K65" s="73"/>
      <c r="L65" s="73"/>
      <c r="M65" s="73"/>
      <c r="N65" s="67"/>
      <c r="O65" s="67"/>
      <c r="P65" s="67"/>
      <c r="Q65" s="67"/>
      <c r="R65" s="74">
        <f t="shared" si="4"/>
        <v>0</v>
      </c>
      <c r="S65" s="74">
        <f t="shared" si="5"/>
        <v>0</v>
      </c>
      <c r="T65" s="74"/>
      <c r="U65" s="74"/>
      <c r="V65" s="74"/>
      <c r="W65" s="74"/>
      <c r="X65" s="75"/>
      <c r="Y65" s="75">
        <f t="shared" si="6"/>
        <v>0</v>
      </c>
      <c r="Z65" s="76">
        <f t="shared" si="7"/>
        <v>0</v>
      </c>
      <c r="AA65" s="192"/>
    </row>
    <row r="66" spans="2:27" ht="56.25" x14ac:dyDescent="0.25">
      <c r="B66" s="52" t="s">
        <v>163</v>
      </c>
      <c r="C66" s="60">
        <v>91315</v>
      </c>
      <c r="D66" s="64" t="s">
        <v>165</v>
      </c>
      <c r="E66" s="67" t="s">
        <v>166</v>
      </c>
      <c r="F66" s="67">
        <v>919.01</v>
      </c>
      <c r="G66" s="67">
        <v>18</v>
      </c>
      <c r="H66" s="77"/>
      <c r="I66" s="29"/>
      <c r="J66" s="29"/>
      <c r="K66" s="77"/>
      <c r="L66" s="77"/>
      <c r="M66" s="77"/>
      <c r="N66" s="77"/>
      <c r="O66" s="67">
        <f t="shared" si="1"/>
        <v>0</v>
      </c>
      <c r="P66" s="67">
        <f t="shared" si="2"/>
        <v>18</v>
      </c>
      <c r="Q66" s="67">
        <f t="shared" si="3"/>
        <v>16542.18</v>
      </c>
      <c r="R66" s="74">
        <f t="shared" si="4"/>
        <v>0</v>
      </c>
      <c r="S66" s="74">
        <f t="shared" si="5"/>
        <v>0</v>
      </c>
      <c r="T66" s="74"/>
      <c r="U66" s="74"/>
      <c r="V66" s="74"/>
      <c r="W66" s="74"/>
      <c r="X66" s="75"/>
      <c r="Y66" s="75">
        <f t="shared" si="6"/>
        <v>0</v>
      </c>
      <c r="Z66" s="76">
        <f t="shared" si="7"/>
        <v>16542.18</v>
      </c>
      <c r="AA66" s="192">
        <f t="shared" si="8"/>
        <v>0</v>
      </c>
    </row>
    <row r="67" spans="2:27" ht="45" x14ac:dyDescent="0.25">
      <c r="B67" s="52" t="s">
        <v>167</v>
      </c>
      <c r="C67" s="60">
        <v>94570</v>
      </c>
      <c r="D67" s="55" t="s">
        <v>169</v>
      </c>
      <c r="E67" s="67" t="s">
        <v>17</v>
      </c>
      <c r="F67" s="67">
        <v>960.32</v>
      </c>
      <c r="G67" s="67">
        <v>49.7</v>
      </c>
      <c r="H67" s="73"/>
      <c r="I67" s="29"/>
      <c r="J67" s="29"/>
      <c r="K67" s="73"/>
      <c r="L67" s="73"/>
      <c r="M67" s="73"/>
      <c r="N67" s="67"/>
      <c r="O67" s="67">
        <f t="shared" si="1"/>
        <v>0</v>
      </c>
      <c r="P67" s="67">
        <f t="shared" si="2"/>
        <v>49.7</v>
      </c>
      <c r="Q67" s="67">
        <f t="shared" si="3"/>
        <v>47727.904000000002</v>
      </c>
      <c r="R67" s="74">
        <f t="shared" si="4"/>
        <v>0</v>
      </c>
      <c r="S67" s="74">
        <f t="shared" si="5"/>
        <v>0</v>
      </c>
      <c r="T67" s="74"/>
      <c r="U67" s="74"/>
      <c r="V67" s="74"/>
      <c r="W67" s="74"/>
      <c r="X67" s="75"/>
      <c r="Y67" s="75">
        <f t="shared" si="6"/>
        <v>0</v>
      </c>
      <c r="Z67" s="76">
        <f t="shared" si="7"/>
        <v>47727.904000000002</v>
      </c>
      <c r="AA67" s="192">
        <f t="shared" si="8"/>
        <v>0</v>
      </c>
    </row>
    <row r="68" spans="2:27" ht="56.25" x14ac:dyDescent="0.25">
      <c r="B68" s="52" t="s">
        <v>170</v>
      </c>
      <c r="C68" s="60">
        <v>100689</v>
      </c>
      <c r="D68" s="55" t="s">
        <v>172</v>
      </c>
      <c r="E68" s="67" t="s">
        <v>166</v>
      </c>
      <c r="F68" s="67">
        <v>1069.74</v>
      </c>
      <c r="G68" s="67">
        <v>5</v>
      </c>
      <c r="H68" s="73"/>
      <c r="I68" s="29"/>
      <c r="J68" s="29"/>
      <c r="K68" s="73"/>
      <c r="L68" s="73"/>
      <c r="M68" s="73"/>
      <c r="N68" s="67"/>
      <c r="O68" s="67">
        <f t="shared" si="1"/>
        <v>0</v>
      </c>
      <c r="P68" s="67">
        <f t="shared" si="2"/>
        <v>5</v>
      </c>
      <c r="Q68" s="67">
        <f t="shared" si="3"/>
        <v>5348.7</v>
      </c>
      <c r="R68" s="74">
        <f t="shared" si="4"/>
        <v>0</v>
      </c>
      <c r="S68" s="74">
        <f t="shared" si="5"/>
        <v>0</v>
      </c>
      <c r="T68" s="74"/>
      <c r="U68" s="74"/>
      <c r="V68" s="74"/>
      <c r="W68" s="74"/>
      <c r="X68" s="75"/>
      <c r="Y68" s="75">
        <f t="shared" si="6"/>
        <v>0</v>
      </c>
      <c r="Z68" s="76">
        <f t="shared" si="7"/>
        <v>5348.7</v>
      </c>
      <c r="AA68" s="192">
        <f t="shared" si="8"/>
        <v>0</v>
      </c>
    </row>
    <row r="69" spans="2:27" ht="33.75" x14ac:dyDescent="0.25">
      <c r="B69" s="52" t="s">
        <v>173</v>
      </c>
      <c r="C69" s="61" t="s">
        <v>174</v>
      </c>
      <c r="D69" s="55" t="s">
        <v>175</v>
      </c>
      <c r="E69" s="67" t="s">
        <v>5</v>
      </c>
      <c r="F69" s="67">
        <v>2030.34</v>
      </c>
      <c r="G69" s="67">
        <v>1</v>
      </c>
      <c r="H69" s="73"/>
      <c r="I69" s="29"/>
      <c r="J69" s="29"/>
      <c r="K69" s="73"/>
      <c r="L69" s="73"/>
      <c r="M69" s="73"/>
      <c r="N69" s="67"/>
      <c r="O69" s="67">
        <f t="shared" si="1"/>
        <v>0</v>
      </c>
      <c r="P69" s="67">
        <f t="shared" si="2"/>
        <v>1</v>
      </c>
      <c r="Q69" s="67">
        <f t="shared" si="3"/>
        <v>2030.34</v>
      </c>
      <c r="R69" s="74">
        <f t="shared" si="4"/>
        <v>0</v>
      </c>
      <c r="S69" s="74">
        <f t="shared" si="5"/>
        <v>0</v>
      </c>
      <c r="T69" s="74"/>
      <c r="U69" s="74"/>
      <c r="V69" s="74"/>
      <c r="W69" s="74"/>
      <c r="X69" s="75"/>
      <c r="Y69" s="75">
        <f t="shared" si="6"/>
        <v>0</v>
      </c>
      <c r="Z69" s="76">
        <f t="shared" si="7"/>
        <v>2030.34</v>
      </c>
      <c r="AA69" s="192">
        <f t="shared" si="8"/>
        <v>0</v>
      </c>
    </row>
    <row r="70" spans="2:27" ht="33.75" x14ac:dyDescent="0.25">
      <c r="B70" s="52" t="s">
        <v>176</v>
      </c>
      <c r="C70" s="61" t="s">
        <v>177</v>
      </c>
      <c r="D70" s="55" t="s">
        <v>178</v>
      </c>
      <c r="E70" s="67" t="s">
        <v>5</v>
      </c>
      <c r="F70" s="67">
        <v>4697.45</v>
      </c>
      <c r="G70" s="67">
        <v>3</v>
      </c>
      <c r="H70" s="73"/>
      <c r="I70" s="29"/>
      <c r="J70" s="29"/>
      <c r="K70" s="73"/>
      <c r="L70" s="73"/>
      <c r="M70" s="73"/>
      <c r="N70" s="67"/>
      <c r="O70" s="67">
        <f t="shared" si="1"/>
        <v>0</v>
      </c>
      <c r="P70" s="67">
        <f t="shared" si="2"/>
        <v>3</v>
      </c>
      <c r="Q70" s="67">
        <f t="shared" si="3"/>
        <v>14092.349999999999</v>
      </c>
      <c r="R70" s="74">
        <f t="shared" si="4"/>
        <v>0</v>
      </c>
      <c r="S70" s="74">
        <f t="shared" si="5"/>
        <v>0</v>
      </c>
      <c r="T70" s="74"/>
      <c r="U70" s="74"/>
      <c r="V70" s="74"/>
      <c r="W70" s="74"/>
      <c r="X70" s="75"/>
      <c r="Y70" s="75">
        <f t="shared" si="6"/>
        <v>0</v>
      </c>
      <c r="Z70" s="76">
        <f t="shared" si="7"/>
        <v>14092.349999999999</v>
      </c>
      <c r="AA70" s="192">
        <f t="shared" si="8"/>
        <v>0</v>
      </c>
    </row>
    <row r="71" spans="2:27" ht="33.75" x14ac:dyDescent="0.25">
      <c r="B71" s="52" t="s">
        <v>179</v>
      </c>
      <c r="C71" s="60">
        <v>91341</v>
      </c>
      <c r="D71" s="55" t="s">
        <v>181</v>
      </c>
      <c r="E71" s="67" t="s">
        <v>17</v>
      </c>
      <c r="F71" s="67">
        <v>976.37</v>
      </c>
      <c r="G71" s="67">
        <v>12.96</v>
      </c>
      <c r="H71" s="73"/>
      <c r="I71" s="29"/>
      <c r="J71" s="29"/>
      <c r="K71" s="73"/>
      <c r="L71" s="73"/>
      <c r="M71" s="73"/>
      <c r="N71" s="67"/>
      <c r="O71" s="67">
        <f t="shared" si="1"/>
        <v>0</v>
      </c>
      <c r="P71" s="67">
        <f t="shared" si="2"/>
        <v>12.96</v>
      </c>
      <c r="Q71" s="67">
        <f t="shared" si="3"/>
        <v>12653.755200000001</v>
      </c>
      <c r="R71" s="74">
        <f t="shared" si="4"/>
        <v>0</v>
      </c>
      <c r="S71" s="74">
        <f t="shared" si="5"/>
        <v>0</v>
      </c>
      <c r="T71" s="74"/>
      <c r="U71" s="74"/>
      <c r="V71" s="74"/>
      <c r="W71" s="74"/>
      <c r="X71" s="75"/>
      <c r="Y71" s="75">
        <f t="shared" si="6"/>
        <v>0</v>
      </c>
      <c r="Z71" s="76">
        <f t="shared" si="7"/>
        <v>12653.755200000001</v>
      </c>
      <c r="AA71" s="192">
        <f t="shared" si="8"/>
        <v>0</v>
      </c>
    </row>
    <row r="72" spans="2:27" ht="33.75" x14ac:dyDescent="0.25">
      <c r="B72" s="52" t="s">
        <v>182</v>
      </c>
      <c r="C72" s="60">
        <v>100702</v>
      </c>
      <c r="D72" s="55" t="s">
        <v>184</v>
      </c>
      <c r="E72" s="67" t="s">
        <v>17</v>
      </c>
      <c r="F72" s="67">
        <v>579.9</v>
      </c>
      <c r="G72" s="67">
        <v>19.96</v>
      </c>
      <c r="H72" s="73"/>
      <c r="I72" s="29"/>
      <c r="J72" s="29"/>
      <c r="K72" s="73"/>
      <c r="L72" s="73"/>
      <c r="M72" s="73"/>
      <c r="N72" s="67"/>
      <c r="O72" s="67">
        <f t="shared" si="1"/>
        <v>0</v>
      </c>
      <c r="P72" s="67">
        <f t="shared" si="2"/>
        <v>19.96</v>
      </c>
      <c r="Q72" s="67">
        <f t="shared" si="3"/>
        <v>11574.804</v>
      </c>
      <c r="R72" s="74">
        <f t="shared" si="4"/>
        <v>0</v>
      </c>
      <c r="S72" s="74">
        <f t="shared" si="5"/>
        <v>0</v>
      </c>
      <c r="T72" s="74"/>
      <c r="U72" s="74"/>
      <c r="V72" s="74"/>
      <c r="W72" s="74"/>
      <c r="X72" s="75"/>
      <c r="Y72" s="75">
        <f t="shared" si="6"/>
        <v>0</v>
      </c>
      <c r="Z72" s="76">
        <f t="shared" si="7"/>
        <v>11574.804</v>
      </c>
      <c r="AA72" s="192">
        <f t="shared" si="8"/>
        <v>0</v>
      </c>
    </row>
    <row r="73" spans="2:27" ht="45" x14ac:dyDescent="0.25">
      <c r="B73" s="52" t="s">
        <v>185</v>
      </c>
      <c r="C73" s="60">
        <v>90831</v>
      </c>
      <c r="D73" s="55" t="s">
        <v>187</v>
      </c>
      <c r="E73" s="67" t="s">
        <v>166</v>
      </c>
      <c r="F73" s="67">
        <v>137.30000000000001</v>
      </c>
      <c r="G73" s="67">
        <v>8</v>
      </c>
      <c r="H73" s="73"/>
      <c r="I73" s="29"/>
      <c r="J73" s="29"/>
      <c r="K73" s="73"/>
      <c r="L73" s="73"/>
      <c r="M73" s="73"/>
      <c r="N73" s="67"/>
      <c r="O73" s="67">
        <f t="shared" si="1"/>
        <v>0</v>
      </c>
      <c r="P73" s="67">
        <f t="shared" si="2"/>
        <v>8</v>
      </c>
      <c r="Q73" s="67">
        <f t="shared" si="3"/>
        <v>1098.4000000000001</v>
      </c>
      <c r="R73" s="74">
        <f t="shared" si="4"/>
        <v>0</v>
      </c>
      <c r="S73" s="74">
        <f t="shared" si="5"/>
        <v>0</v>
      </c>
      <c r="T73" s="74"/>
      <c r="U73" s="74"/>
      <c r="V73" s="74"/>
      <c r="W73" s="74"/>
      <c r="X73" s="75"/>
      <c r="Y73" s="75">
        <f t="shared" si="6"/>
        <v>0</v>
      </c>
      <c r="Z73" s="76">
        <f t="shared" si="7"/>
        <v>1098.4000000000001</v>
      </c>
      <c r="AA73" s="192">
        <f t="shared" si="8"/>
        <v>0</v>
      </c>
    </row>
    <row r="74" spans="2:27" x14ac:dyDescent="0.25">
      <c r="B74" s="59">
        <v>1.8</v>
      </c>
      <c r="C74" s="63" t="s">
        <v>189</v>
      </c>
      <c r="D74" s="55"/>
      <c r="E74" s="46"/>
      <c r="F74" s="67"/>
      <c r="G74" s="67"/>
      <c r="H74" s="73"/>
      <c r="I74" s="29"/>
      <c r="J74" s="29"/>
      <c r="K74" s="73"/>
      <c r="L74" s="73"/>
      <c r="M74" s="73"/>
      <c r="N74" s="67"/>
      <c r="O74" s="67"/>
      <c r="P74" s="67"/>
      <c r="Q74" s="67"/>
      <c r="R74" s="74">
        <f t="shared" si="4"/>
        <v>0</v>
      </c>
      <c r="S74" s="74">
        <f t="shared" si="5"/>
        <v>0</v>
      </c>
      <c r="T74" s="74"/>
      <c r="U74" s="74"/>
      <c r="V74" s="74"/>
      <c r="W74" s="74"/>
      <c r="X74" s="75"/>
      <c r="Y74" s="75">
        <f t="shared" si="6"/>
        <v>0</v>
      </c>
      <c r="Z74" s="76">
        <f t="shared" si="7"/>
        <v>0</v>
      </c>
      <c r="AA74" s="192"/>
    </row>
    <row r="75" spans="2:27" ht="22.5" x14ac:dyDescent="0.25">
      <c r="B75" s="52" t="s">
        <v>190</v>
      </c>
      <c r="C75" s="60">
        <v>88485</v>
      </c>
      <c r="D75" s="55" t="s">
        <v>192</v>
      </c>
      <c r="E75" s="46" t="s">
        <v>17</v>
      </c>
      <c r="F75" s="67">
        <v>2.74</v>
      </c>
      <c r="G75" s="67">
        <v>997.11</v>
      </c>
      <c r="H75" s="73"/>
      <c r="I75" s="29"/>
      <c r="J75" s="29"/>
      <c r="K75" s="73"/>
      <c r="L75" s="73"/>
      <c r="M75" s="73"/>
      <c r="N75" s="67"/>
      <c r="O75" s="67">
        <f t="shared" si="1"/>
        <v>0</v>
      </c>
      <c r="P75" s="67">
        <f t="shared" si="2"/>
        <v>997.11</v>
      </c>
      <c r="Q75" s="67">
        <f t="shared" si="3"/>
        <v>2732.0814</v>
      </c>
      <c r="R75" s="74">
        <f t="shared" si="4"/>
        <v>0</v>
      </c>
      <c r="S75" s="74">
        <f t="shared" si="5"/>
        <v>0</v>
      </c>
      <c r="T75" s="74"/>
      <c r="U75" s="74"/>
      <c r="V75" s="74"/>
      <c r="W75" s="74"/>
      <c r="X75" s="75"/>
      <c r="Y75" s="75">
        <f t="shared" si="6"/>
        <v>0</v>
      </c>
      <c r="Z75" s="76">
        <f t="shared" si="7"/>
        <v>2732.0814</v>
      </c>
      <c r="AA75" s="192">
        <f t="shared" si="8"/>
        <v>0</v>
      </c>
    </row>
    <row r="76" spans="2:27" ht="22.5" x14ac:dyDescent="0.25">
      <c r="B76" s="52" t="s">
        <v>193</v>
      </c>
      <c r="C76" s="60">
        <v>88495</v>
      </c>
      <c r="D76" s="55" t="s">
        <v>195</v>
      </c>
      <c r="E76" s="46" t="s">
        <v>17</v>
      </c>
      <c r="F76" s="67">
        <v>9.86</v>
      </c>
      <c r="G76" s="67">
        <v>997.11</v>
      </c>
      <c r="H76" s="73"/>
      <c r="I76" s="29"/>
      <c r="J76" s="29"/>
      <c r="K76" s="73"/>
      <c r="L76" s="73"/>
      <c r="M76" s="73"/>
      <c r="N76" s="67"/>
      <c r="O76" s="67">
        <f t="shared" si="1"/>
        <v>0</v>
      </c>
      <c r="P76" s="67">
        <f t="shared" si="2"/>
        <v>997.11</v>
      </c>
      <c r="Q76" s="67">
        <f t="shared" si="3"/>
        <v>9831.5046000000002</v>
      </c>
      <c r="R76" s="74">
        <f t="shared" si="4"/>
        <v>0</v>
      </c>
      <c r="S76" s="74">
        <f t="shared" si="5"/>
        <v>0</v>
      </c>
      <c r="T76" s="74"/>
      <c r="U76" s="74"/>
      <c r="V76" s="74"/>
      <c r="W76" s="74"/>
      <c r="X76" s="75"/>
      <c r="Y76" s="75">
        <f t="shared" si="6"/>
        <v>0</v>
      </c>
      <c r="Z76" s="76">
        <f t="shared" si="7"/>
        <v>9831.5046000000002</v>
      </c>
      <c r="AA76" s="192">
        <f t="shared" si="8"/>
        <v>0</v>
      </c>
    </row>
    <row r="77" spans="2:27" ht="22.5" x14ac:dyDescent="0.25">
      <c r="B77" s="52" t="s">
        <v>196</v>
      </c>
      <c r="C77" s="60">
        <v>88489</v>
      </c>
      <c r="D77" s="55" t="s">
        <v>198</v>
      </c>
      <c r="E77" s="46" t="s">
        <v>17</v>
      </c>
      <c r="F77" s="67">
        <v>12.16</v>
      </c>
      <c r="G77" s="67">
        <v>997.11</v>
      </c>
      <c r="H77" s="73"/>
      <c r="I77" s="29"/>
      <c r="J77" s="29"/>
      <c r="K77" s="73"/>
      <c r="L77" s="73"/>
      <c r="M77" s="73"/>
      <c r="N77" s="67"/>
      <c r="O77" s="67">
        <f t="shared" si="1"/>
        <v>0</v>
      </c>
      <c r="P77" s="67">
        <f t="shared" si="2"/>
        <v>997.11</v>
      </c>
      <c r="Q77" s="67">
        <f t="shared" si="3"/>
        <v>12124.857600000001</v>
      </c>
      <c r="R77" s="74">
        <f t="shared" si="4"/>
        <v>0</v>
      </c>
      <c r="S77" s="74">
        <f t="shared" si="5"/>
        <v>0</v>
      </c>
      <c r="T77" s="74"/>
      <c r="U77" s="74"/>
      <c r="V77" s="74"/>
      <c r="W77" s="74"/>
      <c r="X77" s="75"/>
      <c r="Y77" s="75">
        <f t="shared" si="6"/>
        <v>0</v>
      </c>
      <c r="Z77" s="76">
        <f t="shared" si="7"/>
        <v>12124.857600000001</v>
      </c>
      <c r="AA77" s="192">
        <f t="shared" si="8"/>
        <v>0</v>
      </c>
    </row>
    <row r="78" spans="2:27" ht="22.5" x14ac:dyDescent="0.25">
      <c r="B78" s="52" t="s">
        <v>199</v>
      </c>
      <c r="C78" s="60">
        <v>88484</v>
      </c>
      <c r="D78" s="55" t="s">
        <v>201</v>
      </c>
      <c r="E78" s="46" t="s">
        <v>17</v>
      </c>
      <c r="F78" s="67">
        <v>3.1</v>
      </c>
      <c r="G78" s="67">
        <v>634.5</v>
      </c>
      <c r="H78" s="73"/>
      <c r="I78" s="29"/>
      <c r="J78" s="29"/>
      <c r="K78" s="73"/>
      <c r="L78" s="73"/>
      <c r="M78" s="73"/>
      <c r="N78" s="67"/>
      <c r="O78" s="67">
        <f t="shared" si="1"/>
        <v>0</v>
      </c>
      <c r="P78" s="67">
        <f t="shared" si="2"/>
        <v>634.5</v>
      </c>
      <c r="Q78" s="67">
        <f t="shared" si="3"/>
        <v>1966.95</v>
      </c>
      <c r="R78" s="74">
        <f t="shared" si="4"/>
        <v>0</v>
      </c>
      <c r="S78" s="74">
        <f t="shared" si="5"/>
        <v>0</v>
      </c>
      <c r="T78" s="74"/>
      <c r="U78" s="74"/>
      <c r="V78" s="74"/>
      <c r="W78" s="74"/>
      <c r="X78" s="75"/>
      <c r="Y78" s="75">
        <f t="shared" si="6"/>
        <v>0</v>
      </c>
      <c r="Z78" s="76">
        <f t="shared" si="7"/>
        <v>1966.95</v>
      </c>
      <c r="AA78" s="192">
        <f t="shared" si="8"/>
        <v>0</v>
      </c>
    </row>
    <row r="79" spans="2:27" ht="22.5" x14ac:dyDescent="0.25">
      <c r="B79" s="52" t="s">
        <v>202</v>
      </c>
      <c r="C79" s="60">
        <v>88494</v>
      </c>
      <c r="D79" s="55" t="s">
        <v>204</v>
      </c>
      <c r="E79" s="46" t="s">
        <v>17</v>
      </c>
      <c r="F79" s="67">
        <v>17.43</v>
      </c>
      <c r="G79" s="67">
        <v>634.5</v>
      </c>
      <c r="H79" s="73"/>
      <c r="I79" s="29"/>
      <c r="J79" s="29"/>
      <c r="K79" s="73"/>
      <c r="L79" s="73"/>
      <c r="M79" s="73"/>
      <c r="N79" s="67"/>
      <c r="O79" s="67">
        <f t="shared" ref="O79:O142" si="9">H79+I79+J79+K79+L79+M79+N79</f>
        <v>0</v>
      </c>
      <c r="P79" s="67">
        <f t="shared" ref="P79:P142" si="10">G79-O79</f>
        <v>634.5</v>
      </c>
      <c r="Q79" s="67">
        <f t="shared" ref="Q79:Q142" si="11">F79*G79</f>
        <v>11059.334999999999</v>
      </c>
      <c r="R79" s="74">
        <f t="shared" ref="R79:R142" si="12">F79*H79</f>
        <v>0</v>
      </c>
      <c r="S79" s="74">
        <f t="shared" ref="S79:S142" si="13">F79*I79</f>
        <v>0</v>
      </c>
      <c r="T79" s="74"/>
      <c r="U79" s="74"/>
      <c r="V79" s="74"/>
      <c r="W79" s="74"/>
      <c r="X79" s="75"/>
      <c r="Y79" s="75">
        <f t="shared" ref="Y79:Y142" si="14">R79+S79+T79+U79+V79+W79</f>
        <v>0</v>
      </c>
      <c r="Z79" s="76">
        <f t="shared" ref="Z79:Z142" si="15">Q79-Y79</f>
        <v>11059.334999999999</v>
      </c>
      <c r="AA79" s="192">
        <f t="shared" ref="AA79:AA142" si="16">Y79/Q79</f>
        <v>0</v>
      </c>
    </row>
    <row r="80" spans="2:27" ht="22.5" x14ac:dyDescent="0.25">
      <c r="B80" s="52" t="s">
        <v>205</v>
      </c>
      <c r="C80" s="60">
        <v>88488</v>
      </c>
      <c r="D80" s="55" t="s">
        <v>207</v>
      </c>
      <c r="E80" s="46" t="s">
        <v>17</v>
      </c>
      <c r="F80" s="67">
        <v>13.74</v>
      </c>
      <c r="G80" s="67">
        <v>634.5</v>
      </c>
      <c r="H80" s="73"/>
      <c r="I80" s="29"/>
      <c r="J80" s="29"/>
      <c r="K80" s="73"/>
      <c r="L80" s="73"/>
      <c r="M80" s="73"/>
      <c r="N80" s="67"/>
      <c r="O80" s="67">
        <f t="shared" si="9"/>
        <v>0</v>
      </c>
      <c r="P80" s="67">
        <f t="shared" si="10"/>
        <v>634.5</v>
      </c>
      <c r="Q80" s="67">
        <f t="shared" si="11"/>
        <v>8718.0300000000007</v>
      </c>
      <c r="R80" s="74">
        <f t="shared" si="12"/>
        <v>0</v>
      </c>
      <c r="S80" s="74">
        <f t="shared" si="13"/>
        <v>0</v>
      </c>
      <c r="T80" s="74"/>
      <c r="U80" s="74"/>
      <c r="V80" s="74"/>
      <c r="W80" s="74"/>
      <c r="X80" s="75"/>
      <c r="Y80" s="75">
        <f t="shared" si="14"/>
        <v>0</v>
      </c>
      <c r="Z80" s="76">
        <f t="shared" si="15"/>
        <v>8718.0300000000007</v>
      </c>
      <c r="AA80" s="192">
        <f t="shared" si="16"/>
        <v>0</v>
      </c>
    </row>
    <row r="81" spans="2:27" ht="14.45" customHeight="1" x14ac:dyDescent="0.25">
      <c r="B81" s="54" t="s">
        <v>208</v>
      </c>
      <c r="C81" s="68" t="s">
        <v>209</v>
      </c>
      <c r="D81" s="56"/>
      <c r="E81" s="47"/>
      <c r="F81" s="78"/>
      <c r="G81" s="78"/>
      <c r="H81" s="79"/>
      <c r="I81" s="31"/>
      <c r="J81" s="31"/>
      <c r="K81" s="79"/>
      <c r="L81" s="79"/>
      <c r="M81" s="79"/>
      <c r="N81" s="78"/>
      <c r="O81" s="67"/>
      <c r="P81" s="67"/>
      <c r="Q81" s="67"/>
      <c r="R81" s="74">
        <f t="shared" si="12"/>
        <v>0</v>
      </c>
      <c r="S81" s="74">
        <f t="shared" si="13"/>
        <v>0</v>
      </c>
      <c r="T81" s="80"/>
      <c r="U81" s="80"/>
      <c r="V81" s="80"/>
      <c r="W81" s="74"/>
      <c r="X81" s="81"/>
      <c r="Y81" s="75">
        <f t="shared" si="14"/>
        <v>0</v>
      </c>
      <c r="Z81" s="76">
        <f t="shared" si="15"/>
        <v>0</v>
      </c>
      <c r="AA81" s="192"/>
    </row>
    <row r="82" spans="2:27" ht="45" x14ac:dyDescent="0.25">
      <c r="B82" s="52" t="s">
        <v>210</v>
      </c>
      <c r="C82" s="60">
        <v>87894</v>
      </c>
      <c r="D82" s="55" t="s">
        <v>212</v>
      </c>
      <c r="E82" s="46" t="s">
        <v>17</v>
      </c>
      <c r="F82" s="67">
        <v>5.72</v>
      </c>
      <c r="G82" s="67">
        <v>466.37</v>
      </c>
      <c r="H82" s="73"/>
      <c r="I82" s="29"/>
      <c r="J82" s="29"/>
      <c r="K82" s="73"/>
      <c r="L82" s="73"/>
      <c r="M82" s="73"/>
      <c r="N82" s="67"/>
      <c r="O82" s="67">
        <f t="shared" si="9"/>
        <v>0</v>
      </c>
      <c r="P82" s="67">
        <f t="shared" si="10"/>
        <v>466.37</v>
      </c>
      <c r="Q82" s="67">
        <f t="shared" si="11"/>
        <v>2667.6363999999999</v>
      </c>
      <c r="R82" s="74">
        <f t="shared" si="12"/>
        <v>0</v>
      </c>
      <c r="S82" s="74">
        <f t="shared" si="13"/>
        <v>0</v>
      </c>
      <c r="T82" s="74"/>
      <c r="U82" s="74"/>
      <c r="V82" s="74"/>
      <c r="W82" s="74"/>
      <c r="X82" s="75"/>
      <c r="Y82" s="75">
        <f t="shared" si="14"/>
        <v>0</v>
      </c>
      <c r="Z82" s="76">
        <f t="shared" si="15"/>
        <v>2667.6363999999999</v>
      </c>
      <c r="AA82" s="192">
        <f t="shared" si="16"/>
        <v>0</v>
      </c>
    </row>
    <row r="83" spans="2:27" ht="56.25" x14ac:dyDescent="0.25">
      <c r="B83" s="52" t="s">
        <v>213</v>
      </c>
      <c r="C83" s="60">
        <v>104233</v>
      </c>
      <c r="D83" s="55" t="s">
        <v>215</v>
      </c>
      <c r="E83" s="46" t="s">
        <v>17</v>
      </c>
      <c r="F83" s="67">
        <v>31.53</v>
      </c>
      <c r="G83" s="67">
        <v>466.37</v>
      </c>
      <c r="H83" s="73"/>
      <c r="I83" s="29"/>
      <c r="J83" s="29"/>
      <c r="K83" s="73"/>
      <c r="L83" s="73"/>
      <c r="M83" s="73"/>
      <c r="N83" s="67"/>
      <c r="O83" s="67">
        <f t="shared" si="9"/>
        <v>0</v>
      </c>
      <c r="P83" s="67">
        <f t="shared" si="10"/>
        <v>466.37</v>
      </c>
      <c r="Q83" s="67">
        <f t="shared" si="11"/>
        <v>14704.6461</v>
      </c>
      <c r="R83" s="74">
        <f t="shared" si="12"/>
        <v>0</v>
      </c>
      <c r="S83" s="74">
        <f t="shared" si="13"/>
        <v>0</v>
      </c>
      <c r="T83" s="74"/>
      <c r="U83" s="74"/>
      <c r="V83" s="74"/>
      <c r="W83" s="74"/>
      <c r="X83" s="75"/>
      <c r="Y83" s="75">
        <f t="shared" si="14"/>
        <v>0</v>
      </c>
      <c r="Z83" s="76">
        <f t="shared" si="15"/>
        <v>14704.6461</v>
      </c>
      <c r="AA83" s="192">
        <f t="shared" si="16"/>
        <v>0</v>
      </c>
    </row>
    <row r="84" spans="2:27" ht="33.75" x14ac:dyDescent="0.25">
      <c r="B84" s="52" t="s">
        <v>216</v>
      </c>
      <c r="C84" s="61" t="s">
        <v>217</v>
      </c>
      <c r="D84" s="64" t="s">
        <v>218</v>
      </c>
      <c r="E84" s="46" t="s">
        <v>17</v>
      </c>
      <c r="F84" s="46">
        <v>154.75</v>
      </c>
      <c r="G84" s="67">
        <v>32.5</v>
      </c>
      <c r="H84" s="77"/>
      <c r="I84" s="77"/>
      <c r="J84" s="29"/>
      <c r="K84" s="77"/>
      <c r="L84" s="77"/>
      <c r="M84" s="77"/>
      <c r="N84" s="77"/>
      <c r="O84" s="67">
        <f t="shared" si="9"/>
        <v>0</v>
      </c>
      <c r="P84" s="67">
        <f t="shared" si="10"/>
        <v>32.5</v>
      </c>
      <c r="Q84" s="67">
        <f t="shared" si="11"/>
        <v>5029.375</v>
      </c>
      <c r="R84" s="74">
        <f t="shared" si="12"/>
        <v>0</v>
      </c>
      <c r="S84" s="74">
        <f t="shared" si="13"/>
        <v>0</v>
      </c>
      <c r="T84" s="74"/>
      <c r="U84" s="74"/>
      <c r="V84" s="74"/>
      <c r="W84" s="74"/>
      <c r="X84" s="75"/>
      <c r="Y84" s="75">
        <f t="shared" si="14"/>
        <v>0</v>
      </c>
      <c r="Z84" s="76">
        <f t="shared" si="15"/>
        <v>5029.375</v>
      </c>
      <c r="AA84" s="192">
        <f t="shared" si="16"/>
        <v>0</v>
      </c>
    </row>
    <row r="85" spans="2:27" ht="33.75" x14ac:dyDescent="0.25">
      <c r="B85" s="53" t="s">
        <v>219</v>
      </c>
      <c r="C85" s="62" t="s">
        <v>220</v>
      </c>
      <c r="D85" s="56" t="s">
        <v>221</v>
      </c>
      <c r="E85" s="47" t="s">
        <v>222</v>
      </c>
      <c r="F85" s="78">
        <v>228.6</v>
      </c>
      <c r="G85" s="78">
        <v>29.5</v>
      </c>
      <c r="H85" s="79"/>
      <c r="I85" s="79"/>
      <c r="J85" s="31"/>
      <c r="K85" s="79"/>
      <c r="L85" s="79"/>
      <c r="M85" s="79"/>
      <c r="N85" s="78"/>
      <c r="O85" s="67">
        <f t="shared" si="9"/>
        <v>0</v>
      </c>
      <c r="P85" s="67">
        <f t="shared" si="10"/>
        <v>29.5</v>
      </c>
      <c r="Q85" s="67">
        <f t="shared" si="11"/>
        <v>6743.7</v>
      </c>
      <c r="R85" s="74">
        <f t="shared" si="12"/>
        <v>0</v>
      </c>
      <c r="S85" s="74">
        <f t="shared" si="13"/>
        <v>0</v>
      </c>
      <c r="T85" s="80"/>
      <c r="U85" s="80"/>
      <c r="V85" s="80"/>
      <c r="W85" s="74"/>
      <c r="X85" s="81"/>
      <c r="Y85" s="75">
        <f t="shared" si="14"/>
        <v>0</v>
      </c>
      <c r="Z85" s="76">
        <f t="shared" si="15"/>
        <v>6743.7</v>
      </c>
      <c r="AA85" s="192">
        <f t="shared" si="16"/>
        <v>0</v>
      </c>
    </row>
    <row r="86" spans="2:27" ht="22.5" x14ac:dyDescent="0.25">
      <c r="B86" s="53" t="s">
        <v>223</v>
      </c>
      <c r="C86" s="69">
        <v>88485</v>
      </c>
      <c r="D86" s="56" t="s">
        <v>192</v>
      </c>
      <c r="E86" s="47" t="s">
        <v>17</v>
      </c>
      <c r="F86" s="78">
        <v>2.74</v>
      </c>
      <c r="G86" s="78">
        <v>404.37</v>
      </c>
      <c r="H86" s="79"/>
      <c r="I86" s="79"/>
      <c r="J86" s="31"/>
      <c r="K86" s="79"/>
      <c r="L86" s="79"/>
      <c r="M86" s="79"/>
      <c r="N86" s="78"/>
      <c r="O86" s="67">
        <f t="shared" si="9"/>
        <v>0</v>
      </c>
      <c r="P86" s="67">
        <f t="shared" si="10"/>
        <v>404.37</v>
      </c>
      <c r="Q86" s="67">
        <f t="shared" si="11"/>
        <v>1107.9738000000002</v>
      </c>
      <c r="R86" s="74">
        <f t="shared" si="12"/>
        <v>0</v>
      </c>
      <c r="S86" s="74">
        <f t="shared" si="13"/>
        <v>0</v>
      </c>
      <c r="T86" s="80"/>
      <c r="U86" s="80"/>
      <c r="V86" s="80"/>
      <c r="W86" s="74"/>
      <c r="X86" s="81"/>
      <c r="Y86" s="75">
        <f t="shared" si="14"/>
        <v>0</v>
      </c>
      <c r="Z86" s="76">
        <f t="shared" si="15"/>
        <v>1107.9738000000002</v>
      </c>
      <c r="AA86" s="192">
        <f t="shared" si="16"/>
        <v>0</v>
      </c>
    </row>
    <row r="87" spans="2:27" ht="22.5" x14ac:dyDescent="0.25">
      <c r="B87" s="53" t="s">
        <v>224</v>
      </c>
      <c r="C87" s="69">
        <v>96130</v>
      </c>
      <c r="D87" s="56" t="s">
        <v>226</v>
      </c>
      <c r="E87" s="47" t="s">
        <v>17</v>
      </c>
      <c r="F87" s="78">
        <v>17.11</v>
      </c>
      <c r="G87" s="78">
        <v>404.37</v>
      </c>
      <c r="H87" s="79"/>
      <c r="I87" s="79"/>
      <c r="J87" s="31"/>
      <c r="K87" s="79"/>
      <c r="L87" s="79"/>
      <c r="M87" s="79"/>
      <c r="N87" s="78"/>
      <c r="O87" s="67">
        <f t="shared" si="9"/>
        <v>0</v>
      </c>
      <c r="P87" s="67">
        <f t="shared" si="10"/>
        <v>404.37</v>
      </c>
      <c r="Q87" s="67">
        <f t="shared" si="11"/>
        <v>6918.7707</v>
      </c>
      <c r="R87" s="74">
        <f t="shared" si="12"/>
        <v>0</v>
      </c>
      <c r="S87" s="74">
        <f t="shared" si="13"/>
        <v>0</v>
      </c>
      <c r="T87" s="80"/>
      <c r="U87" s="80"/>
      <c r="V87" s="80"/>
      <c r="W87" s="74"/>
      <c r="X87" s="81"/>
      <c r="Y87" s="75">
        <f t="shared" si="14"/>
        <v>0</v>
      </c>
      <c r="Z87" s="76">
        <f t="shared" si="15"/>
        <v>6918.7707</v>
      </c>
      <c r="AA87" s="192">
        <f t="shared" si="16"/>
        <v>0</v>
      </c>
    </row>
    <row r="88" spans="2:27" ht="22.5" x14ac:dyDescent="0.25">
      <c r="B88" s="53" t="s">
        <v>227</v>
      </c>
      <c r="C88" s="69">
        <v>88489</v>
      </c>
      <c r="D88" s="56" t="s">
        <v>198</v>
      </c>
      <c r="E88" s="47" t="s">
        <v>17</v>
      </c>
      <c r="F88" s="78">
        <v>12.16</v>
      </c>
      <c r="G88" s="78">
        <v>404.37</v>
      </c>
      <c r="H88" s="79"/>
      <c r="I88" s="79"/>
      <c r="J88" s="31"/>
      <c r="K88" s="79"/>
      <c r="L88" s="79"/>
      <c r="M88" s="79"/>
      <c r="N88" s="78"/>
      <c r="O88" s="67">
        <f t="shared" si="9"/>
        <v>0</v>
      </c>
      <c r="P88" s="67">
        <f t="shared" si="10"/>
        <v>404.37</v>
      </c>
      <c r="Q88" s="67">
        <f t="shared" si="11"/>
        <v>4917.1392000000005</v>
      </c>
      <c r="R88" s="74">
        <f t="shared" si="12"/>
        <v>0</v>
      </c>
      <c r="S88" s="74">
        <f t="shared" si="13"/>
        <v>0</v>
      </c>
      <c r="T88" s="80"/>
      <c r="U88" s="80"/>
      <c r="V88" s="80"/>
      <c r="W88" s="74"/>
      <c r="X88" s="81"/>
      <c r="Y88" s="75">
        <f t="shared" si="14"/>
        <v>0</v>
      </c>
      <c r="Z88" s="76">
        <f t="shared" si="15"/>
        <v>4917.1392000000005</v>
      </c>
      <c r="AA88" s="192">
        <f t="shared" si="16"/>
        <v>0</v>
      </c>
    </row>
    <row r="89" spans="2:27" ht="14.45" customHeight="1" x14ac:dyDescent="0.25">
      <c r="B89" s="68">
        <v>1.1000000000000001</v>
      </c>
      <c r="C89" s="68" t="s">
        <v>229</v>
      </c>
      <c r="D89" s="56"/>
      <c r="E89" s="47"/>
      <c r="F89" s="78"/>
      <c r="G89" s="78"/>
      <c r="H89" s="79"/>
      <c r="I89" s="79"/>
      <c r="J89" s="31"/>
      <c r="K89" s="79"/>
      <c r="L89" s="79"/>
      <c r="M89" s="79"/>
      <c r="N89" s="78"/>
      <c r="O89" s="67"/>
      <c r="P89" s="67"/>
      <c r="Q89" s="67"/>
      <c r="R89" s="74">
        <f t="shared" si="12"/>
        <v>0</v>
      </c>
      <c r="S89" s="74">
        <f t="shared" si="13"/>
        <v>0</v>
      </c>
      <c r="T89" s="80"/>
      <c r="U89" s="80"/>
      <c r="V89" s="80"/>
      <c r="W89" s="74"/>
      <c r="X89" s="81"/>
      <c r="Y89" s="75">
        <f t="shared" si="14"/>
        <v>0</v>
      </c>
      <c r="Z89" s="76">
        <f t="shared" si="15"/>
        <v>0</v>
      </c>
      <c r="AA89" s="192"/>
    </row>
    <row r="90" spans="2:27" ht="33.75" x14ac:dyDescent="0.25">
      <c r="B90" s="53" t="s">
        <v>230</v>
      </c>
      <c r="C90" s="69">
        <v>92868</v>
      </c>
      <c r="D90" s="56" t="s">
        <v>232</v>
      </c>
      <c r="E90" s="72" t="s">
        <v>166</v>
      </c>
      <c r="F90" s="72">
        <v>13.45</v>
      </c>
      <c r="G90" s="78">
        <v>117</v>
      </c>
      <c r="H90" s="79"/>
      <c r="I90" s="79"/>
      <c r="J90" s="31"/>
      <c r="K90" s="79"/>
      <c r="L90" s="79"/>
      <c r="M90" s="79"/>
      <c r="N90" s="78"/>
      <c r="O90" s="67">
        <f t="shared" si="9"/>
        <v>0</v>
      </c>
      <c r="P90" s="67">
        <f t="shared" si="10"/>
        <v>117</v>
      </c>
      <c r="Q90" s="67">
        <f t="shared" si="11"/>
        <v>1573.6499999999999</v>
      </c>
      <c r="R90" s="74">
        <f t="shared" si="12"/>
        <v>0</v>
      </c>
      <c r="S90" s="74">
        <f t="shared" si="13"/>
        <v>0</v>
      </c>
      <c r="T90" s="80"/>
      <c r="U90" s="80"/>
      <c r="V90" s="80"/>
      <c r="W90" s="74"/>
      <c r="X90" s="81"/>
      <c r="Y90" s="75">
        <f t="shared" si="14"/>
        <v>0</v>
      </c>
      <c r="Z90" s="76">
        <f t="shared" si="15"/>
        <v>1573.6499999999999</v>
      </c>
      <c r="AA90" s="192">
        <f t="shared" si="16"/>
        <v>0</v>
      </c>
    </row>
    <row r="91" spans="2:27" ht="22.5" x14ac:dyDescent="0.25">
      <c r="B91" s="53" t="s">
        <v>233</v>
      </c>
      <c r="C91" s="69">
        <v>91937</v>
      </c>
      <c r="D91" s="56" t="s">
        <v>235</v>
      </c>
      <c r="E91" s="72" t="s">
        <v>166</v>
      </c>
      <c r="F91" s="72">
        <v>11.14</v>
      </c>
      <c r="G91" s="78">
        <v>76</v>
      </c>
      <c r="H91" s="79"/>
      <c r="I91" s="79"/>
      <c r="J91" s="31"/>
      <c r="K91" s="79"/>
      <c r="L91" s="79"/>
      <c r="M91" s="79"/>
      <c r="N91" s="78"/>
      <c r="O91" s="67">
        <f t="shared" si="9"/>
        <v>0</v>
      </c>
      <c r="P91" s="67">
        <f t="shared" si="10"/>
        <v>76</v>
      </c>
      <c r="Q91" s="67">
        <f t="shared" si="11"/>
        <v>846.6400000000001</v>
      </c>
      <c r="R91" s="74">
        <f t="shared" si="12"/>
        <v>0</v>
      </c>
      <c r="S91" s="74">
        <f t="shared" si="13"/>
        <v>0</v>
      </c>
      <c r="T91" s="80"/>
      <c r="U91" s="80"/>
      <c r="V91" s="80"/>
      <c r="W91" s="74"/>
      <c r="X91" s="81"/>
      <c r="Y91" s="75">
        <f t="shared" si="14"/>
        <v>0</v>
      </c>
      <c r="Z91" s="76">
        <f t="shared" si="15"/>
        <v>846.6400000000001</v>
      </c>
      <c r="AA91" s="192">
        <f t="shared" si="16"/>
        <v>0</v>
      </c>
    </row>
    <row r="92" spans="2:27" ht="33.75" x14ac:dyDescent="0.25">
      <c r="B92" s="53" t="s">
        <v>236</v>
      </c>
      <c r="C92" s="69">
        <v>91924</v>
      </c>
      <c r="D92" s="56" t="s">
        <v>238</v>
      </c>
      <c r="E92" s="72" t="s">
        <v>37</v>
      </c>
      <c r="F92" s="72">
        <v>2.7</v>
      </c>
      <c r="G92" s="78">
        <v>1253.8</v>
      </c>
      <c r="H92" s="79"/>
      <c r="I92" s="79"/>
      <c r="J92" s="31"/>
      <c r="K92" s="79"/>
      <c r="L92" s="79"/>
      <c r="M92" s="79"/>
      <c r="N92" s="78"/>
      <c r="O92" s="67">
        <f t="shared" si="9"/>
        <v>0</v>
      </c>
      <c r="P92" s="67">
        <f t="shared" si="10"/>
        <v>1253.8</v>
      </c>
      <c r="Q92" s="67">
        <f t="shared" si="11"/>
        <v>3385.26</v>
      </c>
      <c r="R92" s="74">
        <f t="shared" si="12"/>
        <v>0</v>
      </c>
      <c r="S92" s="74">
        <f t="shared" si="13"/>
        <v>0</v>
      </c>
      <c r="T92" s="80"/>
      <c r="U92" s="80"/>
      <c r="V92" s="80"/>
      <c r="W92" s="74"/>
      <c r="X92" s="81"/>
      <c r="Y92" s="75">
        <f t="shared" si="14"/>
        <v>0</v>
      </c>
      <c r="Z92" s="76">
        <f t="shared" si="15"/>
        <v>3385.26</v>
      </c>
      <c r="AA92" s="192">
        <f t="shared" si="16"/>
        <v>0</v>
      </c>
    </row>
    <row r="93" spans="2:27" ht="33.75" x14ac:dyDescent="0.25">
      <c r="B93" s="53" t="s">
        <v>239</v>
      </c>
      <c r="C93" s="69">
        <v>91926</v>
      </c>
      <c r="D93" s="56" t="s">
        <v>241</v>
      </c>
      <c r="E93" s="72" t="s">
        <v>37</v>
      </c>
      <c r="F93" s="72">
        <v>3.98</v>
      </c>
      <c r="G93" s="78">
        <v>1496.3</v>
      </c>
      <c r="H93" s="79"/>
      <c r="I93" s="79"/>
      <c r="J93" s="31"/>
      <c r="K93" s="79"/>
      <c r="L93" s="79"/>
      <c r="M93" s="79"/>
      <c r="N93" s="78"/>
      <c r="O93" s="67">
        <f t="shared" si="9"/>
        <v>0</v>
      </c>
      <c r="P93" s="67">
        <f t="shared" si="10"/>
        <v>1496.3</v>
      </c>
      <c r="Q93" s="67">
        <f t="shared" si="11"/>
        <v>5955.2739999999994</v>
      </c>
      <c r="R93" s="74">
        <f t="shared" si="12"/>
        <v>0</v>
      </c>
      <c r="S93" s="74">
        <f t="shared" si="13"/>
        <v>0</v>
      </c>
      <c r="T93" s="80"/>
      <c r="U93" s="80"/>
      <c r="V93" s="80"/>
      <c r="W93" s="74"/>
      <c r="X93" s="81"/>
      <c r="Y93" s="75">
        <f t="shared" si="14"/>
        <v>0</v>
      </c>
      <c r="Z93" s="76">
        <f t="shared" si="15"/>
        <v>5955.2739999999994</v>
      </c>
      <c r="AA93" s="192">
        <f t="shared" si="16"/>
        <v>0</v>
      </c>
    </row>
    <row r="94" spans="2:27" ht="33.75" x14ac:dyDescent="0.25">
      <c r="B94" s="53" t="s">
        <v>242</v>
      </c>
      <c r="C94" s="69">
        <v>91928</v>
      </c>
      <c r="D94" s="70" t="s">
        <v>244</v>
      </c>
      <c r="E94" s="72" t="s">
        <v>37</v>
      </c>
      <c r="F94" s="72">
        <v>6.23</v>
      </c>
      <c r="G94" s="78">
        <v>284.60000000000002</v>
      </c>
      <c r="H94" s="82"/>
      <c r="I94" s="82"/>
      <c r="J94" s="31"/>
      <c r="K94" s="82"/>
      <c r="L94" s="82"/>
      <c r="M94" s="82"/>
      <c r="N94" s="82"/>
      <c r="O94" s="67">
        <f t="shared" si="9"/>
        <v>0</v>
      </c>
      <c r="P94" s="67">
        <f t="shared" si="10"/>
        <v>284.60000000000002</v>
      </c>
      <c r="Q94" s="67">
        <f t="shared" si="11"/>
        <v>1773.0580000000002</v>
      </c>
      <c r="R94" s="74">
        <f t="shared" si="12"/>
        <v>0</v>
      </c>
      <c r="S94" s="74">
        <f t="shared" si="13"/>
        <v>0</v>
      </c>
      <c r="T94" s="80"/>
      <c r="U94" s="80"/>
      <c r="V94" s="80"/>
      <c r="W94" s="74"/>
      <c r="X94" s="81"/>
      <c r="Y94" s="75">
        <f t="shared" si="14"/>
        <v>0</v>
      </c>
      <c r="Z94" s="76">
        <f t="shared" si="15"/>
        <v>1773.0580000000002</v>
      </c>
      <c r="AA94" s="192">
        <f t="shared" si="16"/>
        <v>0</v>
      </c>
    </row>
    <row r="95" spans="2:27" ht="33.75" x14ac:dyDescent="0.25">
      <c r="B95" s="53" t="s">
        <v>245</v>
      </c>
      <c r="C95" s="69">
        <v>91931</v>
      </c>
      <c r="D95" s="56" t="s">
        <v>247</v>
      </c>
      <c r="E95" s="72" t="s">
        <v>37</v>
      </c>
      <c r="F95" s="72">
        <v>9.51</v>
      </c>
      <c r="G95" s="78">
        <v>224</v>
      </c>
      <c r="H95" s="79"/>
      <c r="I95" s="79"/>
      <c r="J95" s="31"/>
      <c r="K95" s="79"/>
      <c r="L95" s="79"/>
      <c r="M95" s="79"/>
      <c r="N95" s="78"/>
      <c r="O95" s="67">
        <f t="shared" si="9"/>
        <v>0</v>
      </c>
      <c r="P95" s="67">
        <f t="shared" si="10"/>
        <v>224</v>
      </c>
      <c r="Q95" s="67">
        <f t="shared" si="11"/>
        <v>2130.2399999999998</v>
      </c>
      <c r="R95" s="74">
        <f t="shared" si="12"/>
        <v>0</v>
      </c>
      <c r="S95" s="74">
        <f t="shared" si="13"/>
        <v>0</v>
      </c>
      <c r="T95" s="80"/>
      <c r="U95" s="80"/>
      <c r="V95" s="80"/>
      <c r="W95" s="74"/>
      <c r="X95" s="81"/>
      <c r="Y95" s="75">
        <f t="shared" si="14"/>
        <v>0</v>
      </c>
      <c r="Z95" s="76">
        <f t="shared" si="15"/>
        <v>2130.2399999999998</v>
      </c>
      <c r="AA95" s="192">
        <f t="shared" si="16"/>
        <v>0</v>
      </c>
    </row>
    <row r="96" spans="2:27" ht="22.5" x14ac:dyDescent="0.25">
      <c r="B96" s="53" t="s">
        <v>248</v>
      </c>
      <c r="C96" s="69">
        <v>39773</v>
      </c>
      <c r="D96" s="56" t="s">
        <v>250</v>
      </c>
      <c r="E96" s="72" t="s">
        <v>166</v>
      </c>
      <c r="F96" s="72">
        <v>101.17</v>
      </c>
      <c r="G96" s="78">
        <v>2</v>
      </c>
      <c r="H96" s="79"/>
      <c r="I96" s="79"/>
      <c r="J96" s="31"/>
      <c r="K96" s="79"/>
      <c r="L96" s="79"/>
      <c r="M96" s="79"/>
      <c r="N96" s="78"/>
      <c r="O96" s="67">
        <f t="shared" si="9"/>
        <v>0</v>
      </c>
      <c r="P96" s="67">
        <f t="shared" si="10"/>
        <v>2</v>
      </c>
      <c r="Q96" s="67">
        <f t="shared" si="11"/>
        <v>202.34</v>
      </c>
      <c r="R96" s="74">
        <f t="shared" si="12"/>
        <v>0</v>
      </c>
      <c r="S96" s="74">
        <f t="shared" si="13"/>
        <v>0</v>
      </c>
      <c r="T96" s="80"/>
      <c r="U96" s="80"/>
      <c r="V96" s="80"/>
      <c r="W96" s="74"/>
      <c r="X96" s="81"/>
      <c r="Y96" s="75">
        <f t="shared" si="14"/>
        <v>0</v>
      </c>
      <c r="Z96" s="76">
        <f t="shared" si="15"/>
        <v>202.34</v>
      </c>
      <c r="AA96" s="192">
        <f t="shared" si="16"/>
        <v>0</v>
      </c>
    </row>
    <row r="97" spans="2:27" ht="22.5" x14ac:dyDescent="0.25">
      <c r="B97" s="53" t="s">
        <v>251</v>
      </c>
      <c r="C97" s="69">
        <v>101890</v>
      </c>
      <c r="D97" s="56" t="s">
        <v>253</v>
      </c>
      <c r="E97" s="72" t="s">
        <v>166</v>
      </c>
      <c r="F97" s="72">
        <v>15.35</v>
      </c>
      <c r="G97" s="78">
        <v>19</v>
      </c>
      <c r="H97" s="79"/>
      <c r="I97" s="79"/>
      <c r="J97" s="31"/>
      <c r="K97" s="79"/>
      <c r="L97" s="79"/>
      <c r="M97" s="79"/>
      <c r="N97" s="78"/>
      <c r="O97" s="67">
        <f t="shared" si="9"/>
        <v>0</v>
      </c>
      <c r="P97" s="67">
        <f t="shared" si="10"/>
        <v>19</v>
      </c>
      <c r="Q97" s="67">
        <f t="shared" si="11"/>
        <v>291.64999999999998</v>
      </c>
      <c r="R97" s="74">
        <f t="shared" si="12"/>
        <v>0</v>
      </c>
      <c r="S97" s="74">
        <f t="shared" si="13"/>
        <v>0</v>
      </c>
      <c r="T97" s="80"/>
      <c r="U97" s="80"/>
      <c r="V97" s="80"/>
      <c r="W97" s="74"/>
      <c r="X97" s="81"/>
      <c r="Y97" s="75">
        <f t="shared" si="14"/>
        <v>0</v>
      </c>
      <c r="Z97" s="76">
        <f t="shared" si="15"/>
        <v>291.64999999999998</v>
      </c>
      <c r="AA97" s="192">
        <f t="shared" si="16"/>
        <v>0</v>
      </c>
    </row>
    <row r="98" spans="2:27" ht="22.5" x14ac:dyDescent="0.25">
      <c r="B98" s="53" t="s">
        <v>254</v>
      </c>
      <c r="C98" s="69">
        <v>93670</v>
      </c>
      <c r="D98" s="56" t="s">
        <v>256</v>
      </c>
      <c r="E98" s="72" t="s">
        <v>166</v>
      </c>
      <c r="F98" s="72">
        <v>73.97</v>
      </c>
      <c r="G98" s="78">
        <v>1</v>
      </c>
      <c r="H98" s="79"/>
      <c r="I98" s="79"/>
      <c r="J98" s="31"/>
      <c r="K98" s="79"/>
      <c r="L98" s="79"/>
      <c r="M98" s="79"/>
      <c r="N98" s="78"/>
      <c r="O98" s="67">
        <f t="shared" si="9"/>
        <v>0</v>
      </c>
      <c r="P98" s="67">
        <f t="shared" si="10"/>
        <v>1</v>
      </c>
      <c r="Q98" s="67">
        <f t="shared" si="11"/>
        <v>73.97</v>
      </c>
      <c r="R98" s="74">
        <f t="shared" si="12"/>
        <v>0</v>
      </c>
      <c r="S98" s="74">
        <f t="shared" si="13"/>
        <v>0</v>
      </c>
      <c r="T98" s="80"/>
      <c r="U98" s="80"/>
      <c r="V98" s="80"/>
      <c r="W98" s="74"/>
      <c r="X98" s="81"/>
      <c r="Y98" s="75">
        <f t="shared" si="14"/>
        <v>0</v>
      </c>
      <c r="Z98" s="76">
        <f t="shared" si="15"/>
        <v>73.97</v>
      </c>
      <c r="AA98" s="192">
        <f t="shared" si="16"/>
        <v>0</v>
      </c>
    </row>
    <row r="99" spans="2:27" ht="22.5" x14ac:dyDescent="0.25">
      <c r="B99" s="53" t="s">
        <v>257</v>
      </c>
      <c r="C99" s="69">
        <v>93671</v>
      </c>
      <c r="D99" s="56" t="s">
        <v>259</v>
      </c>
      <c r="E99" s="72" t="s">
        <v>166</v>
      </c>
      <c r="F99" s="72">
        <v>77.569999999999993</v>
      </c>
      <c r="G99" s="78">
        <v>1</v>
      </c>
      <c r="H99" s="79"/>
      <c r="I99" s="79"/>
      <c r="J99" s="31"/>
      <c r="K99" s="79"/>
      <c r="L99" s="79"/>
      <c r="M99" s="79"/>
      <c r="N99" s="78"/>
      <c r="O99" s="67">
        <f t="shared" si="9"/>
        <v>0</v>
      </c>
      <c r="P99" s="67">
        <f t="shared" si="10"/>
        <v>1</v>
      </c>
      <c r="Q99" s="67">
        <f t="shared" si="11"/>
        <v>77.569999999999993</v>
      </c>
      <c r="R99" s="74">
        <f t="shared" si="12"/>
        <v>0</v>
      </c>
      <c r="S99" s="74">
        <f t="shared" si="13"/>
        <v>0</v>
      </c>
      <c r="T99" s="80"/>
      <c r="U99" s="80"/>
      <c r="V99" s="80"/>
      <c r="W99" s="74"/>
      <c r="X99" s="81"/>
      <c r="Y99" s="75">
        <f t="shared" si="14"/>
        <v>0</v>
      </c>
      <c r="Z99" s="76">
        <f t="shared" si="15"/>
        <v>77.569999999999993</v>
      </c>
      <c r="AA99" s="192">
        <f t="shared" si="16"/>
        <v>0</v>
      </c>
    </row>
    <row r="100" spans="2:27" ht="22.5" x14ac:dyDescent="0.25">
      <c r="B100" s="53" t="s">
        <v>260</v>
      </c>
      <c r="C100" s="69">
        <v>39466</v>
      </c>
      <c r="D100" s="56" t="s">
        <v>262</v>
      </c>
      <c r="E100" s="72" t="s">
        <v>166</v>
      </c>
      <c r="F100" s="72">
        <v>74.81</v>
      </c>
      <c r="G100" s="78">
        <v>6</v>
      </c>
      <c r="H100" s="79"/>
      <c r="I100" s="79"/>
      <c r="J100" s="31"/>
      <c r="K100" s="79"/>
      <c r="L100" s="79"/>
      <c r="M100" s="79"/>
      <c r="N100" s="78"/>
      <c r="O100" s="67">
        <f t="shared" si="9"/>
        <v>0</v>
      </c>
      <c r="P100" s="67">
        <f t="shared" si="10"/>
        <v>6</v>
      </c>
      <c r="Q100" s="67">
        <f t="shared" si="11"/>
        <v>448.86</v>
      </c>
      <c r="R100" s="74">
        <f t="shared" si="12"/>
        <v>0</v>
      </c>
      <c r="S100" s="74">
        <f t="shared" si="13"/>
        <v>0</v>
      </c>
      <c r="T100" s="80"/>
      <c r="U100" s="80"/>
      <c r="V100" s="80"/>
      <c r="W100" s="74"/>
      <c r="X100" s="81"/>
      <c r="Y100" s="75">
        <f t="shared" si="14"/>
        <v>0</v>
      </c>
      <c r="Z100" s="76">
        <f t="shared" si="15"/>
        <v>448.86</v>
      </c>
      <c r="AA100" s="192">
        <f t="shared" si="16"/>
        <v>0</v>
      </c>
    </row>
    <row r="101" spans="2:27" ht="22.5" x14ac:dyDescent="0.25">
      <c r="B101" s="53" t="s">
        <v>263</v>
      </c>
      <c r="C101" s="69">
        <v>39445</v>
      </c>
      <c r="D101" s="56" t="s">
        <v>265</v>
      </c>
      <c r="E101" s="72" t="s">
        <v>166</v>
      </c>
      <c r="F101" s="72">
        <v>136.80000000000001</v>
      </c>
      <c r="G101" s="78">
        <v>1</v>
      </c>
      <c r="H101" s="79"/>
      <c r="I101" s="79"/>
      <c r="J101" s="31"/>
      <c r="K101" s="79"/>
      <c r="L101" s="79"/>
      <c r="M101" s="79"/>
      <c r="N101" s="78"/>
      <c r="O101" s="67">
        <f t="shared" si="9"/>
        <v>0</v>
      </c>
      <c r="P101" s="67">
        <f t="shared" si="10"/>
        <v>1</v>
      </c>
      <c r="Q101" s="67">
        <f t="shared" si="11"/>
        <v>136.80000000000001</v>
      </c>
      <c r="R101" s="74">
        <f t="shared" si="12"/>
        <v>0</v>
      </c>
      <c r="S101" s="74">
        <f t="shared" si="13"/>
        <v>0</v>
      </c>
      <c r="T101" s="80"/>
      <c r="U101" s="80"/>
      <c r="V101" s="80"/>
      <c r="W101" s="74"/>
      <c r="X101" s="81"/>
      <c r="Y101" s="75">
        <f t="shared" si="14"/>
        <v>0</v>
      </c>
      <c r="Z101" s="76">
        <f t="shared" si="15"/>
        <v>136.80000000000001</v>
      </c>
      <c r="AA101" s="192">
        <f t="shared" si="16"/>
        <v>0</v>
      </c>
    </row>
    <row r="102" spans="2:27" ht="22.5" x14ac:dyDescent="0.25">
      <c r="B102" s="53" t="s">
        <v>266</v>
      </c>
      <c r="C102" s="69">
        <v>39446</v>
      </c>
      <c r="D102" s="56" t="s">
        <v>268</v>
      </c>
      <c r="E102" s="72" t="s">
        <v>166</v>
      </c>
      <c r="F102" s="72">
        <v>139.25</v>
      </c>
      <c r="G102" s="78">
        <v>1</v>
      </c>
      <c r="H102" s="79"/>
      <c r="I102" s="79"/>
      <c r="J102" s="31"/>
      <c r="K102" s="79"/>
      <c r="L102" s="79"/>
      <c r="M102" s="79"/>
      <c r="N102" s="78"/>
      <c r="O102" s="67">
        <f t="shared" si="9"/>
        <v>0</v>
      </c>
      <c r="P102" s="67">
        <f t="shared" si="10"/>
        <v>1</v>
      </c>
      <c r="Q102" s="67">
        <f t="shared" si="11"/>
        <v>139.25</v>
      </c>
      <c r="R102" s="74">
        <f t="shared" si="12"/>
        <v>0</v>
      </c>
      <c r="S102" s="74">
        <f t="shared" si="13"/>
        <v>0</v>
      </c>
      <c r="T102" s="80"/>
      <c r="U102" s="80"/>
      <c r="V102" s="80"/>
      <c r="W102" s="74"/>
      <c r="X102" s="81"/>
      <c r="Y102" s="75">
        <f t="shared" si="14"/>
        <v>0</v>
      </c>
      <c r="Z102" s="76">
        <f t="shared" si="15"/>
        <v>139.25</v>
      </c>
      <c r="AA102" s="192">
        <f t="shared" si="16"/>
        <v>0</v>
      </c>
    </row>
    <row r="103" spans="2:27" ht="33.75" x14ac:dyDescent="0.25">
      <c r="B103" s="53" t="s">
        <v>269</v>
      </c>
      <c r="C103" s="69">
        <v>91953</v>
      </c>
      <c r="D103" s="56" t="s">
        <v>271</v>
      </c>
      <c r="E103" s="72" t="s">
        <v>166</v>
      </c>
      <c r="F103" s="72">
        <v>25.8</v>
      </c>
      <c r="G103" s="78">
        <v>23</v>
      </c>
      <c r="H103" s="79"/>
      <c r="I103" s="79"/>
      <c r="J103" s="31"/>
      <c r="K103" s="79"/>
      <c r="L103" s="79"/>
      <c r="M103" s="79"/>
      <c r="N103" s="78"/>
      <c r="O103" s="67">
        <f t="shared" si="9"/>
        <v>0</v>
      </c>
      <c r="P103" s="67">
        <f t="shared" si="10"/>
        <v>23</v>
      </c>
      <c r="Q103" s="67">
        <f t="shared" si="11"/>
        <v>593.4</v>
      </c>
      <c r="R103" s="74">
        <f t="shared" si="12"/>
        <v>0</v>
      </c>
      <c r="S103" s="74">
        <f t="shared" si="13"/>
        <v>0</v>
      </c>
      <c r="T103" s="80"/>
      <c r="U103" s="80"/>
      <c r="V103" s="80"/>
      <c r="W103" s="74"/>
      <c r="X103" s="81"/>
      <c r="Y103" s="75">
        <f t="shared" si="14"/>
        <v>0</v>
      </c>
      <c r="Z103" s="76">
        <f t="shared" si="15"/>
        <v>593.4</v>
      </c>
      <c r="AA103" s="192">
        <f t="shared" si="16"/>
        <v>0</v>
      </c>
    </row>
    <row r="104" spans="2:27" ht="33.75" x14ac:dyDescent="0.25">
      <c r="B104" s="53" t="s">
        <v>272</v>
      </c>
      <c r="C104" s="69">
        <v>91967</v>
      </c>
      <c r="D104" s="56" t="s">
        <v>274</v>
      </c>
      <c r="E104" s="72" t="s">
        <v>166</v>
      </c>
      <c r="F104" s="72">
        <v>53.44</v>
      </c>
      <c r="G104" s="78">
        <v>1</v>
      </c>
      <c r="H104" s="79"/>
      <c r="I104" s="79"/>
      <c r="J104" s="31"/>
      <c r="K104" s="79"/>
      <c r="L104" s="79"/>
      <c r="M104" s="79"/>
      <c r="N104" s="78"/>
      <c r="O104" s="67">
        <f t="shared" si="9"/>
        <v>0</v>
      </c>
      <c r="P104" s="67">
        <f t="shared" si="10"/>
        <v>1</v>
      </c>
      <c r="Q104" s="67">
        <f t="shared" si="11"/>
        <v>53.44</v>
      </c>
      <c r="R104" s="74">
        <f t="shared" si="12"/>
        <v>0</v>
      </c>
      <c r="S104" s="74">
        <f t="shared" si="13"/>
        <v>0</v>
      </c>
      <c r="T104" s="80"/>
      <c r="U104" s="80"/>
      <c r="V104" s="80"/>
      <c r="W104" s="74"/>
      <c r="X104" s="81"/>
      <c r="Y104" s="75">
        <f t="shared" si="14"/>
        <v>0</v>
      </c>
      <c r="Z104" s="76">
        <f t="shared" si="15"/>
        <v>53.44</v>
      </c>
      <c r="AA104" s="192">
        <f t="shared" si="16"/>
        <v>0</v>
      </c>
    </row>
    <row r="105" spans="2:27" ht="33.75" x14ac:dyDescent="0.25">
      <c r="B105" s="53" t="s">
        <v>275</v>
      </c>
      <c r="C105" s="69">
        <v>92000</v>
      </c>
      <c r="D105" s="56" t="s">
        <v>277</v>
      </c>
      <c r="E105" s="72" t="s">
        <v>166</v>
      </c>
      <c r="F105" s="72">
        <v>27.19</v>
      </c>
      <c r="G105" s="78">
        <v>54</v>
      </c>
      <c r="H105" s="79"/>
      <c r="I105" s="79"/>
      <c r="J105" s="31"/>
      <c r="K105" s="79"/>
      <c r="L105" s="79"/>
      <c r="M105" s="79"/>
      <c r="N105" s="78"/>
      <c r="O105" s="67">
        <f t="shared" si="9"/>
        <v>0</v>
      </c>
      <c r="P105" s="67">
        <f t="shared" si="10"/>
        <v>54</v>
      </c>
      <c r="Q105" s="67">
        <f t="shared" si="11"/>
        <v>1468.26</v>
      </c>
      <c r="R105" s="74">
        <f t="shared" si="12"/>
        <v>0</v>
      </c>
      <c r="S105" s="74">
        <f t="shared" si="13"/>
        <v>0</v>
      </c>
      <c r="T105" s="80"/>
      <c r="U105" s="80"/>
      <c r="V105" s="80"/>
      <c r="W105" s="74"/>
      <c r="X105" s="81"/>
      <c r="Y105" s="75">
        <f t="shared" si="14"/>
        <v>0</v>
      </c>
      <c r="Z105" s="76">
        <f t="shared" si="15"/>
        <v>1468.26</v>
      </c>
      <c r="AA105" s="192">
        <f t="shared" si="16"/>
        <v>0</v>
      </c>
    </row>
    <row r="106" spans="2:27" ht="33.75" x14ac:dyDescent="0.25">
      <c r="B106" s="53" t="s">
        <v>278</v>
      </c>
      <c r="C106" s="69">
        <v>92008</v>
      </c>
      <c r="D106" s="56" t="s">
        <v>280</v>
      </c>
      <c r="E106" s="72" t="s">
        <v>166</v>
      </c>
      <c r="F106" s="72">
        <v>42.35</v>
      </c>
      <c r="G106" s="78">
        <v>8</v>
      </c>
      <c r="H106" s="79"/>
      <c r="I106" s="79"/>
      <c r="J106" s="31"/>
      <c r="K106" s="79"/>
      <c r="L106" s="79"/>
      <c r="M106" s="79"/>
      <c r="N106" s="78"/>
      <c r="O106" s="67">
        <f t="shared" si="9"/>
        <v>0</v>
      </c>
      <c r="P106" s="67">
        <f t="shared" si="10"/>
        <v>8</v>
      </c>
      <c r="Q106" s="67">
        <f t="shared" si="11"/>
        <v>338.8</v>
      </c>
      <c r="R106" s="74">
        <f t="shared" si="12"/>
        <v>0</v>
      </c>
      <c r="S106" s="74">
        <f t="shared" si="13"/>
        <v>0</v>
      </c>
      <c r="T106" s="80"/>
      <c r="U106" s="80"/>
      <c r="V106" s="80"/>
      <c r="W106" s="74"/>
      <c r="X106" s="81"/>
      <c r="Y106" s="75">
        <f t="shared" si="14"/>
        <v>0</v>
      </c>
      <c r="Z106" s="76">
        <f t="shared" si="15"/>
        <v>338.8</v>
      </c>
      <c r="AA106" s="192">
        <f t="shared" si="16"/>
        <v>0</v>
      </c>
    </row>
    <row r="107" spans="2:27" ht="33.75" x14ac:dyDescent="0.25">
      <c r="B107" s="53" t="s">
        <v>281</v>
      </c>
      <c r="C107" s="69">
        <v>91959</v>
      </c>
      <c r="D107" s="70" t="s">
        <v>283</v>
      </c>
      <c r="E107" s="72" t="s">
        <v>166</v>
      </c>
      <c r="F107" s="72">
        <v>39.619999999999997</v>
      </c>
      <c r="G107" s="78">
        <v>2</v>
      </c>
      <c r="H107" s="82"/>
      <c r="I107" s="82"/>
      <c r="J107" s="31"/>
      <c r="K107" s="82"/>
      <c r="L107" s="82"/>
      <c r="M107" s="82"/>
      <c r="N107" s="82"/>
      <c r="O107" s="67">
        <f t="shared" si="9"/>
        <v>0</v>
      </c>
      <c r="P107" s="67">
        <f t="shared" si="10"/>
        <v>2</v>
      </c>
      <c r="Q107" s="67">
        <f t="shared" si="11"/>
        <v>79.239999999999995</v>
      </c>
      <c r="R107" s="74">
        <f t="shared" si="12"/>
        <v>0</v>
      </c>
      <c r="S107" s="74">
        <f t="shared" si="13"/>
        <v>0</v>
      </c>
      <c r="T107" s="80"/>
      <c r="U107" s="80"/>
      <c r="V107" s="80"/>
      <c r="W107" s="74"/>
      <c r="X107" s="81"/>
      <c r="Y107" s="75">
        <f t="shared" si="14"/>
        <v>0</v>
      </c>
      <c r="Z107" s="76">
        <f t="shared" si="15"/>
        <v>79.239999999999995</v>
      </c>
      <c r="AA107" s="192">
        <f t="shared" si="16"/>
        <v>0</v>
      </c>
    </row>
    <row r="108" spans="2:27" ht="33.75" x14ac:dyDescent="0.25">
      <c r="B108" s="53" t="s">
        <v>284</v>
      </c>
      <c r="C108" s="69">
        <v>91834</v>
      </c>
      <c r="D108" s="70" t="s">
        <v>286</v>
      </c>
      <c r="E108" s="72" t="s">
        <v>37</v>
      </c>
      <c r="F108" s="72">
        <v>9.77</v>
      </c>
      <c r="G108" s="78">
        <v>830.48</v>
      </c>
      <c r="H108" s="82"/>
      <c r="I108" s="82"/>
      <c r="J108" s="31"/>
      <c r="K108" s="82"/>
      <c r="L108" s="82"/>
      <c r="M108" s="82"/>
      <c r="N108" s="82"/>
      <c r="O108" s="67">
        <f t="shared" si="9"/>
        <v>0</v>
      </c>
      <c r="P108" s="67">
        <f t="shared" si="10"/>
        <v>830.48</v>
      </c>
      <c r="Q108" s="67">
        <f t="shared" si="11"/>
        <v>8113.7896000000001</v>
      </c>
      <c r="R108" s="74">
        <f t="shared" si="12"/>
        <v>0</v>
      </c>
      <c r="S108" s="74">
        <f t="shared" si="13"/>
        <v>0</v>
      </c>
      <c r="T108" s="80"/>
      <c r="U108" s="80"/>
      <c r="V108" s="80"/>
      <c r="W108" s="74"/>
      <c r="X108" s="81"/>
      <c r="Y108" s="75">
        <f t="shared" si="14"/>
        <v>0</v>
      </c>
      <c r="Z108" s="76">
        <f t="shared" si="15"/>
        <v>8113.7896000000001</v>
      </c>
      <c r="AA108" s="192">
        <f t="shared" si="16"/>
        <v>0</v>
      </c>
    </row>
    <row r="109" spans="2:27" ht="33.75" x14ac:dyDescent="0.25">
      <c r="B109" s="53" t="s">
        <v>287</v>
      </c>
      <c r="C109" s="69">
        <v>91868</v>
      </c>
      <c r="D109" s="56" t="s">
        <v>289</v>
      </c>
      <c r="E109" s="72" t="s">
        <v>37</v>
      </c>
      <c r="F109" s="72">
        <v>13.05</v>
      </c>
      <c r="G109" s="78">
        <v>55.97</v>
      </c>
      <c r="H109" s="79"/>
      <c r="I109" s="79"/>
      <c r="J109" s="31"/>
      <c r="K109" s="79"/>
      <c r="L109" s="79"/>
      <c r="M109" s="79"/>
      <c r="N109" s="78"/>
      <c r="O109" s="67">
        <f t="shared" si="9"/>
        <v>0</v>
      </c>
      <c r="P109" s="67">
        <f t="shared" si="10"/>
        <v>55.97</v>
      </c>
      <c r="Q109" s="67">
        <f t="shared" si="11"/>
        <v>730.4085</v>
      </c>
      <c r="R109" s="74">
        <f t="shared" si="12"/>
        <v>0</v>
      </c>
      <c r="S109" s="74">
        <f t="shared" si="13"/>
        <v>0</v>
      </c>
      <c r="T109" s="80"/>
      <c r="U109" s="80"/>
      <c r="V109" s="80"/>
      <c r="W109" s="74"/>
      <c r="X109" s="81"/>
      <c r="Y109" s="75">
        <f t="shared" si="14"/>
        <v>0</v>
      </c>
      <c r="Z109" s="76">
        <f t="shared" si="15"/>
        <v>730.4085</v>
      </c>
      <c r="AA109" s="192">
        <f t="shared" si="16"/>
        <v>0</v>
      </c>
    </row>
    <row r="110" spans="2:27" ht="33.75" x14ac:dyDescent="0.25">
      <c r="B110" s="53" t="s">
        <v>290</v>
      </c>
      <c r="C110" s="69">
        <v>91867</v>
      </c>
      <c r="D110" s="56" t="s">
        <v>292</v>
      </c>
      <c r="E110" s="72" t="s">
        <v>37</v>
      </c>
      <c r="F110" s="72">
        <v>9.18</v>
      </c>
      <c r="G110" s="78">
        <v>36.19</v>
      </c>
      <c r="H110" s="79"/>
      <c r="I110" s="79"/>
      <c r="J110" s="31"/>
      <c r="K110" s="79"/>
      <c r="L110" s="79"/>
      <c r="M110" s="79"/>
      <c r="N110" s="78"/>
      <c r="O110" s="67">
        <f t="shared" si="9"/>
        <v>0</v>
      </c>
      <c r="P110" s="67">
        <f t="shared" si="10"/>
        <v>36.19</v>
      </c>
      <c r="Q110" s="67">
        <f t="shared" si="11"/>
        <v>332.2242</v>
      </c>
      <c r="R110" s="74">
        <f t="shared" si="12"/>
        <v>0</v>
      </c>
      <c r="S110" s="74">
        <f t="shared" si="13"/>
        <v>0</v>
      </c>
      <c r="T110" s="80"/>
      <c r="U110" s="80"/>
      <c r="V110" s="80"/>
      <c r="W110" s="74"/>
      <c r="X110" s="81"/>
      <c r="Y110" s="75">
        <f t="shared" si="14"/>
        <v>0</v>
      </c>
      <c r="Z110" s="76">
        <f t="shared" si="15"/>
        <v>332.2242</v>
      </c>
      <c r="AA110" s="192">
        <f t="shared" si="16"/>
        <v>0</v>
      </c>
    </row>
    <row r="111" spans="2:27" ht="22.5" x14ac:dyDescent="0.25">
      <c r="B111" s="53" t="s">
        <v>293</v>
      </c>
      <c r="C111" s="69">
        <v>101654</v>
      </c>
      <c r="D111" s="56" t="s">
        <v>295</v>
      </c>
      <c r="E111" s="72" t="s">
        <v>166</v>
      </c>
      <c r="F111" s="72">
        <v>289.93</v>
      </c>
      <c r="G111" s="78">
        <v>15</v>
      </c>
      <c r="H111" s="79"/>
      <c r="I111" s="79"/>
      <c r="J111" s="31"/>
      <c r="K111" s="79"/>
      <c r="L111" s="79"/>
      <c r="M111" s="79"/>
      <c r="N111" s="78"/>
      <c r="O111" s="67">
        <f t="shared" si="9"/>
        <v>0</v>
      </c>
      <c r="P111" s="67">
        <f t="shared" si="10"/>
        <v>15</v>
      </c>
      <c r="Q111" s="67">
        <f t="shared" si="11"/>
        <v>4348.95</v>
      </c>
      <c r="R111" s="74">
        <f t="shared" si="12"/>
        <v>0</v>
      </c>
      <c r="S111" s="74">
        <f t="shared" si="13"/>
        <v>0</v>
      </c>
      <c r="T111" s="80"/>
      <c r="U111" s="80"/>
      <c r="V111" s="80"/>
      <c r="W111" s="74"/>
      <c r="X111" s="81"/>
      <c r="Y111" s="75">
        <f t="shared" si="14"/>
        <v>0</v>
      </c>
      <c r="Z111" s="76">
        <f t="shared" si="15"/>
        <v>4348.95</v>
      </c>
      <c r="AA111" s="192">
        <f t="shared" si="16"/>
        <v>0</v>
      </c>
    </row>
    <row r="112" spans="2:27" ht="22.5" x14ac:dyDescent="0.25">
      <c r="B112" s="53" t="s">
        <v>296</v>
      </c>
      <c r="C112" s="69">
        <v>103782</v>
      </c>
      <c r="D112" s="56" t="s">
        <v>298</v>
      </c>
      <c r="E112" s="72" t="s">
        <v>166</v>
      </c>
      <c r="F112" s="72">
        <v>33.380000000000003</v>
      </c>
      <c r="G112" s="78">
        <v>76</v>
      </c>
      <c r="H112" s="79"/>
      <c r="I112" s="79"/>
      <c r="J112" s="31"/>
      <c r="K112" s="79"/>
      <c r="L112" s="79"/>
      <c r="M112" s="79"/>
      <c r="N112" s="78"/>
      <c r="O112" s="67">
        <f t="shared" si="9"/>
        <v>0</v>
      </c>
      <c r="P112" s="67">
        <f t="shared" si="10"/>
        <v>76</v>
      </c>
      <c r="Q112" s="67">
        <f t="shared" si="11"/>
        <v>2536.88</v>
      </c>
      <c r="R112" s="74">
        <f t="shared" si="12"/>
        <v>0</v>
      </c>
      <c r="S112" s="74">
        <f t="shared" si="13"/>
        <v>0</v>
      </c>
      <c r="T112" s="80"/>
      <c r="U112" s="80"/>
      <c r="V112" s="80"/>
      <c r="W112" s="74"/>
      <c r="X112" s="81"/>
      <c r="Y112" s="75">
        <f t="shared" si="14"/>
        <v>0</v>
      </c>
      <c r="Z112" s="76">
        <f t="shared" si="15"/>
        <v>2536.88</v>
      </c>
      <c r="AA112" s="192">
        <f t="shared" si="16"/>
        <v>0</v>
      </c>
    </row>
    <row r="113" spans="2:27" ht="33.75" x14ac:dyDescent="0.25">
      <c r="B113" s="53" t="s">
        <v>299</v>
      </c>
      <c r="C113" s="69">
        <v>101509</v>
      </c>
      <c r="D113" s="56" t="s">
        <v>301</v>
      </c>
      <c r="E113" s="72" t="s">
        <v>166</v>
      </c>
      <c r="F113" s="72">
        <v>1759.39</v>
      </c>
      <c r="G113" s="78">
        <v>1</v>
      </c>
      <c r="H113" s="79"/>
      <c r="I113" s="79"/>
      <c r="J113" s="31"/>
      <c r="K113" s="79"/>
      <c r="L113" s="79"/>
      <c r="M113" s="79"/>
      <c r="N113" s="78"/>
      <c r="O113" s="67">
        <f t="shared" si="9"/>
        <v>0</v>
      </c>
      <c r="P113" s="67">
        <f t="shared" si="10"/>
        <v>1</v>
      </c>
      <c r="Q113" s="67">
        <f t="shared" si="11"/>
        <v>1759.39</v>
      </c>
      <c r="R113" s="74">
        <f t="shared" si="12"/>
        <v>0</v>
      </c>
      <c r="S113" s="74">
        <f t="shared" si="13"/>
        <v>0</v>
      </c>
      <c r="T113" s="80"/>
      <c r="U113" s="80"/>
      <c r="V113" s="80"/>
      <c r="W113" s="74"/>
      <c r="X113" s="81"/>
      <c r="Y113" s="75">
        <f t="shared" si="14"/>
        <v>0</v>
      </c>
      <c r="Z113" s="76">
        <f t="shared" si="15"/>
        <v>1759.39</v>
      </c>
      <c r="AA113" s="192">
        <f t="shared" si="16"/>
        <v>0</v>
      </c>
    </row>
    <row r="114" spans="2:27" ht="33.75" x14ac:dyDescent="0.25">
      <c r="B114" s="53" t="s">
        <v>302</v>
      </c>
      <c r="C114" s="69">
        <v>5044</v>
      </c>
      <c r="D114" s="56" t="s">
        <v>304</v>
      </c>
      <c r="E114" s="72" t="s">
        <v>166</v>
      </c>
      <c r="F114" s="72">
        <v>924.88</v>
      </c>
      <c r="G114" s="78">
        <v>1</v>
      </c>
      <c r="H114" s="79"/>
      <c r="I114" s="79"/>
      <c r="J114" s="31"/>
      <c r="K114" s="79"/>
      <c r="L114" s="79"/>
      <c r="M114" s="79"/>
      <c r="N114" s="78"/>
      <c r="O114" s="67">
        <f t="shared" si="9"/>
        <v>0</v>
      </c>
      <c r="P114" s="67">
        <f t="shared" si="10"/>
        <v>1</v>
      </c>
      <c r="Q114" s="67">
        <f t="shared" si="11"/>
        <v>924.88</v>
      </c>
      <c r="R114" s="74">
        <f t="shared" si="12"/>
        <v>0</v>
      </c>
      <c r="S114" s="74">
        <f t="shared" si="13"/>
        <v>0</v>
      </c>
      <c r="T114" s="80"/>
      <c r="U114" s="80"/>
      <c r="V114" s="80"/>
      <c r="W114" s="74"/>
      <c r="X114" s="81"/>
      <c r="Y114" s="75">
        <f t="shared" si="14"/>
        <v>0</v>
      </c>
      <c r="Z114" s="76">
        <f t="shared" si="15"/>
        <v>924.88</v>
      </c>
      <c r="AA114" s="192">
        <f t="shared" si="16"/>
        <v>0</v>
      </c>
    </row>
    <row r="115" spans="2:27" ht="45" x14ac:dyDescent="0.25">
      <c r="B115" s="53" t="s">
        <v>305</v>
      </c>
      <c r="C115" s="69">
        <v>101879</v>
      </c>
      <c r="D115" s="56" t="s">
        <v>307</v>
      </c>
      <c r="E115" s="72" t="s">
        <v>166</v>
      </c>
      <c r="F115" s="72">
        <v>555.51</v>
      </c>
      <c r="G115" s="78">
        <v>1</v>
      </c>
      <c r="H115" s="79"/>
      <c r="I115" s="79"/>
      <c r="J115" s="31"/>
      <c r="K115" s="79"/>
      <c r="L115" s="79"/>
      <c r="M115" s="79"/>
      <c r="N115" s="78"/>
      <c r="O115" s="67">
        <f t="shared" si="9"/>
        <v>0</v>
      </c>
      <c r="P115" s="67">
        <f t="shared" si="10"/>
        <v>1</v>
      </c>
      <c r="Q115" s="67">
        <f t="shared" si="11"/>
        <v>555.51</v>
      </c>
      <c r="R115" s="74">
        <f t="shared" si="12"/>
        <v>0</v>
      </c>
      <c r="S115" s="74">
        <f t="shared" si="13"/>
        <v>0</v>
      </c>
      <c r="T115" s="80"/>
      <c r="U115" s="80"/>
      <c r="V115" s="80"/>
      <c r="W115" s="74"/>
      <c r="X115" s="81"/>
      <c r="Y115" s="75">
        <f t="shared" si="14"/>
        <v>0</v>
      </c>
      <c r="Z115" s="76">
        <f t="shared" si="15"/>
        <v>555.51</v>
      </c>
      <c r="AA115" s="192">
        <f t="shared" si="16"/>
        <v>0</v>
      </c>
    </row>
    <row r="116" spans="2:27" ht="33.75" x14ac:dyDescent="0.25">
      <c r="B116" s="53" t="s">
        <v>308</v>
      </c>
      <c r="C116" s="69">
        <v>5044</v>
      </c>
      <c r="D116" s="56" t="s">
        <v>304</v>
      </c>
      <c r="E116" s="72" t="s">
        <v>166</v>
      </c>
      <c r="F116" s="72">
        <v>924.88</v>
      </c>
      <c r="G116" s="78">
        <v>1</v>
      </c>
      <c r="H116" s="79"/>
      <c r="I116" s="79"/>
      <c r="J116" s="31"/>
      <c r="K116" s="79"/>
      <c r="L116" s="79"/>
      <c r="M116" s="79"/>
      <c r="N116" s="78"/>
      <c r="O116" s="67">
        <f t="shared" si="9"/>
        <v>0</v>
      </c>
      <c r="P116" s="67">
        <f t="shared" si="10"/>
        <v>1</v>
      </c>
      <c r="Q116" s="67">
        <f t="shared" si="11"/>
        <v>924.88</v>
      </c>
      <c r="R116" s="74">
        <f t="shared" si="12"/>
        <v>0</v>
      </c>
      <c r="S116" s="74">
        <f t="shared" si="13"/>
        <v>0</v>
      </c>
      <c r="T116" s="80"/>
      <c r="U116" s="80"/>
      <c r="V116" s="80"/>
      <c r="W116" s="74"/>
      <c r="X116" s="81"/>
      <c r="Y116" s="75">
        <f t="shared" si="14"/>
        <v>0</v>
      </c>
      <c r="Z116" s="76">
        <f t="shared" si="15"/>
        <v>924.88</v>
      </c>
      <c r="AA116" s="192">
        <f t="shared" si="16"/>
        <v>0</v>
      </c>
    </row>
    <row r="117" spans="2:27" ht="33.75" x14ac:dyDescent="0.25">
      <c r="B117" s="53" t="s">
        <v>309</v>
      </c>
      <c r="C117" s="69">
        <v>92023</v>
      </c>
      <c r="D117" s="56" t="s">
        <v>311</v>
      </c>
      <c r="E117" s="72" t="s">
        <v>166</v>
      </c>
      <c r="F117" s="72">
        <v>43.88</v>
      </c>
      <c r="G117" s="78">
        <v>5</v>
      </c>
      <c r="H117" s="79"/>
      <c r="I117" s="79"/>
      <c r="J117" s="31"/>
      <c r="K117" s="79"/>
      <c r="L117" s="79"/>
      <c r="M117" s="79"/>
      <c r="N117" s="78"/>
      <c r="O117" s="67">
        <f t="shared" si="9"/>
        <v>0</v>
      </c>
      <c r="P117" s="67">
        <f t="shared" si="10"/>
        <v>5</v>
      </c>
      <c r="Q117" s="67">
        <f t="shared" si="11"/>
        <v>219.4</v>
      </c>
      <c r="R117" s="74">
        <f t="shared" si="12"/>
        <v>0</v>
      </c>
      <c r="S117" s="74">
        <f t="shared" si="13"/>
        <v>0</v>
      </c>
      <c r="T117" s="80"/>
      <c r="U117" s="80"/>
      <c r="V117" s="80"/>
      <c r="W117" s="74"/>
      <c r="X117" s="81"/>
      <c r="Y117" s="75">
        <f t="shared" si="14"/>
        <v>0</v>
      </c>
      <c r="Z117" s="76">
        <f t="shared" si="15"/>
        <v>219.4</v>
      </c>
      <c r="AA117" s="192">
        <f t="shared" si="16"/>
        <v>0</v>
      </c>
    </row>
    <row r="118" spans="2:27" x14ac:dyDescent="0.25">
      <c r="B118" s="54" t="s">
        <v>312</v>
      </c>
      <c r="C118" s="83" t="s">
        <v>313</v>
      </c>
      <c r="D118" s="56"/>
      <c r="E118" s="72"/>
      <c r="F118" s="72"/>
      <c r="G118" s="78"/>
      <c r="H118" s="79"/>
      <c r="I118" s="79"/>
      <c r="J118" s="31"/>
      <c r="K118" s="79"/>
      <c r="L118" s="79"/>
      <c r="M118" s="79"/>
      <c r="N118" s="78"/>
      <c r="O118" s="67"/>
      <c r="P118" s="67"/>
      <c r="Q118" s="67"/>
      <c r="R118" s="74">
        <f t="shared" si="12"/>
        <v>0</v>
      </c>
      <c r="S118" s="74">
        <f t="shared" si="13"/>
        <v>0</v>
      </c>
      <c r="T118" s="80"/>
      <c r="U118" s="80"/>
      <c r="V118" s="80"/>
      <c r="W118" s="74"/>
      <c r="X118" s="81"/>
      <c r="Y118" s="75">
        <f t="shared" si="14"/>
        <v>0</v>
      </c>
      <c r="Z118" s="76">
        <f t="shared" si="15"/>
        <v>0</v>
      </c>
      <c r="AA118" s="192"/>
    </row>
    <row r="119" spans="2:27" ht="22.5" x14ac:dyDescent="0.25">
      <c r="B119" s="53" t="s">
        <v>314</v>
      </c>
      <c r="C119" s="69">
        <v>96620</v>
      </c>
      <c r="D119" s="56" t="s">
        <v>316</v>
      </c>
      <c r="E119" s="47" t="s">
        <v>41</v>
      </c>
      <c r="F119" s="72">
        <v>593.44000000000005</v>
      </c>
      <c r="G119" s="78">
        <v>31.73</v>
      </c>
      <c r="H119" s="79"/>
      <c r="I119" s="79"/>
      <c r="J119" s="31"/>
      <c r="K119" s="79"/>
      <c r="L119" s="79"/>
      <c r="M119" s="79"/>
      <c r="N119" s="78"/>
      <c r="O119" s="67">
        <f t="shared" si="9"/>
        <v>0</v>
      </c>
      <c r="P119" s="67">
        <f t="shared" si="10"/>
        <v>31.73</v>
      </c>
      <c r="Q119" s="67">
        <f t="shared" si="11"/>
        <v>18829.851200000001</v>
      </c>
      <c r="R119" s="74">
        <f t="shared" si="12"/>
        <v>0</v>
      </c>
      <c r="S119" s="74">
        <f t="shared" si="13"/>
        <v>0</v>
      </c>
      <c r="T119" s="80"/>
      <c r="U119" s="80"/>
      <c r="V119" s="80"/>
      <c r="W119" s="74"/>
      <c r="X119" s="81"/>
      <c r="Y119" s="75">
        <f t="shared" si="14"/>
        <v>0</v>
      </c>
      <c r="Z119" s="76">
        <f t="shared" si="15"/>
        <v>18829.851200000001</v>
      </c>
      <c r="AA119" s="192">
        <f t="shared" si="16"/>
        <v>0</v>
      </c>
    </row>
    <row r="120" spans="2:27" ht="67.5" x14ac:dyDescent="0.25">
      <c r="B120" s="53" t="s">
        <v>317</v>
      </c>
      <c r="C120" s="69">
        <v>94439</v>
      </c>
      <c r="D120" s="56" t="s">
        <v>319</v>
      </c>
      <c r="E120" s="47" t="s">
        <v>17</v>
      </c>
      <c r="F120" s="72">
        <v>46.08</v>
      </c>
      <c r="G120" s="78">
        <v>634.5</v>
      </c>
      <c r="H120" s="79"/>
      <c r="I120" s="79"/>
      <c r="J120" s="31"/>
      <c r="K120" s="79"/>
      <c r="L120" s="79"/>
      <c r="M120" s="79"/>
      <c r="N120" s="78"/>
      <c r="O120" s="67">
        <f t="shared" si="9"/>
        <v>0</v>
      </c>
      <c r="P120" s="67">
        <f t="shared" si="10"/>
        <v>634.5</v>
      </c>
      <c r="Q120" s="67">
        <f t="shared" si="11"/>
        <v>29237.759999999998</v>
      </c>
      <c r="R120" s="74">
        <f t="shared" si="12"/>
        <v>0</v>
      </c>
      <c r="S120" s="74">
        <f t="shared" si="13"/>
        <v>0</v>
      </c>
      <c r="T120" s="80"/>
      <c r="U120" s="80"/>
      <c r="V120" s="80"/>
      <c r="W120" s="74"/>
      <c r="X120" s="81"/>
      <c r="Y120" s="75">
        <f t="shared" si="14"/>
        <v>0</v>
      </c>
      <c r="Z120" s="76">
        <f t="shared" si="15"/>
        <v>29237.759999999998</v>
      </c>
      <c r="AA120" s="192">
        <f t="shared" si="16"/>
        <v>0</v>
      </c>
    </row>
    <row r="121" spans="2:27" ht="33.75" x14ac:dyDescent="0.25">
      <c r="B121" s="53" t="s">
        <v>320</v>
      </c>
      <c r="C121" s="69">
        <v>87257</v>
      </c>
      <c r="D121" s="56" t="s">
        <v>322</v>
      </c>
      <c r="E121" s="47" t="s">
        <v>17</v>
      </c>
      <c r="F121" s="72">
        <v>95.14</v>
      </c>
      <c r="G121" s="78">
        <v>634.5</v>
      </c>
      <c r="H121" s="79"/>
      <c r="I121" s="79"/>
      <c r="J121" s="31"/>
      <c r="K121" s="79"/>
      <c r="L121" s="79"/>
      <c r="M121" s="79"/>
      <c r="N121" s="78"/>
      <c r="O121" s="67">
        <f t="shared" si="9"/>
        <v>0</v>
      </c>
      <c r="P121" s="67">
        <f t="shared" si="10"/>
        <v>634.5</v>
      </c>
      <c r="Q121" s="67">
        <f t="shared" si="11"/>
        <v>60366.33</v>
      </c>
      <c r="R121" s="74">
        <f t="shared" si="12"/>
        <v>0</v>
      </c>
      <c r="S121" s="74">
        <f t="shared" si="13"/>
        <v>0</v>
      </c>
      <c r="T121" s="80"/>
      <c r="U121" s="80"/>
      <c r="V121" s="80"/>
      <c r="W121" s="74"/>
      <c r="X121" s="81"/>
      <c r="Y121" s="75">
        <f t="shared" si="14"/>
        <v>0</v>
      </c>
      <c r="Z121" s="76">
        <f t="shared" si="15"/>
        <v>60366.33</v>
      </c>
      <c r="AA121" s="192">
        <f t="shared" si="16"/>
        <v>0</v>
      </c>
    </row>
    <row r="122" spans="2:27" ht="33.75" x14ac:dyDescent="0.25">
      <c r="B122" s="53" t="s">
        <v>323</v>
      </c>
      <c r="C122" s="69">
        <v>92403</v>
      </c>
      <c r="D122" s="56" t="s">
        <v>325</v>
      </c>
      <c r="E122" s="47" t="s">
        <v>17</v>
      </c>
      <c r="F122" s="72">
        <v>51.12</v>
      </c>
      <c r="G122" s="78">
        <v>629.38</v>
      </c>
      <c r="H122" s="79"/>
      <c r="I122" s="79"/>
      <c r="J122" s="31"/>
      <c r="K122" s="79"/>
      <c r="L122" s="79"/>
      <c r="M122" s="79"/>
      <c r="N122" s="78"/>
      <c r="O122" s="67">
        <f t="shared" si="9"/>
        <v>0</v>
      </c>
      <c r="P122" s="67">
        <f t="shared" si="10"/>
        <v>629.38</v>
      </c>
      <c r="Q122" s="67">
        <f t="shared" si="11"/>
        <v>32173.905599999998</v>
      </c>
      <c r="R122" s="74">
        <f t="shared" si="12"/>
        <v>0</v>
      </c>
      <c r="S122" s="74">
        <f t="shared" si="13"/>
        <v>0</v>
      </c>
      <c r="T122" s="80"/>
      <c r="U122" s="80"/>
      <c r="V122" s="80"/>
      <c r="W122" s="74"/>
      <c r="X122" s="81"/>
      <c r="Y122" s="75">
        <f t="shared" si="14"/>
        <v>0</v>
      </c>
      <c r="Z122" s="76">
        <f t="shared" si="15"/>
        <v>32173.905599999998</v>
      </c>
      <c r="AA122" s="192">
        <f t="shared" si="16"/>
        <v>0</v>
      </c>
    </row>
    <row r="123" spans="2:27" ht="56.25" x14ac:dyDescent="0.25">
      <c r="B123" s="53" t="s">
        <v>326</v>
      </c>
      <c r="C123" s="69">
        <v>94273</v>
      </c>
      <c r="D123" s="56" t="s">
        <v>328</v>
      </c>
      <c r="E123" s="47" t="s">
        <v>37</v>
      </c>
      <c r="F123" s="72">
        <v>47.25</v>
      </c>
      <c r="G123" s="78">
        <v>126.37</v>
      </c>
      <c r="H123" s="79"/>
      <c r="I123" s="79"/>
      <c r="J123" s="31"/>
      <c r="K123" s="79"/>
      <c r="L123" s="79"/>
      <c r="M123" s="79"/>
      <c r="N123" s="78"/>
      <c r="O123" s="67">
        <f t="shared" si="9"/>
        <v>0</v>
      </c>
      <c r="P123" s="67">
        <f t="shared" si="10"/>
        <v>126.37</v>
      </c>
      <c r="Q123" s="67">
        <f t="shared" si="11"/>
        <v>5970.9825000000001</v>
      </c>
      <c r="R123" s="74">
        <f t="shared" si="12"/>
        <v>0</v>
      </c>
      <c r="S123" s="74">
        <f t="shared" si="13"/>
        <v>0</v>
      </c>
      <c r="T123" s="80"/>
      <c r="U123" s="80"/>
      <c r="V123" s="80"/>
      <c r="W123" s="74"/>
      <c r="X123" s="81"/>
      <c r="Y123" s="75">
        <f t="shared" si="14"/>
        <v>0</v>
      </c>
      <c r="Z123" s="76">
        <f t="shared" si="15"/>
        <v>5970.9825000000001</v>
      </c>
      <c r="AA123" s="192">
        <f t="shared" si="16"/>
        <v>0</v>
      </c>
    </row>
    <row r="124" spans="2:27" ht="22.5" x14ac:dyDescent="0.25">
      <c r="B124" s="53" t="s">
        <v>329</v>
      </c>
      <c r="C124" s="69">
        <v>368</v>
      </c>
      <c r="D124" s="56" t="s">
        <v>331</v>
      </c>
      <c r="E124" s="47" t="s">
        <v>41</v>
      </c>
      <c r="F124" s="72">
        <v>70.77</v>
      </c>
      <c r="G124" s="78">
        <v>7.46</v>
      </c>
      <c r="H124" s="79"/>
      <c r="I124" s="79"/>
      <c r="J124" s="31"/>
      <c r="K124" s="79"/>
      <c r="L124" s="79"/>
      <c r="M124" s="79"/>
      <c r="N124" s="78"/>
      <c r="O124" s="67">
        <f t="shared" si="9"/>
        <v>0</v>
      </c>
      <c r="P124" s="67">
        <f t="shared" si="10"/>
        <v>7.46</v>
      </c>
      <c r="Q124" s="67">
        <f t="shared" si="11"/>
        <v>527.94420000000002</v>
      </c>
      <c r="R124" s="74">
        <f t="shared" si="12"/>
        <v>0</v>
      </c>
      <c r="S124" s="74">
        <f t="shared" si="13"/>
        <v>0</v>
      </c>
      <c r="T124" s="80"/>
      <c r="U124" s="80"/>
      <c r="V124" s="80"/>
      <c r="W124" s="74"/>
      <c r="X124" s="81"/>
      <c r="Y124" s="75">
        <f t="shared" si="14"/>
        <v>0</v>
      </c>
      <c r="Z124" s="76">
        <f t="shared" si="15"/>
        <v>527.94420000000002</v>
      </c>
      <c r="AA124" s="192">
        <f t="shared" si="16"/>
        <v>0</v>
      </c>
    </row>
    <row r="125" spans="2:27" x14ac:dyDescent="0.25">
      <c r="B125" s="53" t="s">
        <v>332</v>
      </c>
      <c r="C125" s="69">
        <v>98504</v>
      </c>
      <c r="D125" s="56" t="s">
        <v>334</v>
      </c>
      <c r="E125" s="47" t="s">
        <v>17</v>
      </c>
      <c r="F125" s="72">
        <v>15.87</v>
      </c>
      <c r="G125" s="78">
        <v>25.6</v>
      </c>
      <c r="H125" s="79"/>
      <c r="I125" s="79"/>
      <c r="J125" s="31"/>
      <c r="K125" s="79"/>
      <c r="L125" s="79"/>
      <c r="M125" s="79"/>
      <c r="N125" s="78"/>
      <c r="O125" s="67">
        <f t="shared" si="9"/>
        <v>0</v>
      </c>
      <c r="P125" s="67">
        <f t="shared" si="10"/>
        <v>25.6</v>
      </c>
      <c r="Q125" s="67">
        <f t="shared" si="11"/>
        <v>406.27199999999999</v>
      </c>
      <c r="R125" s="74">
        <f t="shared" si="12"/>
        <v>0</v>
      </c>
      <c r="S125" s="74">
        <f t="shared" si="13"/>
        <v>0</v>
      </c>
      <c r="T125" s="80"/>
      <c r="U125" s="80"/>
      <c r="V125" s="80"/>
      <c r="W125" s="74"/>
      <c r="X125" s="81"/>
      <c r="Y125" s="75">
        <f t="shared" si="14"/>
        <v>0</v>
      </c>
      <c r="Z125" s="76">
        <f t="shared" si="15"/>
        <v>406.27199999999999</v>
      </c>
      <c r="AA125" s="192">
        <f t="shared" si="16"/>
        <v>0</v>
      </c>
    </row>
    <row r="126" spans="2:27" ht="22.5" x14ac:dyDescent="0.25">
      <c r="B126" s="53" t="s">
        <v>335</v>
      </c>
      <c r="C126" s="69">
        <v>103913</v>
      </c>
      <c r="D126" s="56" t="s">
        <v>337</v>
      </c>
      <c r="E126" s="47" t="s">
        <v>17</v>
      </c>
      <c r="F126" s="72">
        <v>117.96</v>
      </c>
      <c r="G126" s="78">
        <v>39.6</v>
      </c>
      <c r="H126" s="79"/>
      <c r="I126" s="79"/>
      <c r="J126" s="31"/>
      <c r="K126" s="79"/>
      <c r="L126" s="79"/>
      <c r="M126" s="79"/>
      <c r="N126" s="78"/>
      <c r="O126" s="67">
        <f t="shared" si="9"/>
        <v>0</v>
      </c>
      <c r="P126" s="67">
        <f t="shared" si="10"/>
        <v>39.6</v>
      </c>
      <c r="Q126" s="67">
        <f t="shared" si="11"/>
        <v>4671.2160000000003</v>
      </c>
      <c r="R126" s="74">
        <f t="shared" si="12"/>
        <v>0</v>
      </c>
      <c r="S126" s="74">
        <f t="shared" si="13"/>
        <v>0</v>
      </c>
      <c r="T126" s="80"/>
      <c r="U126" s="80"/>
      <c r="V126" s="80"/>
      <c r="W126" s="74"/>
      <c r="X126" s="81"/>
      <c r="Y126" s="75">
        <f t="shared" si="14"/>
        <v>0</v>
      </c>
      <c r="Z126" s="76">
        <f t="shared" si="15"/>
        <v>4671.2160000000003</v>
      </c>
      <c r="AA126" s="192">
        <f t="shared" si="16"/>
        <v>0</v>
      </c>
    </row>
    <row r="127" spans="2:27" x14ac:dyDescent="0.25">
      <c r="B127" s="54" t="s">
        <v>338</v>
      </c>
      <c r="C127" s="83" t="s">
        <v>339</v>
      </c>
      <c r="D127" s="56"/>
      <c r="E127" s="47"/>
      <c r="F127" s="72"/>
      <c r="G127" s="78"/>
      <c r="H127" s="79"/>
      <c r="I127" s="79"/>
      <c r="J127" s="31"/>
      <c r="K127" s="79"/>
      <c r="L127" s="79"/>
      <c r="M127" s="79"/>
      <c r="N127" s="78"/>
      <c r="O127" s="67"/>
      <c r="P127" s="67"/>
      <c r="Q127" s="67"/>
      <c r="R127" s="74">
        <f t="shared" si="12"/>
        <v>0</v>
      </c>
      <c r="S127" s="74">
        <f t="shared" si="13"/>
        <v>0</v>
      </c>
      <c r="T127" s="80"/>
      <c r="U127" s="80"/>
      <c r="V127" s="80"/>
      <c r="W127" s="74"/>
      <c r="X127" s="81"/>
      <c r="Y127" s="75">
        <f t="shared" si="14"/>
        <v>0</v>
      </c>
      <c r="Z127" s="76">
        <f t="shared" si="15"/>
        <v>0</v>
      </c>
      <c r="AA127" s="192"/>
    </row>
    <row r="128" spans="2:27" ht="45" x14ac:dyDescent="0.25">
      <c r="B128" s="53" t="s">
        <v>340</v>
      </c>
      <c r="C128" s="69">
        <v>94207</v>
      </c>
      <c r="D128" s="56" t="s">
        <v>342</v>
      </c>
      <c r="E128" s="47" t="s">
        <v>17</v>
      </c>
      <c r="F128" s="72">
        <v>69.180000000000007</v>
      </c>
      <c r="G128" s="78">
        <v>610.20000000000005</v>
      </c>
      <c r="H128" s="79"/>
      <c r="I128" s="79"/>
      <c r="J128" s="31"/>
      <c r="K128" s="79"/>
      <c r="L128" s="79"/>
      <c r="M128" s="79"/>
      <c r="N128" s="78"/>
      <c r="O128" s="67">
        <f t="shared" si="9"/>
        <v>0</v>
      </c>
      <c r="P128" s="67">
        <f t="shared" si="10"/>
        <v>610.20000000000005</v>
      </c>
      <c r="Q128" s="67">
        <f t="shared" si="11"/>
        <v>42213.636000000006</v>
      </c>
      <c r="R128" s="74">
        <f t="shared" si="12"/>
        <v>0</v>
      </c>
      <c r="S128" s="74">
        <f t="shared" si="13"/>
        <v>0</v>
      </c>
      <c r="T128" s="80"/>
      <c r="U128" s="80"/>
      <c r="V128" s="80"/>
      <c r="W128" s="74"/>
      <c r="X128" s="81"/>
      <c r="Y128" s="75">
        <f t="shared" si="14"/>
        <v>0</v>
      </c>
      <c r="Z128" s="76">
        <f t="shared" si="15"/>
        <v>42213.636000000006</v>
      </c>
      <c r="AA128" s="192">
        <f t="shared" si="16"/>
        <v>0</v>
      </c>
    </row>
    <row r="129" spans="2:27" ht="33.75" x14ac:dyDescent="0.25">
      <c r="B129" s="53" t="s">
        <v>343</v>
      </c>
      <c r="C129" s="69">
        <v>98546</v>
      </c>
      <c r="D129" s="56" t="s">
        <v>345</v>
      </c>
      <c r="E129" s="47" t="s">
        <v>17</v>
      </c>
      <c r="F129" s="72">
        <v>109.11</v>
      </c>
      <c r="G129" s="78">
        <v>181.61</v>
      </c>
      <c r="H129" s="79"/>
      <c r="I129" s="79"/>
      <c r="J129" s="31"/>
      <c r="K129" s="79"/>
      <c r="L129" s="79"/>
      <c r="M129" s="79"/>
      <c r="N129" s="78"/>
      <c r="O129" s="67">
        <f t="shared" si="9"/>
        <v>0</v>
      </c>
      <c r="P129" s="67">
        <f t="shared" si="10"/>
        <v>181.61</v>
      </c>
      <c r="Q129" s="67">
        <f t="shared" si="11"/>
        <v>19815.467100000002</v>
      </c>
      <c r="R129" s="74">
        <f t="shared" si="12"/>
        <v>0</v>
      </c>
      <c r="S129" s="74">
        <f t="shared" si="13"/>
        <v>0</v>
      </c>
      <c r="T129" s="80"/>
      <c r="U129" s="80"/>
      <c r="V129" s="80"/>
      <c r="W129" s="74"/>
      <c r="X129" s="81"/>
      <c r="Y129" s="75">
        <f t="shared" si="14"/>
        <v>0</v>
      </c>
      <c r="Z129" s="76">
        <f t="shared" si="15"/>
        <v>19815.467100000002</v>
      </c>
      <c r="AA129" s="192">
        <f t="shared" si="16"/>
        <v>0</v>
      </c>
    </row>
    <row r="130" spans="2:27" ht="33.75" x14ac:dyDescent="0.25">
      <c r="B130" s="53" t="s">
        <v>346</v>
      </c>
      <c r="C130" s="69">
        <v>98565</v>
      </c>
      <c r="D130" s="56" t="s">
        <v>348</v>
      </c>
      <c r="E130" s="47" t="s">
        <v>17</v>
      </c>
      <c r="F130" s="72">
        <v>46.12</v>
      </c>
      <c r="G130" s="78">
        <v>181.61</v>
      </c>
      <c r="H130" s="79"/>
      <c r="I130" s="79"/>
      <c r="J130" s="31"/>
      <c r="K130" s="79"/>
      <c r="L130" s="79"/>
      <c r="M130" s="79"/>
      <c r="N130" s="78"/>
      <c r="O130" s="67">
        <f t="shared" si="9"/>
        <v>0</v>
      </c>
      <c r="P130" s="67">
        <f t="shared" si="10"/>
        <v>181.61</v>
      </c>
      <c r="Q130" s="67">
        <f t="shared" si="11"/>
        <v>8375.8531999999996</v>
      </c>
      <c r="R130" s="74">
        <f t="shared" si="12"/>
        <v>0</v>
      </c>
      <c r="S130" s="74">
        <f t="shared" si="13"/>
        <v>0</v>
      </c>
      <c r="T130" s="80"/>
      <c r="U130" s="80"/>
      <c r="V130" s="80"/>
      <c r="W130" s="74"/>
      <c r="X130" s="81"/>
      <c r="Y130" s="75">
        <f t="shared" si="14"/>
        <v>0</v>
      </c>
      <c r="Z130" s="76">
        <f t="shared" si="15"/>
        <v>8375.8531999999996</v>
      </c>
      <c r="AA130" s="192">
        <f t="shared" si="16"/>
        <v>0</v>
      </c>
    </row>
    <row r="131" spans="2:27" ht="45" x14ac:dyDescent="0.25">
      <c r="B131" s="53" t="s">
        <v>349</v>
      </c>
      <c r="C131" s="69">
        <v>100374</v>
      </c>
      <c r="D131" s="56" t="s">
        <v>351</v>
      </c>
      <c r="E131" s="47" t="s">
        <v>166</v>
      </c>
      <c r="F131" s="72">
        <v>2472.0700000000002</v>
      </c>
      <c r="G131" s="78">
        <v>10</v>
      </c>
      <c r="H131" s="79"/>
      <c r="I131" s="79"/>
      <c r="J131" s="31"/>
      <c r="K131" s="79"/>
      <c r="L131" s="79"/>
      <c r="M131" s="79"/>
      <c r="N131" s="78"/>
      <c r="O131" s="67">
        <f t="shared" si="9"/>
        <v>0</v>
      </c>
      <c r="P131" s="67">
        <f t="shared" si="10"/>
        <v>10</v>
      </c>
      <c r="Q131" s="67">
        <f t="shared" si="11"/>
        <v>24720.7</v>
      </c>
      <c r="R131" s="74">
        <f t="shared" si="12"/>
        <v>0</v>
      </c>
      <c r="S131" s="74">
        <f t="shared" si="13"/>
        <v>0</v>
      </c>
      <c r="T131" s="80"/>
      <c r="U131" s="80"/>
      <c r="V131" s="80"/>
      <c r="W131" s="74"/>
      <c r="X131" s="81"/>
      <c r="Y131" s="75">
        <f t="shared" si="14"/>
        <v>0</v>
      </c>
      <c r="Z131" s="76">
        <f t="shared" si="15"/>
        <v>24720.7</v>
      </c>
      <c r="AA131" s="192">
        <f t="shared" si="16"/>
        <v>0</v>
      </c>
    </row>
    <row r="132" spans="2:27" ht="45" x14ac:dyDescent="0.25">
      <c r="B132" s="53" t="s">
        <v>352</v>
      </c>
      <c r="C132" s="69">
        <v>100375</v>
      </c>
      <c r="D132" s="56" t="s">
        <v>354</v>
      </c>
      <c r="E132" s="47" t="s">
        <v>166</v>
      </c>
      <c r="F132" s="72">
        <v>2766.14</v>
      </c>
      <c r="G132" s="78">
        <v>10</v>
      </c>
      <c r="H132" s="79"/>
      <c r="I132" s="79"/>
      <c r="J132" s="31"/>
      <c r="K132" s="79"/>
      <c r="L132" s="79"/>
      <c r="M132" s="79"/>
      <c r="N132" s="78"/>
      <c r="O132" s="67">
        <f t="shared" si="9"/>
        <v>0</v>
      </c>
      <c r="P132" s="67">
        <f t="shared" si="10"/>
        <v>10</v>
      </c>
      <c r="Q132" s="67">
        <f t="shared" si="11"/>
        <v>27661.399999999998</v>
      </c>
      <c r="R132" s="74">
        <f t="shared" si="12"/>
        <v>0</v>
      </c>
      <c r="S132" s="74">
        <f t="shared" si="13"/>
        <v>0</v>
      </c>
      <c r="T132" s="80"/>
      <c r="U132" s="80"/>
      <c r="V132" s="80"/>
      <c r="W132" s="74"/>
      <c r="X132" s="81"/>
      <c r="Y132" s="75">
        <f t="shared" si="14"/>
        <v>0</v>
      </c>
      <c r="Z132" s="76">
        <f t="shared" si="15"/>
        <v>27661.399999999998</v>
      </c>
      <c r="AA132" s="192">
        <f t="shared" si="16"/>
        <v>0</v>
      </c>
    </row>
    <row r="133" spans="2:27" ht="33.75" x14ac:dyDescent="0.25">
      <c r="B133" s="53" t="s">
        <v>355</v>
      </c>
      <c r="C133" s="69">
        <v>92544</v>
      </c>
      <c r="D133" s="56" t="s">
        <v>357</v>
      </c>
      <c r="E133" s="47" t="s">
        <v>17</v>
      </c>
      <c r="F133" s="72">
        <v>15.3</v>
      </c>
      <c r="G133" s="78">
        <v>610.20000000000005</v>
      </c>
      <c r="H133" s="79"/>
      <c r="I133" s="79"/>
      <c r="J133" s="31"/>
      <c r="K133" s="79"/>
      <c r="L133" s="79"/>
      <c r="M133" s="79"/>
      <c r="N133" s="78"/>
      <c r="O133" s="67">
        <f t="shared" si="9"/>
        <v>0</v>
      </c>
      <c r="P133" s="67">
        <f t="shared" si="10"/>
        <v>610.20000000000005</v>
      </c>
      <c r="Q133" s="67">
        <f t="shared" si="11"/>
        <v>9336.0600000000013</v>
      </c>
      <c r="R133" s="74">
        <f t="shared" si="12"/>
        <v>0</v>
      </c>
      <c r="S133" s="74">
        <f t="shared" si="13"/>
        <v>0</v>
      </c>
      <c r="T133" s="80"/>
      <c r="U133" s="80"/>
      <c r="V133" s="80"/>
      <c r="W133" s="74"/>
      <c r="X133" s="81"/>
      <c r="Y133" s="75">
        <f t="shared" si="14"/>
        <v>0</v>
      </c>
      <c r="Z133" s="76">
        <f t="shared" si="15"/>
        <v>9336.0600000000013</v>
      </c>
      <c r="AA133" s="192">
        <f t="shared" si="16"/>
        <v>0</v>
      </c>
    </row>
    <row r="134" spans="2:27" ht="33.75" x14ac:dyDescent="0.25">
      <c r="B134" s="53" t="s">
        <v>358</v>
      </c>
      <c r="C134" s="69">
        <v>100435</v>
      </c>
      <c r="D134" s="56" t="s">
        <v>360</v>
      </c>
      <c r="E134" s="47" t="s">
        <v>37</v>
      </c>
      <c r="F134" s="72">
        <v>84.59</v>
      </c>
      <c r="G134" s="78">
        <v>113.1</v>
      </c>
      <c r="H134" s="79"/>
      <c r="I134" s="79"/>
      <c r="J134" s="31"/>
      <c r="K134" s="79"/>
      <c r="L134" s="79"/>
      <c r="M134" s="79"/>
      <c r="N134" s="78"/>
      <c r="O134" s="67">
        <f t="shared" si="9"/>
        <v>0</v>
      </c>
      <c r="P134" s="67">
        <f t="shared" si="10"/>
        <v>113.1</v>
      </c>
      <c r="Q134" s="67">
        <f t="shared" si="11"/>
        <v>9567.128999999999</v>
      </c>
      <c r="R134" s="74">
        <f t="shared" si="12"/>
        <v>0</v>
      </c>
      <c r="S134" s="74">
        <f t="shared" si="13"/>
        <v>0</v>
      </c>
      <c r="T134" s="80"/>
      <c r="U134" s="80"/>
      <c r="V134" s="80"/>
      <c r="W134" s="74"/>
      <c r="X134" s="81"/>
      <c r="Y134" s="75">
        <f t="shared" si="14"/>
        <v>0</v>
      </c>
      <c r="Z134" s="76">
        <f t="shared" si="15"/>
        <v>9567.128999999999</v>
      </c>
      <c r="AA134" s="192">
        <f t="shared" si="16"/>
        <v>0</v>
      </c>
    </row>
    <row r="135" spans="2:27" ht="33.75" x14ac:dyDescent="0.25">
      <c r="B135" s="53" t="s">
        <v>361</v>
      </c>
      <c r="C135" s="69">
        <v>94229</v>
      </c>
      <c r="D135" s="56" t="s">
        <v>363</v>
      </c>
      <c r="E135" s="47" t="s">
        <v>37</v>
      </c>
      <c r="F135" s="72">
        <v>165.04</v>
      </c>
      <c r="G135" s="78">
        <v>52.64</v>
      </c>
      <c r="H135" s="79"/>
      <c r="I135" s="79"/>
      <c r="J135" s="31"/>
      <c r="K135" s="79"/>
      <c r="L135" s="79"/>
      <c r="M135" s="79"/>
      <c r="N135" s="78"/>
      <c r="O135" s="67">
        <f t="shared" si="9"/>
        <v>0</v>
      </c>
      <c r="P135" s="67">
        <f t="shared" si="10"/>
        <v>52.64</v>
      </c>
      <c r="Q135" s="67">
        <f t="shared" si="11"/>
        <v>8687.7055999999993</v>
      </c>
      <c r="R135" s="74">
        <f t="shared" si="12"/>
        <v>0</v>
      </c>
      <c r="S135" s="74">
        <f t="shared" si="13"/>
        <v>0</v>
      </c>
      <c r="T135" s="80"/>
      <c r="U135" s="80"/>
      <c r="V135" s="80"/>
      <c r="W135" s="74"/>
      <c r="X135" s="81"/>
      <c r="Y135" s="75">
        <f t="shared" si="14"/>
        <v>0</v>
      </c>
      <c r="Z135" s="76">
        <f t="shared" si="15"/>
        <v>8687.7055999999993</v>
      </c>
      <c r="AA135" s="192">
        <f t="shared" si="16"/>
        <v>0</v>
      </c>
    </row>
    <row r="136" spans="2:27" ht="22.5" x14ac:dyDescent="0.25">
      <c r="B136" s="53" t="s">
        <v>364</v>
      </c>
      <c r="C136" s="69">
        <v>96113</v>
      </c>
      <c r="D136" s="56" t="s">
        <v>366</v>
      </c>
      <c r="E136" s="47" t="s">
        <v>17</v>
      </c>
      <c r="F136" s="72">
        <v>34.25</v>
      </c>
      <c r="G136" s="78">
        <v>634.5</v>
      </c>
      <c r="H136" s="79"/>
      <c r="I136" s="79"/>
      <c r="J136" s="31"/>
      <c r="K136" s="79"/>
      <c r="L136" s="79"/>
      <c r="M136" s="79"/>
      <c r="N136" s="78"/>
      <c r="O136" s="67">
        <f t="shared" si="9"/>
        <v>0</v>
      </c>
      <c r="P136" s="67">
        <f t="shared" si="10"/>
        <v>634.5</v>
      </c>
      <c r="Q136" s="67">
        <f t="shared" si="11"/>
        <v>21731.625</v>
      </c>
      <c r="R136" s="74">
        <f t="shared" si="12"/>
        <v>0</v>
      </c>
      <c r="S136" s="74">
        <f t="shared" si="13"/>
        <v>0</v>
      </c>
      <c r="T136" s="80"/>
      <c r="U136" s="80"/>
      <c r="V136" s="80"/>
      <c r="W136" s="74"/>
      <c r="X136" s="81"/>
      <c r="Y136" s="75">
        <f t="shared" si="14"/>
        <v>0</v>
      </c>
      <c r="Z136" s="76">
        <f t="shared" si="15"/>
        <v>21731.625</v>
      </c>
      <c r="AA136" s="192">
        <f t="shared" si="16"/>
        <v>0</v>
      </c>
    </row>
    <row r="137" spans="2:27" ht="14.45" customHeight="1" x14ac:dyDescent="0.25">
      <c r="B137" s="54">
        <v>1.1299999999999999</v>
      </c>
      <c r="C137" s="68" t="s">
        <v>368</v>
      </c>
      <c r="D137" s="56"/>
      <c r="E137" s="47"/>
      <c r="F137" s="72"/>
      <c r="G137" s="78"/>
      <c r="H137" s="79"/>
      <c r="I137" s="79"/>
      <c r="J137" s="31"/>
      <c r="K137" s="79"/>
      <c r="L137" s="79"/>
      <c r="M137" s="79"/>
      <c r="N137" s="78"/>
      <c r="O137" s="67"/>
      <c r="P137" s="67"/>
      <c r="Q137" s="67"/>
      <c r="R137" s="74">
        <f t="shared" si="12"/>
        <v>0</v>
      </c>
      <c r="S137" s="74">
        <f t="shared" si="13"/>
        <v>0</v>
      </c>
      <c r="T137" s="80"/>
      <c r="U137" s="80"/>
      <c r="V137" s="80"/>
      <c r="W137" s="74"/>
      <c r="X137" s="81"/>
      <c r="Y137" s="75">
        <f t="shared" si="14"/>
        <v>0</v>
      </c>
      <c r="Z137" s="76">
        <f t="shared" si="15"/>
        <v>0</v>
      </c>
      <c r="AA137" s="192"/>
    </row>
    <row r="138" spans="2:27" ht="56.25" x14ac:dyDescent="0.25">
      <c r="B138" s="53" t="s">
        <v>369</v>
      </c>
      <c r="C138" s="69">
        <v>91785</v>
      </c>
      <c r="D138" s="56" t="s">
        <v>371</v>
      </c>
      <c r="E138" s="47" t="s">
        <v>37</v>
      </c>
      <c r="F138" s="72">
        <v>39.15</v>
      </c>
      <c r="G138" s="78">
        <v>98.77</v>
      </c>
      <c r="H138" s="31"/>
      <c r="I138" s="79"/>
      <c r="J138" s="31"/>
      <c r="K138" s="79"/>
      <c r="L138" s="79"/>
      <c r="M138" s="79"/>
      <c r="N138" s="78"/>
      <c r="O138" s="67">
        <f t="shared" si="9"/>
        <v>0</v>
      </c>
      <c r="P138" s="67">
        <f t="shared" si="10"/>
        <v>98.77</v>
      </c>
      <c r="Q138" s="67">
        <f t="shared" si="11"/>
        <v>3866.8454999999999</v>
      </c>
      <c r="R138" s="74">
        <f t="shared" si="12"/>
        <v>0</v>
      </c>
      <c r="S138" s="74">
        <f t="shared" si="13"/>
        <v>0</v>
      </c>
      <c r="T138" s="80"/>
      <c r="U138" s="80"/>
      <c r="V138" s="80"/>
      <c r="W138" s="74"/>
      <c r="X138" s="81"/>
      <c r="Y138" s="75">
        <f t="shared" si="14"/>
        <v>0</v>
      </c>
      <c r="Z138" s="76">
        <f t="shared" si="15"/>
        <v>3866.8454999999999</v>
      </c>
      <c r="AA138" s="192">
        <f t="shared" si="16"/>
        <v>0</v>
      </c>
    </row>
    <row r="139" spans="2:27" ht="56.25" x14ac:dyDescent="0.25">
      <c r="B139" s="53" t="s">
        <v>372</v>
      </c>
      <c r="C139" s="69">
        <v>91784</v>
      </c>
      <c r="D139" s="56" t="s">
        <v>374</v>
      </c>
      <c r="E139" s="47" t="s">
        <v>37</v>
      </c>
      <c r="F139" s="72">
        <v>40.17</v>
      </c>
      <c r="G139" s="78">
        <v>62.17</v>
      </c>
      <c r="H139" s="31"/>
      <c r="I139" s="79"/>
      <c r="J139" s="31"/>
      <c r="K139" s="79"/>
      <c r="L139" s="79"/>
      <c r="M139" s="79"/>
      <c r="N139" s="78"/>
      <c r="O139" s="67">
        <f t="shared" si="9"/>
        <v>0</v>
      </c>
      <c r="P139" s="67">
        <f t="shared" si="10"/>
        <v>62.17</v>
      </c>
      <c r="Q139" s="67">
        <f t="shared" si="11"/>
        <v>2497.3689000000004</v>
      </c>
      <c r="R139" s="74">
        <f t="shared" si="12"/>
        <v>0</v>
      </c>
      <c r="S139" s="74">
        <f t="shared" si="13"/>
        <v>0</v>
      </c>
      <c r="T139" s="80"/>
      <c r="U139" s="80"/>
      <c r="V139" s="80"/>
      <c r="W139" s="74"/>
      <c r="X139" s="81"/>
      <c r="Y139" s="75">
        <f t="shared" si="14"/>
        <v>0</v>
      </c>
      <c r="Z139" s="76">
        <f t="shared" si="15"/>
        <v>2497.3689000000004</v>
      </c>
      <c r="AA139" s="192">
        <f t="shared" si="16"/>
        <v>0</v>
      </c>
    </row>
    <row r="140" spans="2:27" ht="56.25" x14ac:dyDescent="0.25">
      <c r="B140" s="53" t="s">
        <v>375</v>
      </c>
      <c r="C140" s="69">
        <v>91786</v>
      </c>
      <c r="D140" s="56" t="s">
        <v>377</v>
      </c>
      <c r="E140" s="47" t="s">
        <v>37</v>
      </c>
      <c r="F140" s="72">
        <v>30.41</v>
      </c>
      <c r="G140" s="78">
        <v>24.75</v>
      </c>
      <c r="H140" s="31"/>
      <c r="I140" s="79"/>
      <c r="J140" s="31"/>
      <c r="K140" s="79"/>
      <c r="L140" s="79"/>
      <c r="M140" s="79"/>
      <c r="N140" s="78"/>
      <c r="O140" s="67">
        <f t="shared" si="9"/>
        <v>0</v>
      </c>
      <c r="P140" s="67">
        <f t="shared" si="10"/>
        <v>24.75</v>
      </c>
      <c r="Q140" s="67">
        <f t="shared" si="11"/>
        <v>752.64750000000004</v>
      </c>
      <c r="R140" s="74">
        <f t="shared" si="12"/>
        <v>0</v>
      </c>
      <c r="S140" s="74">
        <f t="shared" si="13"/>
        <v>0</v>
      </c>
      <c r="T140" s="80"/>
      <c r="U140" s="80"/>
      <c r="V140" s="80"/>
      <c r="W140" s="74"/>
      <c r="X140" s="81"/>
      <c r="Y140" s="75">
        <f t="shared" si="14"/>
        <v>0</v>
      </c>
      <c r="Z140" s="76">
        <f t="shared" si="15"/>
        <v>752.64750000000004</v>
      </c>
      <c r="AA140" s="192">
        <f t="shared" si="16"/>
        <v>0</v>
      </c>
    </row>
    <row r="141" spans="2:27" ht="45" x14ac:dyDescent="0.25">
      <c r="B141" s="53" t="s">
        <v>378</v>
      </c>
      <c r="C141" s="69">
        <v>91787</v>
      </c>
      <c r="D141" s="56" t="s">
        <v>380</v>
      </c>
      <c r="E141" s="47" t="s">
        <v>37</v>
      </c>
      <c r="F141" s="72">
        <v>36.86</v>
      </c>
      <c r="G141" s="78">
        <v>25.92</v>
      </c>
      <c r="H141" s="31"/>
      <c r="I141" s="79"/>
      <c r="J141" s="31"/>
      <c r="K141" s="79"/>
      <c r="L141" s="79"/>
      <c r="M141" s="79"/>
      <c r="N141" s="78"/>
      <c r="O141" s="67">
        <f t="shared" si="9"/>
        <v>0</v>
      </c>
      <c r="P141" s="67">
        <f t="shared" si="10"/>
        <v>25.92</v>
      </c>
      <c r="Q141" s="67">
        <f t="shared" si="11"/>
        <v>955.41120000000001</v>
      </c>
      <c r="R141" s="74">
        <f t="shared" si="12"/>
        <v>0</v>
      </c>
      <c r="S141" s="74">
        <f t="shared" si="13"/>
        <v>0</v>
      </c>
      <c r="T141" s="80"/>
      <c r="U141" s="80"/>
      <c r="V141" s="80"/>
      <c r="W141" s="74"/>
      <c r="X141" s="81"/>
      <c r="Y141" s="75">
        <f t="shared" si="14"/>
        <v>0</v>
      </c>
      <c r="Z141" s="76">
        <f t="shared" si="15"/>
        <v>955.41120000000001</v>
      </c>
      <c r="AA141" s="192">
        <f t="shared" si="16"/>
        <v>0</v>
      </c>
    </row>
    <row r="142" spans="2:27" ht="33.75" x14ac:dyDescent="0.25">
      <c r="B142" s="53" t="s">
        <v>381</v>
      </c>
      <c r="C142" s="69">
        <v>89987</v>
      </c>
      <c r="D142" s="56" t="s">
        <v>383</v>
      </c>
      <c r="E142" s="47" t="s">
        <v>166</v>
      </c>
      <c r="F142" s="72">
        <v>102.73</v>
      </c>
      <c r="G142" s="78">
        <v>10</v>
      </c>
      <c r="H142" s="31"/>
      <c r="I142" s="79"/>
      <c r="J142" s="31"/>
      <c r="K142" s="79"/>
      <c r="L142" s="79"/>
      <c r="M142" s="79"/>
      <c r="N142" s="78"/>
      <c r="O142" s="67">
        <f t="shared" si="9"/>
        <v>0</v>
      </c>
      <c r="P142" s="67">
        <f t="shared" si="10"/>
        <v>10</v>
      </c>
      <c r="Q142" s="67">
        <f t="shared" si="11"/>
        <v>1027.3</v>
      </c>
      <c r="R142" s="74">
        <f t="shared" si="12"/>
        <v>0</v>
      </c>
      <c r="S142" s="74">
        <f t="shared" si="13"/>
        <v>0</v>
      </c>
      <c r="T142" s="80"/>
      <c r="U142" s="80"/>
      <c r="V142" s="80"/>
      <c r="W142" s="74"/>
      <c r="X142" s="81"/>
      <c r="Y142" s="75">
        <f t="shared" si="14"/>
        <v>0</v>
      </c>
      <c r="Z142" s="76">
        <f t="shared" si="15"/>
        <v>1027.3</v>
      </c>
      <c r="AA142" s="192">
        <f t="shared" si="16"/>
        <v>0</v>
      </c>
    </row>
    <row r="143" spans="2:27" ht="22.5" x14ac:dyDescent="0.25">
      <c r="B143" s="53" t="s">
        <v>384</v>
      </c>
      <c r="C143" s="69">
        <v>94490</v>
      </c>
      <c r="D143" s="56" t="s">
        <v>386</v>
      </c>
      <c r="E143" s="47" t="s">
        <v>166</v>
      </c>
      <c r="F143" s="72">
        <v>29.96</v>
      </c>
      <c r="G143" s="78">
        <v>2</v>
      </c>
      <c r="H143" s="31"/>
      <c r="I143" s="79"/>
      <c r="J143" s="31"/>
      <c r="K143" s="79"/>
      <c r="L143" s="79"/>
      <c r="M143" s="79"/>
      <c r="N143" s="78"/>
      <c r="O143" s="67">
        <f t="shared" ref="O143:O195" si="17">H143+I143+J143+K143+L143+M143+N143</f>
        <v>0</v>
      </c>
      <c r="P143" s="67">
        <f t="shared" ref="P143:P195" si="18">G143-O143</f>
        <v>2</v>
      </c>
      <c r="Q143" s="67">
        <f t="shared" ref="Q143:Q195" si="19">F143*G143</f>
        <v>59.92</v>
      </c>
      <c r="R143" s="74">
        <f t="shared" ref="R143:R195" si="20">F143*H143</f>
        <v>0</v>
      </c>
      <c r="S143" s="74">
        <f t="shared" ref="S143:S195" si="21">F143*I143</f>
        <v>0</v>
      </c>
      <c r="T143" s="80"/>
      <c r="U143" s="80"/>
      <c r="V143" s="80"/>
      <c r="W143" s="74"/>
      <c r="X143" s="81"/>
      <c r="Y143" s="75">
        <f t="shared" ref="Y143:Y195" si="22">R143+S143+T143+U143+V143+W143</f>
        <v>0</v>
      </c>
      <c r="Z143" s="76">
        <f t="shared" ref="Z143:Z196" si="23">Q143-Y143</f>
        <v>59.92</v>
      </c>
      <c r="AA143" s="192">
        <f t="shared" ref="AA143:AA196" si="24">Y143/Q143</f>
        <v>0</v>
      </c>
    </row>
    <row r="144" spans="2:27" ht="33.75" x14ac:dyDescent="0.25">
      <c r="B144" s="53" t="s">
        <v>387</v>
      </c>
      <c r="C144" s="69">
        <v>89985</v>
      </c>
      <c r="D144" s="56" t="s">
        <v>389</v>
      </c>
      <c r="E144" s="47" t="s">
        <v>166</v>
      </c>
      <c r="F144" s="72">
        <v>97.38</v>
      </c>
      <c r="G144" s="78">
        <v>6</v>
      </c>
      <c r="H144" s="31"/>
      <c r="I144" s="79"/>
      <c r="J144" s="31"/>
      <c r="K144" s="79"/>
      <c r="L144" s="79"/>
      <c r="M144" s="79"/>
      <c r="N144" s="78"/>
      <c r="O144" s="67">
        <f t="shared" si="17"/>
        <v>0</v>
      </c>
      <c r="P144" s="67">
        <f t="shared" si="18"/>
        <v>6</v>
      </c>
      <c r="Q144" s="67">
        <f t="shared" si="19"/>
        <v>584.28</v>
      </c>
      <c r="R144" s="74">
        <f t="shared" si="20"/>
        <v>0</v>
      </c>
      <c r="S144" s="74">
        <f t="shared" si="21"/>
        <v>0</v>
      </c>
      <c r="T144" s="80"/>
      <c r="U144" s="80"/>
      <c r="V144" s="80"/>
      <c r="W144" s="74"/>
      <c r="X144" s="81"/>
      <c r="Y144" s="75">
        <f t="shared" si="22"/>
        <v>0</v>
      </c>
      <c r="Z144" s="76">
        <f t="shared" si="23"/>
        <v>584.28</v>
      </c>
      <c r="AA144" s="192">
        <f t="shared" si="24"/>
        <v>0</v>
      </c>
    </row>
    <row r="145" spans="2:27" ht="33.75" x14ac:dyDescent="0.25">
      <c r="B145" s="53" t="s">
        <v>390</v>
      </c>
      <c r="C145" s="69">
        <v>102613</v>
      </c>
      <c r="D145" s="56" t="s">
        <v>392</v>
      </c>
      <c r="E145" s="47" t="s">
        <v>166</v>
      </c>
      <c r="F145" s="72">
        <v>742.5</v>
      </c>
      <c r="G145" s="78">
        <v>2</v>
      </c>
      <c r="H145" s="31"/>
      <c r="I145" s="79"/>
      <c r="J145" s="31"/>
      <c r="K145" s="79"/>
      <c r="L145" s="79"/>
      <c r="M145" s="79"/>
      <c r="N145" s="78"/>
      <c r="O145" s="67">
        <f t="shared" si="17"/>
        <v>0</v>
      </c>
      <c r="P145" s="67">
        <f t="shared" si="18"/>
        <v>2</v>
      </c>
      <c r="Q145" s="67">
        <f t="shared" si="19"/>
        <v>1485</v>
      </c>
      <c r="R145" s="74">
        <f t="shared" si="20"/>
        <v>0</v>
      </c>
      <c r="S145" s="74">
        <f t="shared" si="21"/>
        <v>0</v>
      </c>
      <c r="T145" s="80"/>
      <c r="U145" s="80"/>
      <c r="V145" s="80"/>
      <c r="W145" s="74"/>
      <c r="X145" s="81"/>
      <c r="Y145" s="75">
        <f t="shared" si="22"/>
        <v>0</v>
      </c>
      <c r="Z145" s="76">
        <f t="shared" si="23"/>
        <v>1485</v>
      </c>
      <c r="AA145" s="192">
        <f t="shared" si="24"/>
        <v>0</v>
      </c>
    </row>
    <row r="146" spans="2:27" ht="22.5" x14ac:dyDescent="0.25">
      <c r="B146" s="53" t="s">
        <v>393</v>
      </c>
      <c r="C146" s="69">
        <v>102609</v>
      </c>
      <c r="D146" s="56" t="s">
        <v>395</v>
      </c>
      <c r="E146" s="47" t="s">
        <v>166</v>
      </c>
      <c r="F146" s="72">
        <v>1379.9</v>
      </c>
      <c r="G146" s="78">
        <v>2</v>
      </c>
      <c r="H146" s="31"/>
      <c r="I146" s="79"/>
      <c r="J146" s="31"/>
      <c r="K146" s="79"/>
      <c r="L146" s="79"/>
      <c r="M146" s="79"/>
      <c r="N146" s="78"/>
      <c r="O146" s="67">
        <f t="shared" si="17"/>
        <v>0</v>
      </c>
      <c r="P146" s="67">
        <f t="shared" si="18"/>
        <v>2</v>
      </c>
      <c r="Q146" s="67">
        <f t="shared" si="19"/>
        <v>2759.8</v>
      </c>
      <c r="R146" s="74">
        <f t="shared" si="20"/>
        <v>0</v>
      </c>
      <c r="S146" s="74">
        <f t="shared" si="21"/>
        <v>0</v>
      </c>
      <c r="T146" s="80"/>
      <c r="U146" s="80"/>
      <c r="V146" s="80"/>
      <c r="W146" s="74"/>
      <c r="X146" s="81"/>
      <c r="Y146" s="75">
        <f t="shared" si="22"/>
        <v>0</v>
      </c>
      <c r="Z146" s="76">
        <f t="shared" si="23"/>
        <v>2759.8</v>
      </c>
      <c r="AA146" s="192">
        <f t="shared" si="24"/>
        <v>0</v>
      </c>
    </row>
    <row r="147" spans="2:27" ht="22.5" x14ac:dyDescent="0.25">
      <c r="B147" s="53" t="s">
        <v>396</v>
      </c>
      <c r="C147" s="69">
        <v>94796</v>
      </c>
      <c r="D147" s="56" t="s">
        <v>398</v>
      </c>
      <c r="E147" s="47" t="s">
        <v>166</v>
      </c>
      <c r="F147" s="72">
        <v>47</v>
      </c>
      <c r="G147" s="78">
        <v>4</v>
      </c>
      <c r="H147" s="31"/>
      <c r="I147" s="79"/>
      <c r="J147" s="31"/>
      <c r="K147" s="79"/>
      <c r="L147" s="79"/>
      <c r="M147" s="79"/>
      <c r="N147" s="78"/>
      <c r="O147" s="67">
        <f t="shared" si="17"/>
        <v>0</v>
      </c>
      <c r="P147" s="67">
        <f t="shared" si="18"/>
        <v>4</v>
      </c>
      <c r="Q147" s="67">
        <f t="shared" si="19"/>
        <v>188</v>
      </c>
      <c r="R147" s="74">
        <f t="shared" si="20"/>
        <v>0</v>
      </c>
      <c r="S147" s="74">
        <f t="shared" si="21"/>
        <v>0</v>
      </c>
      <c r="T147" s="80"/>
      <c r="U147" s="80"/>
      <c r="V147" s="80"/>
      <c r="W147" s="74"/>
      <c r="X147" s="81"/>
      <c r="Y147" s="75">
        <f t="shared" si="22"/>
        <v>0</v>
      </c>
      <c r="Z147" s="76">
        <f t="shared" si="23"/>
        <v>188</v>
      </c>
      <c r="AA147" s="192">
        <f t="shared" si="24"/>
        <v>0</v>
      </c>
    </row>
    <row r="148" spans="2:27" ht="22.5" x14ac:dyDescent="0.25">
      <c r="B148" s="53" t="s">
        <v>399</v>
      </c>
      <c r="C148" s="69">
        <v>94491</v>
      </c>
      <c r="D148" s="56" t="s">
        <v>401</v>
      </c>
      <c r="E148" s="47" t="s">
        <v>166</v>
      </c>
      <c r="F148" s="72">
        <v>40.99</v>
      </c>
      <c r="G148" s="78">
        <v>4</v>
      </c>
      <c r="H148" s="31"/>
      <c r="I148" s="79"/>
      <c r="J148" s="31"/>
      <c r="K148" s="79"/>
      <c r="L148" s="79"/>
      <c r="M148" s="79"/>
      <c r="N148" s="78"/>
      <c r="O148" s="67">
        <f t="shared" si="17"/>
        <v>0</v>
      </c>
      <c r="P148" s="67">
        <f t="shared" si="18"/>
        <v>4</v>
      </c>
      <c r="Q148" s="67">
        <f t="shared" si="19"/>
        <v>163.96</v>
      </c>
      <c r="R148" s="74">
        <f t="shared" si="20"/>
        <v>0</v>
      </c>
      <c r="S148" s="74">
        <f t="shared" si="21"/>
        <v>0</v>
      </c>
      <c r="T148" s="80"/>
      <c r="U148" s="80"/>
      <c r="V148" s="80"/>
      <c r="W148" s="74"/>
      <c r="X148" s="81"/>
      <c r="Y148" s="75">
        <f t="shared" si="22"/>
        <v>0</v>
      </c>
      <c r="Z148" s="76">
        <f t="shared" si="23"/>
        <v>163.96</v>
      </c>
      <c r="AA148" s="192">
        <f t="shared" si="24"/>
        <v>0</v>
      </c>
    </row>
    <row r="149" spans="2:27" ht="22.5" x14ac:dyDescent="0.25">
      <c r="B149" s="53" t="s">
        <v>402</v>
      </c>
      <c r="C149" s="69">
        <v>94492</v>
      </c>
      <c r="D149" s="56" t="s">
        <v>404</v>
      </c>
      <c r="E149" s="47" t="s">
        <v>166</v>
      </c>
      <c r="F149" s="72">
        <v>42.12</v>
      </c>
      <c r="G149" s="78">
        <v>2</v>
      </c>
      <c r="H149" s="31"/>
      <c r="I149" s="79"/>
      <c r="J149" s="31"/>
      <c r="K149" s="79"/>
      <c r="L149" s="79"/>
      <c r="M149" s="79"/>
      <c r="N149" s="78"/>
      <c r="O149" s="67">
        <f t="shared" si="17"/>
        <v>0</v>
      </c>
      <c r="P149" s="67">
        <f t="shared" si="18"/>
        <v>2</v>
      </c>
      <c r="Q149" s="67">
        <f t="shared" si="19"/>
        <v>84.24</v>
      </c>
      <c r="R149" s="74">
        <f t="shared" si="20"/>
        <v>0</v>
      </c>
      <c r="S149" s="74">
        <f t="shared" si="21"/>
        <v>0</v>
      </c>
      <c r="T149" s="80"/>
      <c r="U149" s="80"/>
      <c r="V149" s="80"/>
      <c r="W149" s="74"/>
      <c r="X149" s="81"/>
      <c r="Y149" s="75">
        <f t="shared" si="22"/>
        <v>0</v>
      </c>
      <c r="Z149" s="76">
        <f t="shared" si="23"/>
        <v>84.24</v>
      </c>
      <c r="AA149" s="192">
        <f t="shared" si="24"/>
        <v>0</v>
      </c>
    </row>
    <row r="150" spans="2:27" ht="22.5" x14ac:dyDescent="0.25">
      <c r="B150" s="53" t="s">
        <v>405</v>
      </c>
      <c r="C150" s="69">
        <v>95675</v>
      </c>
      <c r="D150" s="56" t="s">
        <v>407</v>
      </c>
      <c r="E150" s="47" t="s">
        <v>166</v>
      </c>
      <c r="F150" s="72">
        <v>147.76</v>
      </c>
      <c r="G150" s="78">
        <v>1</v>
      </c>
      <c r="H150" s="31"/>
      <c r="I150" s="79"/>
      <c r="J150" s="31"/>
      <c r="K150" s="79"/>
      <c r="L150" s="79"/>
      <c r="M150" s="79"/>
      <c r="N150" s="78"/>
      <c r="O150" s="67">
        <f t="shared" si="17"/>
        <v>0</v>
      </c>
      <c r="P150" s="67">
        <f t="shared" si="18"/>
        <v>1</v>
      </c>
      <c r="Q150" s="67">
        <f t="shared" si="19"/>
        <v>147.76</v>
      </c>
      <c r="R150" s="74">
        <f t="shared" si="20"/>
        <v>0</v>
      </c>
      <c r="S150" s="74">
        <f t="shared" si="21"/>
        <v>0</v>
      </c>
      <c r="T150" s="80"/>
      <c r="U150" s="80"/>
      <c r="V150" s="80"/>
      <c r="W150" s="74"/>
      <c r="X150" s="81"/>
      <c r="Y150" s="75">
        <f t="shared" si="22"/>
        <v>0</v>
      </c>
      <c r="Z150" s="76">
        <f t="shared" si="23"/>
        <v>147.76</v>
      </c>
      <c r="AA150" s="192">
        <f t="shared" si="24"/>
        <v>0</v>
      </c>
    </row>
    <row r="151" spans="2:27" ht="33.75" x14ac:dyDescent="0.25">
      <c r="B151" s="53" t="s">
        <v>408</v>
      </c>
      <c r="C151" s="69">
        <v>97902</v>
      </c>
      <c r="D151" s="56" t="s">
        <v>410</v>
      </c>
      <c r="E151" s="47" t="s">
        <v>166</v>
      </c>
      <c r="F151" s="72">
        <v>503.94</v>
      </c>
      <c r="G151" s="78">
        <v>7</v>
      </c>
      <c r="H151" s="31"/>
      <c r="I151" s="79"/>
      <c r="J151" s="31"/>
      <c r="K151" s="79"/>
      <c r="L151" s="79"/>
      <c r="M151" s="79"/>
      <c r="N151" s="78"/>
      <c r="O151" s="67">
        <f t="shared" si="17"/>
        <v>0</v>
      </c>
      <c r="P151" s="67">
        <f t="shared" si="18"/>
        <v>7</v>
      </c>
      <c r="Q151" s="67">
        <f t="shared" si="19"/>
        <v>3527.58</v>
      </c>
      <c r="R151" s="74">
        <f t="shared" si="20"/>
        <v>0</v>
      </c>
      <c r="S151" s="74">
        <f t="shared" si="21"/>
        <v>0</v>
      </c>
      <c r="T151" s="80"/>
      <c r="U151" s="80"/>
      <c r="V151" s="80"/>
      <c r="W151" s="74"/>
      <c r="X151" s="81"/>
      <c r="Y151" s="75">
        <f t="shared" si="22"/>
        <v>0</v>
      </c>
      <c r="Z151" s="76">
        <f t="shared" si="23"/>
        <v>3527.58</v>
      </c>
      <c r="AA151" s="192">
        <f t="shared" si="24"/>
        <v>0</v>
      </c>
    </row>
    <row r="152" spans="2:27" ht="33.75" x14ac:dyDescent="0.25">
      <c r="B152" s="53" t="s">
        <v>411</v>
      </c>
      <c r="C152" s="69">
        <v>99258</v>
      </c>
      <c r="D152" s="56" t="s">
        <v>413</v>
      </c>
      <c r="E152" s="47" t="s">
        <v>166</v>
      </c>
      <c r="F152" s="72">
        <v>206.7</v>
      </c>
      <c r="G152" s="78">
        <v>1</v>
      </c>
      <c r="H152" s="31"/>
      <c r="I152" s="79"/>
      <c r="J152" s="31"/>
      <c r="K152" s="79"/>
      <c r="L152" s="79"/>
      <c r="M152" s="79"/>
      <c r="N152" s="78"/>
      <c r="O152" s="67">
        <f t="shared" si="17"/>
        <v>0</v>
      </c>
      <c r="P152" s="67">
        <f t="shared" si="18"/>
        <v>1</v>
      </c>
      <c r="Q152" s="67">
        <f t="shared" si="19"/>
        <v>206.7</v>
      </c>
      <c r="R152" s="74">
        <f t="shared" si="20"/>
        <v>0</v>
      </c>
      <c r="S152" s="74">
        <f t="shared" si="21"/>
        <v>0</v>
      </c>
      <c r="T152" s="80"/>
      <c r="U152" s="80"/>
      <c r="V152" s="80"/>
      <c r="W152" s="74"/>
      <c r="X152" s="81"/>
      <c r="Y152" s="75">
        <f t="shared" si="22"/>
        <v>0</v>
      </c>
      <c r="Z152" s="76">
        <f t="shared" si="23"/>
        <v>206.7</v>
      </c>
      <c r="AA152" s="192">
        <f t="shared" si="24"/>
        <v>0</v>
      </c>
    </row>
    <row r="153" spans="2:27" ht="33.75" x14ac:dyDescent="0.25">
      <c r="B153" s="53" t="s">
        <v>414</v>
      </c>
      <c r="C153" s="69">
        <v>89482</v>
      </c>
      <c r="D153" s="56" t="s">
        <v>416</v>
      </c>
      <c r="E153" s="47" t="s">
        <v>166</v>
      </c>
      <c r="F153" s="72">
        <v>32.83</v>
      </c>
      <c r="G153" s="78">
        <v>10</v>
      </c>
      <c r="H153" s="31"/>
      <c r="I153" s="79"/>
      <c r="J153" s="31"/>
      <c r="K153" s="79"/>
      <c r="L153" s="79"/>
      <c r="M153" s="79"/>
      <c r="N153" s="78"/>
      <c r="O153" s="67">
        <f t="shared" si="17"/>
        <v>0</v>
      </c>
      <c r="P153" s="67">
        <f t="shared" si="18"/>
        <v>10</v>
      </c>
      <c r="Q153" s="67">
        <f t="shared" si="19"/>
        <v>328.29999999999995</v>
      </c>
      <c r="R153" s="74">
        <f t="shared" si="20"/>
        <v>0</v>
      </c>
      <c r="S153" s="74">
        <f t="shared" si="21"/>
        <v>0</v>
      </c>
      <c r="T153" s="80"/>
      <c r="U153" s="80"/>
      <c r="V153" s="80"/>
      <c r="W153" s="74"/>
      <c r="X153" s="81"/>
      <c r="Y153" s="75">
        <f t="shared" si="22"/>
        <v>0</v>
      </c>
      <c r="Z153" s="76">
        <f t="shared" si="23"/>
        <v>328.29999999999995</v>
      </c>
      <c r="AA153" s="192">
        <f t="shared" si="24"/>
        <v>0</v>
      </c>
    </row>
    <row r="154" spans="2:27" ht="56.25" x14ac:dyDescent="0.25">
      <c r="B154" s="53" t="s">
        <v>417</v>
      </c>
      <c r="C154" s="69">
        <v>91792</v>
      </c>
      <c r="D154" s="56" t="s">
        <v>419</v>
      </c>
      <c r="E154" s="47" t="s">
        <v>37</v>
      </c>
      <c r="F154" s="72">
        <v>54.23</v>
      </c>
      <c r="G154" s="78">
        <v>38.85</v>
      </c>
      <c r="H154" s="31"/>
      <c r="I154" s="79"/>
      <c r="J154" s="31"/>
      <c r="K154" s="79"/>
      <c r="L154" s="79"/>
      <c r="M154" s="79"/>
      <c r="N154" s="78"/>
      <c r="O154" s="67">
        <f t="shared" si="17"/>
        <v>0</v>
      </c>
      <c r="P154" s="67">
        <f t="shared" si="18"/>
        <v>38.85</v>
      </c>
      <c r="Q154" s="67">
        <f t="shared" si="19"/>
        <v>2106.8355000000001</v>
      </c>
      <c r="R154" s="74">
        <f t="shared" si="20"/>
        <v>0</v>
      </c>
      <c r="S154" s="74">
        <f t="shared" si="21"/>
        <v>0</v>
      </c>
      <c r="T154" s="80"/>
      <c r="U154" s="80"/>
      <c r="V154" s="80"/>
      <c r="W154" s="74"/>
      <c r="X154" s="81"/>
      <c r="Y154" s="75">
        <f t="shared" si="22"/>
        <v>0</v>
      </c>
      <c r="Z154" s="76">
        <f t="shared" si="23"/>
        <v>2106.8355000000001</v>
      </c>
      <c r="AA154" s="192">
        <f t="shared" si="24"/>
        <v>0</v>
      </c>
    </row>
    <row r="155" spans="2:27" ht="56.25" x14ac:dyDescent="0.25">
      <c r="B155" s="53" t="s">
        <v>420</v>
      </c>
      <c r="C155" s="69">
        <v>91793</v>
      </c>
      <c r="D155" s="56" t="s">
        <v>422</v>
      </c>
      <c r="E155" s="47" t="s">
        <v>37</v>
      </c>
      <c r="F155" s="72">
        <v>87.3</v>
      </c>
      <c r="G155" s="78">
        <v>46.51</v>
      </c>
      <c r="H155" s="31"/>
      <c r="I155" s="79"/>
      <c r="J155" s="31"/>
      <c r="K155" s="79"/>
      <c r="L155" s="79"/>
      <c r="M155" s="79"/>
      <c r="N155" s="78"/>
      <c r="O155" s="67">
        <f t="shared" si="17"/>
        <v>0</v>
      </c>
      <c r="P155" s="67">
        <f t="shared" si="18"/>
        <v>46.51</v>
      </c>
      <c r="Q155" s="67">
        <f t="shared" si="19"/>
        <v>4060.3229999999999</v>
      </c>
      <c r="R155" s="74">
        <f t="shared" si="20"/>
        <v>0</v>
      </c>
      <c r="S155" s="74">
        <f t="shared" si="21"/>
        <v>0</v>
      </c>
      <c r="T155" s="80"/>
      <c r="U155" s="80"/>
      <c r="V155" s="80"/>
      <c r="W155" s="74"/>
      <c r="X155" s="81"/>
      <c r="Y155" s="75">
        <f t="shared" si="22"/>
        <v>0</v>
      </c>
      <c r="Z155" s="76">
        <f t="shared" si="23"/>
        <v>4060.3229999999999</v>
      </c>
      <c r="AA155" s="192">
        <f t="shared" si="24"/>
        <v>0</v>
      </c>
    </row>
    <row r="156" spans="2:27" ht="45" x14ac:dyDescent="0.25">
      <c r="B156" s="53" t="s">
        <v>423</v>
      </c>
      <c r="C156" s="69">
        <v>98107</v>
      </c>
      <c r="D156" s="56" t="s">
        <v>425</v>
      </c>
      <c r="E156" s="47" t="s">
        <v>166</v>
      </c>
      <c r="F156" s="72">
        <v>243.02</v>
      </c>
      <c r="G156" s="78">
        <v>1</v>
      </c>
      <c r="H156" s="31"/>
      <c r="I156" s="79"/>
      <c r="J156" s="31"/>
      <c r="K156" s="79"/>
      <c r="L156" s="79"/>
      <c r="M156" s="79"/>
      <c r="N156" s="78"/>
      <c r="O156" s="67">
        <f t="shared" si="17"/>
        <v>0</v>
      </c>
      <c r="P156" s="67">
        <f t="shared" si="18"/>
        <v>1</v>
      </c>
      <c r="Q156" s="67">
        <f t="shared" si="19"/>
        <v>243.02</v>
      </c>
      <c r="R156" s="74">
        <f t="shared" si="20"/>
        <v>0</v>
      </c>
      <c r="S156" s="74">
        <f t="shared" si="21"/>
        <v>0</v>
      </c>
      <c r="T156" s="80"/>
      <c r="U156" s="80"/>
      <c r="V156" s="80"/>
      <c r="W156" s="74"/>
      <c r="X156" s="81"/>
      <c r="Y156" s="75">
        <f t="shared" si="22"/>
        <v>0</v>
      </c>
      <c r="Z156" s="76">
        <f t="shared" si="23"/>
        <v>243.02</v>
      </c>
      <c r="AA156" s="192">
        <f t="shared" si="24"/>
        <v>0</v>
      </c>
    </row>
    <row r="157" spans="2:27" ht="56.25" x14ac:dyDescent="0.25">
      <c r="B157" s="53" t="s">
        <v>426</v>
      </c>
      <c r="C157" s="69">
        <v>91795</v>
      </c>
      <c r="D157" s="56" t="s">
        <v>428</v>
      </c>
      <c r="E157" s="47" t="s">
        <v>37</v>
      </c>
      <c r="F157" s="72">
        <v>65.239999999999995</v>
      </c>
      <c r="G157" s="78">
        <v>132.77000000000001</v>
      </c>
      <c r="H157" s="31"/>
      <c r="I157" s="79"/>
      <c r="J157" s="31"/>
      <c r="K157" s="79"/>
      <c r="L157" s="79"/>
      <c r="M157" s="79"/>
      <c r="N157" s="78"/>
      <c r="O157" s="67">
        <f t="shared" si="17"/>
        <v>0</v>
      </c>
      <c r="P157" s="67">
        <f t="shared" si="18"/>
        <v>132.77000000000001</v>
      </c>
      <c r="Q157" s="67">
        <f t="shared" si="19"/>
        <v>8661.9148000000005</v>
      </c>
      <c r="R157" s="74">
        <f t="shared" si="20"/>
        <v>0</v>
      </c>
      <c r="S157" s="74">
        <f t="shared" si="21"/>
        <v>0</v>
      </c>
      <c r="T157" s="80"/>
      <c r="U157" s="80"/>
      <c r="V157" s="80"/>
      <c r="W157" s="74"/>
      <c r="X157" s="81"/>
      <c r="Y157" s="75">
        <f t="shared" si="22"/>
        <v>0</v>
      </c>
      <c r="Z157" s="76">
        <f t="shared" si="23"/>
        <v>8661.9148000000005</v>
      </c>
      <c r="AA157" s="192">
        <f t="shared" si="24"/>
        <v>0</v>
      </c>
    </row>
    <row r="158" spans="2:27" ht="33.75" x14ac:dyDescent="0.25">
      <c r="B158" s="53" t="s">
        <v>429</v>
      </c>
      <c r="C158" s="69">
        <v>99251</v>
      </c>
      <c r="D158" s="70" t="s">
        <v>431</v>
      </c>
      <c r="E158" s="47" t="s">
        <v>166</v>
      </c>
      <c r="F158" s="72">
        <v>247.12</v>
      </c>
      <c r="G158" s="78">
        <v>2</v>
      </c>
      <c r="H158" s="31"/>
      <c r="I158" s="82"/>
      <c r="J158" s="31"/>
      <c r="K158" s="82"/>
      <c r="L158" s="82"/>
      <c r="M158" s="82"/>
      <c r="N158" s="82"/>
      <c r="O158" s="67">
        <f t="shared" si="17"/>
        <v>0</v>
      </c>
      <c r="P158" s="67">
        <f t="shared" si="18"/>
        <v>2</v>
      </c>
      <c r="Q158" s="67">
        <f t="shared" si="19"/>
        <v>494.24</v>
      </c>
      <c r="R158" s="74">
        <f t="shared" si="20"/>
        <v>0</v>
      </c>
      <c r="S158" s="74">
        <f t="shared" si="21"/>
        <v>0</v>
      </c>
      <c r="T158" s="80"/>
      <c r="U158" s="80"/>
      <c r="V158" s="80"/>
      <c r="W158" s="74"/>
      <c r="X158" s="81"/>
      <c r="Y158" s="75">
        <f t="shared" si="22"/>
        <v>0</v>
      </c>
      <c r="Z158" s="76">
        <f t="shared" si="23"/>
        <v>494.24</v>
      </c>
      <c r="AA158" s="192">
        <f t="shared" si="24"/>
        <v>0</v>
      </c>
    </row>
    <row r="159" spans="2:27" ht="56.25" x14ac:dyDescent="0.25">
      <c r="B159" s="53" t="s">
        <v>432</v>
      </c>
      <c r="C159" s="69">
        <v>91790</v>
      </c>
      <c r="D159" s="70" t="s">
        <v>434</v>
      </c>
      <c r="E159" s="47" t="s">
        <v>37</v>
      </c>
      <c r="F159" s="72">
        <v>56.42</v>
      </c>
      <c r="G159" s="78">
        <v>43.01</v>
      </c>
      <c r="H159" s="31"/>
      <c r="I159" s="82"/>
      <c r="J159" s="31"/>
      <c r="K159" s="82"/>
      <c r="L159" s="82"/>
      <c r="M159" s="82"/>
      <c r="N159" s="82"/>
      <c r="O159" s="67">
        <f t="shared" si="17"/>
        <v>0</v>
      </c>
      <c r="P159" s="67">
        <f t="shared" si="18"/>
        <v>43.01</v>
      </c>
      <c r="Q159" s="67">
        <f t="shared" si="19"/>
        <v>2426.6241999999997</v>
      </c>
      <c r="R159" s="74">
        <f t="shared" si="20"/>
        <v>0</v>
      </c>
      <c r="S159" s="74">
        <f t="shared" si="21"/>
        <v>0</v>
      </c>
      <c r="T159" s="80"/>
      <c r="U159" s="80"/>
      <c r="V159" s="80"/>
      <c r="W159" s="74"/>
      <c r="X159" s="81"/>
      <c r="Y159" s="75">
        <f t="shared" si="22"/>
        <v>0</v>
      </c>
      <c r="Z159" s="76">
        <f t="shared" si="23"/>
        <v>2426.6241999999997</v>
      </c>
      <c r="AA159" s="192">
        <f t="shared" si="24"/>
        <v>0</v>
      </c>
    </row>
    <row r="160" spans="2:27" ht="14.45" customHeight="1" x14ac:dyDescent="0.25">
      <c r="B160" s="54">
        <v>1.1399999999999999</v>
      </c>
      <c r="C160" s="68" t="s">
        <v>436</v>
      </c>
      <c r="D160" s="56"/>
      <c r="E160" s="47"/>
      <c r="F160" s="78"/>
      <c r="G160" s="78"/>
      <c r="H160" s="79"/>
      <c r="I160" s="79"/>
      <c r="J160" s="31"/>
      <c r="K160" s="79"/>
      <c r="L160" s="79"/>
      <c r="M160" s="79"/>
      <c r="N160" s="78"/>
      <c r="O160" s="67"/>
      <c r="P160" s="67"/>
      <c r="Q160" s="67"/>
      <c r="R160" s="74">
        <f t="shared" si="20"/>
        <v>0</v>
      </c>
      <c r="S160" s="74">
        <f t="shared" si="21"/>
        <v>0</v>
      </c>
      <c r="T160" s="80"/>
      <c r="U160" s="80"/>
      <c r="V160" s="80"/>
      <c r="W160" s="74"/>
      <c r="X160" s="81"/>
      <c r="Y160" s="75">
        <f t="shared" si="22"/>
        <v>0</v>
      </c>
      <c r="Z160" s="76">
        <f t="shared" si="23"/>
        <v>0</v>
      </c>
      <c r="AA160" s="192"/>
    </row>
    <row r="161" spans="2:27" ht="22.5" x14ac:dyDescent="0.25">
      <c r="B161" s="53" t="s">
        <v>437</v>
      </c>
      <c r="C161" s="62" t="s">
        <v>438</v>
      </c>
      <c r="D161" s="56" t="s">
        <v>439</v>
      </c>
      <c r="E161" s="47" t="s">
        <v>17</v>
      </c>
      <c r="F161" s="78">
        <v>530.87</v>
      </c>
      <c r="G161" s="78">
        <v>14.07</v>
      </c>
      <c r="H161" s="79"/>
      <c r="I161" s="79"/>
      <c r="J161" s="31"/>
      <c r="K161" s="79"/>
      <c r="L161" s="79"/>
      <c r="M161" s="79"/>
      <c r="N161" s="78"/>
      <c r="O161" s="67">
        <f t="shared" si="17"/>
        <v>0</v>
      </c>
      <c r="P161" s="67">
        <f t="shared" si="18"/>
        <v>14.07</v>
      </c>
      <c r="Q161" s="67">
        <f t="shared" si="19"/>
        <v>7469.3409000000001</v>
      </c>
      <c r="R161" s="74">
        <f t="shared" si="20"/>
        <v>0</v>
      </c>
      <c r="S161" s="74">
        <f t="shared" si="21"/>
        <v>0</v>
      </c>
      <c r="T161" s="80"/>
      <c r="U161" s="80"/>
      <c r="V161" s="80"/>
      <c r="W161" s="74"/>
      <c r="X161" s="81"/>
      <c r="Y161" s="75">
        <f t="shared" si="22"/>
        <v>0</v>
      </c>
      <c r="Z161" s="76">
        <f t="shared" si="23"/>
        <v>7469.3409000000001</v>
      </c>
      <c r="AA161" s="192">
        <f t="shared" si="24"/>
        <v>0</v>
      </c>
    </row>
    <row r="162" spans="2:27" ht="33.75" x14ac:dyDescent="0.25">
      <c r="B162" s="53" t="s">
        <v>440</v>
      </c>
      <c r="C162" s="69">
        <v>86906</v>
      </c>
      <c r="D162" s="70" t="s">
        <v>442</v>
      </c>
      <c r="E162" s="47" t="s">
        <v>166</v>
      </c>
      <c r="F162" s="47">
        <v>70.64</v>
      </c>
      <c r="G162" s="78">
        <v>10</v>
      </c>
      <c r="H162" s="82"/>
      <c r="I162" s="82"/>
      <c r="J162" s="31"/>
      <c r="K162" s="82"/>
      <c r="L162" s="82"/>
      <c r="M162" s="82"/>
      <c r="N162" s="82"/>
      <c r="O162" s="67">
        <f t="shared" si="17"/>
        <v>0</v>
      </c>
      <c r="P162" s="67">
        <f t="shared" si="18"/>
        <v>10</v>
      </c>
      <c r="Q162" s="67">
        <f t="shared" si="19"/>
        <v>706.4</v>
      </c>
      <c r="R162" s="74">
        <f t="shared" si="20"/>
        <v>0</v>
      </c>
      <c r="S162" s="74">
        <f t="shared" si="21"/>
        <v>0</v>
      </c>
      <c r="T162" s="80"/>
      <c r="U162" s="80"/>
      <c r="V162" s="80"/>
      <c r="W162" s="74"/>
      <c r="X162" s="81"/>
      <c r="Y162" s="75">
        <f t="shared" si="22"/>
        <v>0</v>
      </c>
      <c r="Z162" s="76">
        <f t="shared" si="23"/>
        <v>706.4</v>
      </c>
      <c r="AA162" s="192">
        <f t="shared" si="24"/>
        <v>0</v>
      </c>
    </row>
    <row r="163" spans="2:27" ht="33.75" x14ac:dyDescent="0.25">
      <c r="B163" s="53" t="s">
        <v>443</v>
      </c>
      <c r="C163" s="69">
        <v>86911</v>
      </c>
      <c r="D163" s="56" t="s">
        <v>445</v>
      </c>
      <c r="E163" s="47" t="s">
        <v>166</v>
      </c>
      <c r="F163" s="78">
        <v>82.65</v>
      </c>
      <c r="G163" s="78">
        <v>3</v>
      </c>
      <c r="H163" s="79"/>
      <c r="I163" s="79"/>
      <c r="J163" s="31"/>
      <c r="K163" s="79"/>
      <c r="L163" s="79"/>
      <c r="M163" s="79"/>
      <c r="N163" s="78"/>
      <c r="O163" s="67">
        <f t="shared" si="17"/>
        <v>0</v>
      </c>
      <c r="P163" s="67">
        <f t="shared" si="18"/>
        <v>3</v>
      </c>
      <c r="Q163" s="67">
        <f t="shared" si="19"/>
        <v>247.95000000000002</v>
      </c>
      <c r="R163" s="74">
        <f t="shared" si="20"/>
        <v>0</v>
      </c>
      <c r="S163" s="74">
        <f t="shared" si="21"/>
        <v>0</v>
      </c>
      <c r="T163" s="80"/>
      <c r="U163" s="80"/>
      <c r="V163" s="80"/>
      <c r="W163" s="74"/>
      <c r="X163" s="81"/>
      <c r="Y163" s="75">
        <f t="shared" si="22"/>
        <v>0</v>
      </c>
      <c r="Z163" s="76">
        <f t="shared" si="23"/>
        <v>247.95000000000002</v>
      </c>
      <c r="AA163" s="192">
        <f t="shared" si="24"/>
        <v>0</v>
      </c>
    </row>
    <row r="164" spans="2:27" ht="22.5" x14ac:dyDescent="0.25">
      <c r="B164" s="53" t="s">
        <v>446</v>
      </c>
      <c r="C164" s="69">
        <v>10428</v>
      </c>
      <c r="D164" s="56" t="s">
        <v>448</v>
      </c>
      <c r="E164" s="47" t="s">
        <v>166</v>
      </c>
      <c r="F164" s="78">
        <v>500.75</v>
      </c>
      <c r="G164" s="78">
        <v>8</v>
      </c>
      <c r="H164" s="79"/>
      <c r="I164" s="79"/>
      <c r="J164" s="31"/>
      <c r="K164" s="79"/>
      <c r="L164" s="79"/>
      <c r="M164" s="79"/>
      <c r="N164" s="78"/>
      <c r="O164" s="67">
        <f t="shared" si="17"/>
        <v>0</v>
      </c>
      <c r="P164" s="67">
        <f t="shared" si="18"/>
        <v>8</v>
      </c>
      <c r="Q164" s="67">
        <f t="shared" si="19"/>
        <v>4006</v>
      </c>
      <c r="R164" s="74">
        <f t="shared" si="20"/>
        <v>0</v>
      </c>
      <c r="S164" s="74">
        <f t="shared" si="21"/>
        <v>0</v>
      </c>
      <c r="T164" s="80"/>
      <c r="U164" s="80"/>
      <c r="V164" s="80"/>
      <c r="W164" s="74"/>
      <c r="X164" s="81"/>
      <c r="Y164" s="75">
        <f t="shared" si="22"/>
        <v>0</v>
      </c>
      <c r="Z164" s="76">
        <f t="shared" si="23"/>
        <v>4006</v>
      </c>
      <c r="AA164" s="192">
        <f t="shared" si="24"/>
        <v>0</v>
      </c>
    </row>
    <row r="165" spans="2:27" ht="45" x14ac:dyDescent="0.25">
      <c r="B165" s="53" t="s">
        <v>449</v>
      </c>
      <c r="C165" s="69">
        <v>86932</v>
      </c>
      <c r="D165" s="56" t="s">
        <v>451</v>
      </c>
      <c r="E165" s="47" t="s">
        <v>166</v>
      </c>
      <c r="F165" s="78">
        <v>530.35</v>
      </c>
      <c r="G165" s="78">
        <v>9</v>
      </c>
      <c r="H165" s="79"/>
      <c r="I165" s="79"/>
      <c r="J165" s="31"/>
      <c r="K165" s="79"/>
      <c r="L165" s="79"/>
      <c r="M165" s="79"/>
      <c r="N165" s="78"/>
      <c r="O165" s="67">
        <f t="shared" si="17"/>
        <v>0</v>
      </c>
      <c r="P165" s="67">
        <f t="shared" si="18"/>
        <v>9</v>
      </c>
      <c r="Q165" s="67">
        <f t="shared" si="19"/>
        <v>4773.1500000000005</v>
      </c>
      <c r="R165" s="74">
        <f t="shared" si="20"/>
        <v>0</v>
      </c>
      <c r="S165" s="74">
        <f t="shared" si="21"/>
        <v>0</v>
      </c>
      <c r="T165" s="80"/>
      <c r="U165" s="80"/>
      <c r="V165" s="80"/>
      <c r="W165" s="74"/>
      <c r="X165" s="81"/>
      <c r="Y165" s="75">
        <f t="shared" si="22"/>
        <v>0</v>
      </c>
      <c r="Z165" s="76">
        <f t="shared" si="23"/>
        <v>4773.1500000000005</v>
      </c>
      <c r="AA165" s="192">
        <f t="shared" si="24"/>
        <v>0</v>
      </c>
    </row>
    <row r="166" spans="2:27" ht="45" x14ac:dyDescent="0.25">
      <c r="B166" s="53" t="s">
        <v>452</v>
      </c>
      <c r="C166" s="69">
        <v>86935</v>
      </c>
      <c r="D166" s="56" t="s">
        <v>454</v>
      </c>
      <c r="E166" s="47" t="s">
        <v>166</v>
      </c>
      <c r="F166" s="78">
        <v>324.29000000000002</v>
      </c>
      <c r="G166" s="78">
        <v>2</v>
      </c>
      <c r="H166" s="79"/>
      <c r="I166" s="79"/>
      <c r="J166" s="31"/>
      <c r="K166" s="79"/>
      <c r="L166" s="79"/>
      <c r="M166" s="79"/>
      <c r="N166" s="78"/>
      <c r="O166" s="67">
        <f t="shared" si="17"/>
        <v>0</v>
      </c>
      <c r="P166" s="67">
        <f t="shared" si="18"/>
        <v>2</v>
      </c>
      <c r="Q166" s="67">
        <f t="shared" si="19"/>
        <v>648.58000000000004</v>
      </c>
      <c r="R166" s="74">
        <f t="shared" si="20"/>
        <v>0</v>
      </c>
      <c r="S166" s="74">
        <f t="shared" si="21"/>
        <v>0</v>
      </c>
      <c r="T166" s="80"/>
      <c r="U166" s="80"/>
      <c r="V166" s="80"/>
      <c r="W166" s="74"/>
      <c r="X166" s="81"/>
      <c r="Y166" s="75">
        <f t="shared" si="22"/>
        <v>0</v>
      </c>
      <c r="Z166" s="76">
        <f t="shared" si="23"/>
        <v>648.58000000000004</v>
      </c>
      <c r="AA166" s="192">
        <f t="shared" si="24"/>
        <v>0</v>
      </c>
    </row>
    <row r="167" spans="2:27" ht="33.75" x14ac:dyDescent="0.25">
      <c r="B167" s="53" t="s">
        <v>455</v>
      </c>
      <c r="C167" s="69">
        <v>100868</v>
      </c>
      <c r="D167" s="56" t="s">
        <v>457</v>
      </c>
      <c r="E167" s="47" t="s">
        <v>166</v>
      </c>
      <c r="F167" s="78">
        <v>353.45</v>
      </c>
      <c r="G167" s="78">
        <v>2</v>
      </c>
      <c r="H167" s="79"/>
      <c r="I167" s="79"/>
      <c r="J167" s="31"/>
      <c r="K167" s="79"/>
      <c r="L167" s="79"/>
      <c r="M167" s="79"/>
      <c r="N167" s="78"/>
      <c r="O167" s="67">
        <f t="shared" si="17"/>
        <v>0</v>
      </c>
      <c r="P167" s="67">
        <f t="shared" si="18"/>
        <v>2</v>
      </c>
      <c r="Q167" s="67">
        <f t="shared" si="19"/>
        <v>706.9</v>
      </c>
      <c r="R167" s="74">
        <f t="shared" si="20"/>
        <v>0</v>
      </c>
      <c r="S167" s="74">
        <f t="shared" si="21"/>
        <v>0</v>
      </c>
      <c r="T167" s="80"/>
      <c r="U167" s="80"/>
      <c r="V167" s="80"/>
      <c r="W167" s="74"/>
      <c r="X167" s="81"/>
      <c r="Y167" s="75">
        <f t="shared" si="22"/>
        <v>0</v>
      </c>
      <c r="Z167" s="76">
        <f t="shared" si="23"/>
        <v>706.9</v>
      </c>
      <c r="AA167" s="192">
        <f t="shared" si="24"/>
        <v>0</v>
      </c>
    </row>
    <row r="168" spans="2:27" ht="56.25" x14ac:dyDescent="0.25">
      <c r="B168" s="53" t="s">
        <v>458</v>
      </c>
      <c r="C168" s="69">
        <v>86942</v>
      </c>
      <c r="D168" s="56" t="s">
        <v>460</v>
      </c>
      <c r="E168" s="47" t="s">
        <v>166</v>
      </c>
      <c r="F168" s="78">
        <v>260.25</v>
      </c>
      <c r="G168" s="78">
        <v>1</v>
      </c>
      <c r="H168" s="79"/>
      <c r="I168" s="79"/>
      <c r="J168" s="31"/>
      <c r="K168" s="79"/>
      <c r="L168" s="79"/>
      <c r="M168" s="79"/>
      <c r="N168" s="78"/>
      <c r="O168" s="67">
        <f t="shared" si="17"/>
        <v>0</v>
      </c>
      <c r="P168" s="67">
        <f t="shared" si="18"/>
        <v>1</v>
      </c>
      <c r="Q168" s="67">
        <f t="shared" si="19"/>
        <v>260.25</v>
      </c>
      <c r="R168" s="74">
        <f t="shared" si="20"/>
        <v>0</v>
      </c>
      <c r="S168" s="74">
        <f t="shared" si="21"/>
        <v>0</v>
      </c>
      <c r="T168" s="80"/>
      <c r="U168" s="80"/>
      <c r="V168" s="80"/>
      <c r="W168" s="74"/>
      <c r="X168" s="81"/>
      <c r="Y168" s="75">
        <f t="shared" si="22"/>
        <v>0</v>
      </c>
      <c r="Z168" s="76">
        <f t="shared" si="23"/>
        <v>260.25</v>
      </c>
      <c r="AA168" s="192">
        <f t="shared" si="24"/>
        <v>0</v>
      </c>
    </row>
    <row r="169" spans="2:27" ht="56.25" x14ac:dyDescent="0.25">
      <c r="B169" s="53" t="s">
        <v>461</v>
      </c>
      <c r="C169" s="69">
        <v>86923</v>
      </c>
      <c r="D169" s="56" t="s">
        <v>463</v>
      </c>
      <c r="E169" s="47" t="s">
        <v>166</v>
      </c>
      <c r="F169" s="78">
        <v>586.14</v>
      </c>
      <c r="G169" s="78">
        <v>1</v>
      </c>
      <c r="H169" s="79"/>
      <c r="I169" s="79"/>
      <c r="J169" s="31"/>
      <c r="K169" s="79"/>
      <c r="L169" s="79"/>
      <c r="M169" s="79"/>
      <c r="N169" s="78"/>
      <c r="O169" s="67">
        <f t="shared" si="17"/>
        <v>0</v>
      </c>
      <c r="P169" s="67">
        <f t="shared" si="18"/>
        <v>1</v>
      </c>
      <c r="Q169" s="67">
        <f t="shared" si="19"/>
        <v>586.14</v>
      </c>
      <c r="R169" s="74">
        <f t="shared" si="20"/>
        <v>0</v>
      </c>
      <c r="S169" s="74">
        <f t="shared" si="21"/>
        <v>0</v>
      </c>
      <c r="T169" s="80"/>
      <c r="U169" s="80"/>
      <c r="V169" s="80"/>
      <c r="W169" s="74"/>
      <c r="X169" s="81"/>
      <c r="Y169" s="75">
        <f t="shared" si="22"/>
        <v>0</v>
      </c>
      <c r="Z169" s="76">
        <f t="shared" si="23"/>
        <v>586.14</v>
      </c>
      <c r="AA169" s="192">
        <f t="shared" si="24"/>
        <v>0</v>
      </c>
    </row>
    <row r="170" spans="2:27" ht="45" x14ac:dyDescent="0.25">
      <c r="B170" s="53" t="s">
        <v>464</v>
      </c>
      <c r="C170" s="69">
        <v>95472</v>
      </c>
      <c r="D170" s="56" t="s">
        <v>466</v>
      </c>
      <c r="E170" s="47" t="s">
        <v>166</v>
      </c>
      <c r="F170" s="78">
        <v>769.27</v>
      </c>
      <c r="G170" s="78">
        <v>1</v>
      </c>
      <c r="H170" s="79"/>
      <c r="I170" s="79"/>
      <c r="J170" s="31"/>
      <c r="K170" s="79"/>
      <c r="L170" s="79"/>
      <c r="M170" s="79"/>
      <c r="N170" s="78"/>
      <c r="O170" s="67">
        <f t="shared" si="17"/>
        <v>0</v>
      </c>
      <c r="P170" s="67">
        <f t="shared" si="18"/>
        <v>1</v>
      </c>
      <c r="Q170" s="67">
        <f t="shared" si="19"/>
        <v>769.27</v>
      </c>
      <c r="R170" s="74">
        <f t="shared" si="20"/>
        <v>0</v>
      </c>
      <c r="S170" s="74">
        <f t="shared" si="21"/>
        <v>0</v>
      </c>
      <c r="T170" s="80"/>
      <c r="U170" s="80"/>
      <c r="V170" s="80"/>
      <c r="W170" s="74"/>
      <c r="X170" s="81"/>
      <c r="Y170" s="75">
        <f t="shared" si="22"/>
        <v>0</v>
      </c>
      <c r="Z170" s="76">
        <f t="shared" si="23"/>
        <v>769.27</v>
      </c>
      <c r="AA170" s="192">
        <f t="shared" si="24"/>
        <v>0</v>
      </c>
    </row>
    <row r="171" spans="2:27" ht="33.75" x14ac:dyDescent="0.25">
      <c r="B171" s="53" t="s">
        <v>467</v>
      </c>
      <c r="C171" s="69">
        <v>102253</v>
      </c>
      <c r="D171" s="56" t="s">
        <v>469</v>
      </c>
      <c r="E171" s="47" t="s">
        <v>17</v>
      </c>
      <c r="F171" s="78">
        <v>692.62</v>
      </c>
      <c r="G171" s="78">
        <v>33.92</v>
      </c>
      <c r="H171" s="79"/>
      <c r="I171" s="79"/>
      <c r="J171" s="31"/>
      <c r="K171" s="79"/>
      <c r="L171" s="79"/>
      <c r="M171" s="79"/>
      <c r="N171" s="78"/>
      <c r="O171" s="67">
        <f t="shared" si="17"/>
        <v>0</v>
      </c>
      <c r="P171" s="67">
        <f t="shared" si="18"/>
        <v>33.92</v>
      </c>
      <c r="Q171" s="67">
        <f t="shared" si="19"/>
        <v>23493.670400000003</v>
      </c>
      <c r="R171" s="74">
        <f t="shared" si="20"/>
        <v>0</v>
      </c>
      <c r="S171" s="74">
        <f t="shared" si="21"/>
        <v>0</v>
      </c>
      <c r="T171" s="80"/>
      <c r="U171" s="80"/>
      <c r="V171" s="80"/>
      <c r="W171" s="74"/>
      <c r="X171" s="81"/>
      <c r="Y171" s="75">
        <f t="shared" si="22"/>
        <v>0</v>
      </c>
      <c r="Z171" s="76">
        <f t="shared" si="23"/>
        <v>23493.670400000003</v>
      </c>
      <c r="AA171" s="192">
        <f t="shared" si="24"/>
        <v>0</v>
      </c>
    </row>
    <row r="172" spans="2:27" ht="22.5" x14ac:dyDescent="0.25">
      <c r="B172" s="53" t="s">
        <v>470</v>
      </c>
      <c r="C172" s="69">
        <v>100860</v>
      </c>
      <c r="D172" s="56" t="s">
        <v>472</v>
      </c>
      <c r="E172" s="47" t="s">
        <v>166</v>
      </c>
      <c r="F172" s="78">
        <v>111.12</v>
      </c>
      <c r="G172" s="78">
        <v>4</v>
      </c>
      <c r="H172" s="79"/>
      <c r="I172" s="79"/>
      <c r="J172" s="31"/>
      <c r="K172" s="79"/>
      <c r="L172" s="79"/>
      <c r="M172" s="79"/>
      <c r="N172" s="78"/>
      <c r="O172" s="67">
        <f t="shared" si="17"/>
        <v>0</v>
      </c>
      <c r="P172" s="67">
        <f t="shared" si="18"/>
        <v>4</v>
      </c>
      <c r="Q172" s="67">
        <f t="shared" si="19"/>
        <v>444.48</v>
      </c>
      <c r="R172" s="74">
        <f t="shared" si="20"/>
        <v>0</v>
      </c>
      <c r="S172" s="74">
        <f t="shared" si="21"/>
        <v>0</v>
      </c>
      <c r="T172" s="80"/>
      <c r="U172" s="80"/>
      <c r="V172" s="80"/>
      <c r="W172" s="74"/>
      <c r="X172" s="81"/>
      <c r="Y172" s="75">
        <f t="shared" si="22"/>
        <v>0</v>
      </c>
      <c r="Z172" s="76">
        <f t="shared" si="23"/>
        <v>444.48</v>
      </c>
      <c r="AA172" s="192">
        <f t="shared" si="24"/>
        <v>0</v>
      </c>
    </row>
    <row r="173" spans="2:27" ht="14.45" customHeight="1" x14ac:dyDescent="0.25">
      <c r="B173" s="54">
        <v>1.1499999999999999</v>
      </c>
      <c r="C173" s="68" t="s">
        <v>474</v>
      </c>
      <c r="D173" s="56"/>
      <c r="E173" s="47"/>
      <c r="F173" s="78"/>
      <c r="G173" s="78"/>
      <c r="H173" s="79"/>
      <c r="I173" s="79"/>
      <c r="J173" s="31"/>
      <c r="K173" s="79"/>
      <c r="L173" s="79"/>
      <c r="M173" s="79"/>
      <c r="N173" s="78"/>
      <c r="O173" s="67"/>
      <c r="P173" s="67"/>
      <c r="Q173" s="67"/>
      <c r="R173" s="74">
        <f t="shared" si="20"/>
        <v>0</v>
      </c>
      <c r="S173" s="74">
        <f t="shared" si="21"/>
        <v>0</v>
      </c>
      <c r="T173" s="80"/>
      <c r="U173" s="80"/>
      <c r="V173" s="80"/>
      <c r="W173" s="74"/>
      <c r="X173" s="81"/>
      <c r="Y173" s="75">
        <f t="shared" si="22"/>
        <v>0</v>
      </c>
      <c r="Z173" s="76">
        <f t="shared" si="23"/>
        <v>0</v>
      </c>
      <c r="AA173" s="192"/>
    </row>
    <row r="174" spans="2:27" ht="33.75" x14ac:dyDescent="0.25">
      <c r="B174" s="53" t="s">
        <v>475</v>
      </c>
      <c r="C174" s="69">
        <v>99059</v>
      </c>
      <c r="D174" s="56" t="s">
        <v>36</v>
      </c>
      <c r="E174" s="47" t="s">
        <v>37</v>
      </c>
      <c r="F174" s="78">
        <v>52.4</v>
      </c>
      <c r="G174" s="78">
        <v>130.85</v>
      </c>
      <c r="H174" s="79">
        <f>'MEMORIAL DE CALCULO 01'!K183</f>
        <v>130.85</v>
      </c>
      <c r="I174" s="79"/>
      <c r="J174" s="31"/>
      <c r="K174" s="79"/>
      <c r="L174" s="79"/>
      <c r="M174" s="79"/>
      <c r="N174" s="78"/>
      <c r="O174" s="67">
        <f t="shared" si="17"/>
        <v>130.85</v>
      </c>
      <c r="P174" s="67">
        <f t="shared" si="18"/>
        <v>0</v>
      </c>
      <c r="Q174" s="67">
        <f t="shared" si="19"/>
        <v>6856.54</v>
      </c>
      <c r="R174" s="74">
        <f t="shared" si="20"/>
        <v>6856.54</v>
      </c>
      <c r="S174" s="74">
        <f t="shared" si="21"/>
        <v>0</v>
      </c>
      <c r="T174" s="80"/>
      <c r="U174" s="80"/>
      <c r="V174" s="80"/>
      <c r="W174" s="74"/>
      <c r="X174" s="81"/>
      <c r="Y174" s="75">
        <f t="shared" si="22"/>
        <v>6856.54</v>
      </c>
      <c r="Z174" s="76">
        <f t="shared" si="23"/>
        <v>0</v>
      </c>
      <c r="AA174" s="192">
        <f t="shared" si="24"/>
        <v>1</v>
      </c>
    </row>
    <row r="175" spans="2:27" ht="22.5" x14ac:dyDescent="0.25">
      <c r="B175" s="53" t="s">
        <v>476</v>
      </c>
      <c r="C175" s="69">
        <v>93358</v>
      </c>
      <c r="D175" s="56" t="s">
        <v>40</v>
      </c>
      <c r="E175" s="47" t="s">
        <v>41</v>
      </c>
      <c r="F175" s="78">
        <v>64.95</v>
      </c>
      <c r="G175" s="78">
        <v>32.68</v>
      </c>
      <c r="H175" s="79">
        <v>32.68</v>
      </c>
      <c r="I175" s="79"/>
      <c r="J175" s="31"/>
      <c r="K175" s="79"/>
      <c r="L175" s="79"/>
      <c r="M175" s="79"/>
      <c r="N175" s="78"/>
      <c r="O175" s="67">
        <f t="shared" si="17"/>
        <v>32.68</v>
      </c>
      <c r="P175" s="67">
        <f t="shared" si="18"/>
        <v>0</v>
      </c>
      <c r="Q175" s="67">
        <f t="shared" si="19"/>
        <v>2122.5660000000003</v>
      </c>
      <c r="R175" s="74">
        <f t="shared" si="20"/>
        <v>2122.5660000000003</v>
      </c>
      <c r="S175" s="74">
        <f t="shared" si="21"/>
        <v>0</v>
      </c>
      <c r="T175" s="80"/>
      <c r="U175" s="80"/>
      <c r="V175" s="80"/>
      <c r="W175" s="74"/>
      <c r="X175" s="81"/>
      <c r="Y175" s="75">
        <f t="shared" si="22"/>
        <v>2122.5660000000003</v>
      </c>
      <c r="Z175" s="76">
        <f t="shared" si="23"/>
        <v>0</v>
      </c>
      <c r="AA175" s="192">
        <f t="shared" si="24"/>
        <v>1</v>
      </c>
    </row>
    <row r="176" spans="2:27" x14ac:dyDescent="0.25">
      <c r="B176" s="53" t="s">
        <v>477</v>
      </c>
      <c r="C176" s="69">
        <v>96995</v>
      </c>
      <c r="D176" s="56" t="s">
        <v>44</v>
      </c>
      <c r="E176" s="47" t="s">
        <v>41</v>
      </c>
      <c r="F176" s="78">
        <v>39.369999999999997</v>
      </c>
      <c r="G176" s="78">
        <v>11.01</v>
      </c>
      <c r="H176" s="79"/>
      <c r="I176" s="79">
        <f>'MEMORIAL DE CALCULO 02'!K418</f>
        <v>11.01</v>
      </c>
      <c r="J176" s="176"/>
      <c r="K176" s="178"/>
      <c r="L176" s="178"/>
      <c r="M176" s="178"/>
      <c r="N176" s="177"/>
      <c r="O176" s="67">
        <f t="shared" si="17"/>
        <v>11.01</v>
      </c>
      <c r="P176" s="67">
        <f t="shared" si="18"/>
        <v>0</v>
      </c>
      <c r="Q176" s="67">
        <f t="shared" si="19"/>
        <v>433.46369999999996</v>
      </c>
      <c r="R176" s="74">
        <f t="shared" si="20"/>
        <v>0</v>
      </c>
      <c r="S176" s="74">
        <f t="shared" si="21"/>
        <v>433.46369999999996</v>
      </c>
      <c r="T176" s="80"/>
      <c r="U176" s="80"/>
      <c r="V176" s="80"/>
      <c r="W176" s="74"/>
      <c r="X176" s="81"/>
      <c r="Y176" s="75">
        <f t="shared" si="22"/>
        <v>433.46369999999996</v>
      </c>
      <c r="Z176" s="76">
        <f t="shared" si="23"/>
        <v>0</v>
      </c>
      <c r="AA176" s="192">
        <f t="shared" si="24"/>
        <v>1</v>
      </c>
    </row>
    <row r="177" spans="2:27" ht="22.5" x14ac:dyDescent="0.25">
      <c r="B177" s="53" t="s">
        <v>478</v>
      </c>
      <c r="C177" s="69">
        <v>93205</v>
      </c>
      <c r="D177" s="56" t="s">
        <v>480</v>
      </c>
      <c r="E177" s="47" t="s">
        <v>37</v>
      </c>
      <c r="F177" s="78">
        <v>39.79</v>
      </c>
      <c r="G177" s="78">
        <v>244.5</v>
      </c>
      <c r="H177" s="79"/>
      <c r="I177" s="79"/>
      <c r="J177" s="31"/>
      <c r="K177" s="79"/>
      <c r="L177" s="79"/>
      <c r="M177" s="79"/>
      <c r="N177" s="78"/>
      <c r="O177" s="67">
        <f t="shared" si="17"/>
        <v>0</v>
      </c>
      <c r="P177" s="67">
        <f t="shared" si="18"/>
        <v>244.5</v>
      </c>
      <c r="Q177" s="67">
        <f t="shared" si="19"/>
        <v>9728.6550000000007</v>
      </c>
      <c r="R177" s="74">
        <f t="shared" si="20"/>
        <v>0</v>
      </c>
      <c r="S177" s="74">
        <f t="shared" si="21"/>
        <v>0</v>
      </c>
      <c r="T177" s="80"/>
      <c r="U177" s="80"/>
      <c r="V177" s="80"/>
      <c r="W177" s="74"/>
      <c r="X177" s="81"/>
      <c r="Y177" s="75">
        <f t="shared" si="22"/>
        <v>0</v>
      </c>
      <c r="Z177" s="76">
        <f t="shared" si="23"/>
        <v>9728.6550000000007</v>
      </c>
      <c r="AA177" s="192">
        <f t="shared" si="24"/>
        <v>0</v>
      </c>
    </row>
    <row r="178" spans="2:27" ht="22.5" x14ac:dyDescent="0.25">
      <c r="B178" s="53" t="s">
        <v>481</v>
      </c>
      <c r="C178" s="69">
        <v>101616</v>
      </c>
      <c r="D178" s="56" t="s">
        <v>55</v>
      </c>
      <c r="E178" s="47" t="s">
        <v>17</v>
      </c>
      <c r="F178" s="78">
        <v>4.91</v>
      </c>
      <c r="G178" s="78">
        <v>15.48</v>
      </c>
      <c r="H178" s="79">
        <f>'MEMORIAL DE CALCULO 01'!K191</f>
        <v>12.6</v>
      </c>
      <c r="I178" s="79">
        <f>'MEMORIAL DE CALCULO 02'!K422</f>
        <v>2.88</v>
      </c>
      <c r="J178" s="31"/>
      <c r="K178" s="79"/>
      <c r="L178" s="79"/>
      <c r="M178" s="79"/>
      <c r="N178" s="78"/>
      <c r="O178" s="67">
        <f t="shared" si="17"/>
        <v>15.48</v>
      </c>
      <c r="P178" s="67">
        <f t="shared" si="18"/>
        <v>0</v>
      </c>
      <c r="Q178" s="67">
        <f t="shared" si="19"/>
        <v>76.006799999999998</v>
      </c>
      <c r="R178" s="74">
        <f t="shared" si="20"/>
        <v>61.866</v>
      </c>
      <c r="S178" s="74">
        <f t="shared" si="21"/>
        <v>14.1408</v>
      </c>
      <c r="T178" s="80"/>
      <c r="U178" s="80"/>
      <c r="V178" s="80"/>
      <c r="W178" s="74"/>
      <c r="X178" s="81"/>
      <c r="Y178" s="75">
        <f t="shared" si="22"/>
        <v>76.006799999999998</v>
      </c>
      <c r="Z178" s="76">
        <f t="shared" si="23"/>
        <v>0</v>
      </c>
      <c r="AA178" s="192">
        <f t="shared" si="24"/>
        <v>1</v>
      </c>
    </row>
    <row r="179" spans="2:27" ht="33.75" x14ac:dyDescent="0.25">
      <c r="B179" s="53" t="s">
        <v>482</v>
      </c>
      <c r="C179" s="69">
        <v>96619</v>
      </c>
      <c r="D179" s="56" t="s">
        <v>58</v>
      </c>
      <c r="E179" s="47" t="s">
        <v>17</v>
      </c>
      <c r="F179" s="78">
        <v>30.67</v>
      </c>
      <c r="G179" s="78">
        <v>15.48</v>
      </c>
      <c r="H179" s="79">
        <f>'MEMORIAL DE CALCULO 01'!K192</f>
        <v>12.6</v>
      </c>
      <c r="I179" s="79">
        <f>'MEMORIAL DE CALCULO 02'!K423</f>
        <v>2.88</v>
      </c>
      <c r="J179" s="31"/>
      <c r="K179" s="79"/>
      <c r="L179" s="79"/>
      <c r="M179" s="79"/>
      <c r="N179" s="78"/>
      <c r="O179" s="67">
        <f t="shared" si="17"/>
        <v>15.48</v>
      </c>
      <c r="P179" s="67">
        <f t="shared" si="18"/>
        <v>0</v>
      </c>
      <c r="Q179" s="67">
        <f t="shared" si="19"/>
        <v>474.77160000000003</v>
      </c>
      <c r="R179" s="74">
        <f t="shared" si="20"/>
        <v>386.44200000000001</v>
      </c>
      <c r="S179" s="74">
        <f t="shared" si="21"/>
        <v>88.329599999999999</v>
      </c>
      <c r="T179" s="80"/>
      <c r="U179" s="80"/>
      <c r="V179" s="80"/>
      <c r="W179" s="74"/>
      <c r="X179" s="81"/>
      <c r="Y179" s="75">
        <f t="shared" si="22"/>
        <v>474.77160000000003</v>
      </c>
      <c r="Z179" s="76">
        <f t="shared" si="23"/>
        <v>0</v>
      </c>
      <c r="AA179" s="192">
        <f t="shared" si="24"/>
        <v>1</v>
      </c>
    </row>
    <row r="180" spans="2:27" ht="22.5" x14ac:dyDescent="0.25">
      <c r="B180" s="53" t="s">
        <v>483</v>
      </c>
      <c r="C180" s="69">
        <v>96545</v>
      </c>
      <c r="D180" s="70" t="s">
        <v>61</v>
      </c>
      <c r="E180" s="47" t="s">
        <v>62</v>
      </c>
      <c r="F180" s="47">
        <v>15.99</v>
      </c>
      <c r="G180" s="78">
        <v>167.13</v>
      </c>
      <c r="H180" s="31">
        <f>'MEMORIAL DE CALCULO 01'!K193</f>
        <v>133.69999999999999</v>
      </c>
      <c r="I180" s="31">
        <f>'MEMORIAL DE CALCULO 02'!K424</f>
        <v>33.43</v>
      </c>
      <c r="J180" s="31"/>
      <c r="K180" s="82"/>
      <c r="L180" s="82"/>
      <c r="M180" s="82"/>
      <c r="N180" s="82"/>
      <c r="O180" s="67">
        <f t="shared" si="17"/>
        <v>167.13</v>
      </c>
      <c r="P180" s="67">
        <f t="shared" si="18"/>
        <v>0</v>
      </c>
      <c r="Q180" s="67">
        <f t="shared" si="19"/>
        <v>2672.4087</v>
      </c>
      <c r="R180" s="74">
        <f t="shared" si="20"/>
        <v>2137.8629999999998</v>
      </c>
      <c r="S180" s="74">
        <f t="shared" si="21"/>
        <v>534.54570000000001</v>
      </c>
      <c r="T180" s="80"/>
      <c r="U180" s="80"/>
      <c r="V180" s="80"/>
      <c r="W180" s="74"/>
      <c r="X180" s="81"/>
      <c r="Y180" s="75">
        <f t="shared" si="22"/>
        <v>2672.4087</v>
      </c>
      <c r="Z180" s="76">
        <f t="shared" si="23"/>
        <v>0</v>
      </c>
      <c r="AA180" s="192">
        <f t="shared" si="24"/>
        <v>1</v>
      </c>
    </row>
    <row r="181" spans="2:27" ht="33.75" x14ac:dyDescent="0.25">
      <c r="B181" s="53" t="s">
        <v>484</v>
      </c>
      <c r="C181" s="69">
        <v>94966</v>
      </c>
      <c r="D181" s="70" t="s">
        <v>65</v>
      </c>
      <c r="E181" s="47" t="s">
        <v>41</v>
      </c>
      <c r="F181" s="47">
        <v>530.88</v>
      </c>
      <c r="G181" s="78">
        <v>9.89</v>
      </c>
      <c r="H181" s="31">
        <f>'MEMORIAL DE CALCULO 01'!K195</f>
        <v>4.5500000000000007</v>
      </c>
      <c r="I181" s="31">
        <f>'MEMORIAL DE CALCULO 02'!K426</f>
        <v>1.04</v>
      </c>
      <c r="J181" s="31"/>
      <c r="K181" s="82"/>
      <c r="L181" s="82"/>
      <c r="M181" s="82"/>
      <c r="N181" s="82"/>
      <c r="O181" s="67">
        <f t="shared" si="17"/>
        <v>5.5900000000000007</v>
      </c>
      <c r="P181" s="67">
        <f t="shared" si="18"/>
        <v>4.3</v>
      </c>
      <c r="Q181" s="67">
        <f t="shared" si="19"/>
        <v>5250.4032000000007</v>
      </c>
      <c r="R181" s="74">
        <f t="shared" si="20"/>
        <v>2415.5040000000004</v>
      </c>
      <c r="S181" s="74">
        <f t="shared" si="21"/>
        <v>552.11519999999996</v>
      </c>
      <c r="T181" s="80"/>
      <c r="U181" s="80"/>
      <c r="V181" s="80"/>
      <c r="W181" s="74"/>
      <c r="X181" s="81"/>
      <c r="Y181" s="75">
        <f t="shared" si="22"/>
        <v>2967.6192000000001</v>
      </c>
      <c r="Z181" s="76">
        <f t="shared" si="23"/>
        <v>2282.7840000000006</v>
      </c>
      <c r="AA181" s="192">
        <f t="shared" si="24"/>
        <v>0.56521739130434778</v>
      </c>
    </row>
    <row r="182" spans="2:27" ht="52.5" customHeight="1" x14ac:dyDescent="0.25">
      <c r="B182" s="53" t="s">
        <v>485</v>
      </c>
      <c r="C182" s="69">
        <v>103800</v>
      </c>
      <c r="D182" s="193" t="s">
        <v>487</v>
      </c>
      <c r="E182" s="47" t="s">
        <v>41</v>
      </c>
      <c r="F182" s="78">
        <v>496.62</v>
      </c>
      <c r="G182" s="78">
        <v>11.78</v>
      </c>
      <c r="H182" s="79">
        <v>0.9</v>
      </c>
      <c r="I182" s="79">
        <v>10.88</v>
      </c>
      <c r="J182" s="31"/>
      <c r="K182" s="79"/>
      <c r="L182" s="79"/>
      <c r="M182" s="79"/>
      <c r="N182" s="78"/>
      <c r="O182" s="67">
        <f t="shared" si="17"/>
        <v>11.780000000000001</v>
      </c>
      <c r="P182" s="67">
        <f t="shared" si="18"/>
        <v>0</v>
      </c>
      <c r="Q182" s="67">
        <f t="shared" si="19"/>
        <v>5850.1835999999994</v>
      </c>
      <c r="R182" s="74">
        <f t="shared" si="20"/>
        <v>446.95800000000003</v>
      </c>
      <c r="S182" s="74">
        <f t="shared" si="21"/>
        <v>5403.2256000000007</v>
      </c>
      <c r="T182" s="80"/>
      <c r="U182" s="80"/>
      <c r="V182" s="80"/>
      <c r="W182" s="74"/>
      <c r="X182" s="81"/>
      <c r="Y182" s="75">
        <f t="shared" si="22"/>
        <v>5850.1836000000003</v>
      </c>
      <c r="Z182" s="76">
        <f t="shared" si="23"/>
        <v>0</v>
      </c>
      <c r="AA182" s="192">
        <f t="shared" si="24"/>
        <v>1.0000000000000002</v>
      </c>
    </row>
    <row r="183" spans="2:27" ht="34.5" customHeight="1" x14ac:dyDescent="0.25">
      <c r="B183" s="53" t="s">
        <v>488</v>
      </c>
      <c r="C183" s="69">
        <v>103670</v>
      </c>
      <c r="D183" s="193" t="s">
        <v>71</v>
      </c>
      <c r="E183" s="47" t="s">
        <v>41</v>
      </c>
      <c r="F183" s="78">
        <v>230.55</v>
      </c>
      <c r="G183" s="78">
        <v>9.89</v>
      </c>
      <c r="H183" s="79">
        <f>'MEMORIAL DE CALCULO 01'!K200</f>
        <v>4.5500000000000007</v>
      </c>
      <c r="I183" s="79">
        <f>'MEMORIAL DE CALCULO 02'!K431</f>
        <v>1.04</v>
      </c>
      <c r="J183" s="31"/>
      <c r="K183" s="79"/>
      <c r="L183" s="79"/>
      <c r="M183" s="79"/>
      <c r="N183" s="78"/>
      <c r="O183" s="67">
        <f t="shared" si="17"/>
        <v>5.5900000000000007</v>
      </c>
      <c r="P183" s="67">
        <f t="shared" si="18"/>
        <v>4.3</v>
      </c>
      <c r="Q183" s="67">
        <f t="shared" si="19"/>
        <v>2280.1395000000002</v>
      </c>
      <c r="R183" s="74">
        <f t="shared" si="20"/>
        <v>1049.0025000000003</v>
      </c>
      <c r="S183" s="74">
        <f t="shared" si="21"/>
        <v>239.77200000000002</v>
      </c>
      <c r="T183" s="80"/>
      <c r="U183" s="80"/>
      <c r="V183" s="80"/>
      <c r="W183" s="74"/>
      <c r="X183" s="81"/>
      <c r="Y183" s="75">
        <f t="shared" si="22"/>
        <v>1288.7745000000002</v>
      </c>
      <c r="Z183" s="76">
        <f t="shared" si="23"/>
        <v>991.36500000000001</v>
      </c>
      <c r="AA183" s="192">
        <f t="shared" si="24"/>
        <v>0.56521739130434789</v>
      </c>
    </row>
    <row r="184" spans="2:27" ht="22.5" x14ac:dyDescent="0.25">
      <c r="B184" s="53" t="s">
        <v>489</v>
      </c>
      <c r="C184" s="69">
        <v>96543</v>
      </c>
      <c r="D184" s="193" t="s">
        <v>74</v>
      </c>
      <c r="E184" s="47" t="s">
        <v>62</v>
      </c>
      <c r="F184" s="78">
        <v>17.5</v>
      </c>
      <c r="G184" s="78">
        <v>162.02000000000001</v>
      </c>
      <c r="H184" s="79">
        <f>'MEMORIAL DE CALCULO 01'!K202</f>
        <v>42.149799999999992</v>
      </c>
      <c r="I184" s="79">
        <f>'MEMORIAL DE CALCULO 02'!K433</f>
        <v>9.6342399999999984</v>
      </c>
      <c r="J184" s="31"/>
      <c r="K184" s="79"/>
      <c r="L184" s="79"/>
      <c r="M184" s="79"/>
      <c r="N184" s="78"/>
      <c r="O184" s="67">
        <f t="shared" si="17"/>
        <v>51.78403999999999</v>
      </c>
      <c r="P184" s="67">
        <f t="shared" si="18"/>
        <v>110.23596000000002</v>
      </c>
      <c r="Q184" s="67">
        <f t="shared" si="19"/>
        <v>2835.3500000000004</v>
      </c>
      <c r="R184" s="74">
        <f t="shared" si="20"/>
        <v>737.62149999999986</v>
      </c>
      <c r="S184" s="74">
        <f t="shared" si="21"/>
        <v>168.59919999999997</v>
      </c>
      <c r="T184" s="80"/>
      <c r="U184" s="80"/>
      <c r="V184" s="80"/>
      <c r="W184" s="74"/>
      <c r="X184" s="81"/>
      <c r="Y184" s="75">
        <f t="shared" si="22"/>
        <v>906.22069999999985</v>
      </c>
      <c r="Z184" s="76">
        <f t="shared" si="23"/>
        <v>1929.1293000000005</v>
      </c>
      <c r="AA184" s="192">
        <f t="shared" si="24"/>
        <v>0.31961510924577202</v>
      </c>
    </row>
    <row r="185" spans="2:27" ht="22.5" x14ac:dyDescent="0.25">
      <c r="B185" s="53" t="s">
        <v>490</v>
      </c>
      <c r="C185" s="69">
        <v>96546</v>
      </c>
      <c r="D185" s="194" t="s">
        <v>80</v>
      </c>
      <c r="E185" s="47" t="s">
        <v>62</v>
      </c>
      <c r="F185" s="47">
        <v>14.35</v>
      </c>
      <c r="G185" s="78">
        <v>377.8</v>
      </c>
      <c r="H185" s="31">
        <f>'MEMORIAL DE CALCULO 01'!K204</f>
        <v>99.337000000000003</v>
      </c>
      <c r="I185" s="31">
        <f>'MEMORIAL DE CALCULO 02'!K435</f>
        <v>22.705599999999997</v>
      </c>
      <c r="J185" s="31"/>
      <c r="K185" s="82"/>
      <c r="L185" s="82"/>
      <c r="M185" s="82"/>
      <c r="N185" s="82"/>
      <c r="O185" s="67">
        <f t="shared" si="17"/>
        <v>122.04259999999999</v>
      </c>
      <c r="P185" s="67">
        <f t="shared" si="18"/>
        <v>255.75740000000002</v>
      </c>
      <c r="Q185" s="67">
        <f t="shared" si="19"/>
        <v>5421.43</v>
      </c>
      <c r="R185" s="74">
        <f t="shared" si="20"/>
        <v>1425.48595</v>
      </c>
      <c r="S185" s="74">
        <f t="shared" si="21"/>
        <v>325.82535999999993</v>
      </c>
      <c r="T185" s="80"/>
      <c r="U185" s="80"/>
      <c r="V185" s="80"/>
      <c r="W185" s="74"/>
      <c r="X185" s="81"/>
      <c r="Y185" s="75">
        <f t="shared" si="22"/>
        <v>1751.31131</v>
      </c>
      <c r="Z185" s="76">
        <f t="shared" si="23"/>
        <v>3670.1186900000002</v>
      </c>
      <c r="AA185" s="192">
        <f t="shared" si="24"/>
        <v>0.32303493912122816</v>
      </c>
    </row>
    <row r="186" spans="2:27" ht="33.75" x14ac:dyDescent="0.25">
      <c r="B186" s="53" t="s">
        <v>491</v>
      </c>
      <c r="C186" s="69">
        <v>96536</v>
      </c>
      <c r="D186" s="193" t="s">
        <v>86</v>
      </c>
      <c r="E186" s="47" t="s">
        <v>17</v>
      </c>
      <c r="F186" s="78">
        <v>69.64</v>
      </c>
      <c r="G186" s="78">
        <v>149.6</v>
      </c>
      <c r="H186" s="79">
        <f>'MEMORIAL DE CALCULO 01'!K206</f>
        <v>53.2</v>
      </c>
      <c r="I186" s="79">
        <f>'MEMORIAL DE CALCULO 02'!K437</f>
        <v>12.16</v>
      </c>
      <c r="J186" s="31"/>
      <c r="K186" s="79"/>
      <c r="L186" s="79"/>
      <c r="M186" s="79"/>
      <c r="N186" s="78"/>
      <c r="O186" s="67">
        <f t="shared" si="17"/>
        <v>65.36</v>
      </c>
      <c r="P186" s="67">
        <f t="shared" si="18"/>
        <v>84.24</v>
      </c>
      <c r="Q186" s="67">
        <f t="shared" si="19"/>
        <v>10418.144</v>
      </c>
      <c r="R186" s="74">
        <f t="shared" si="20"/>
        <v>3704.8480000000004</v>
      </c>
      <c r="S186" s="74">
        <f t="shared" si="21"/>
        <v>846.82240000000002</v>
      </c>
      <c r="T186" s="80"/>
      <c r="U186" s="80"/>
      <c r="V186" s="80"/>
      <c r="W186" s="74"/>
      <c r="X186" s="81"/>
      <c r="Y186" s="75">
        <f t="shared" si="22"/>
        <v>4551.6704000000009</v>
      </c>
      <c r="Z186" s="76">
        <f t="shared" si="23"/>
        <v>5866.4735999999994</v>
      </c>
      <c r="AA186" s="192">
        <f t="shared" si="24"/>
        <v>0.43689839572192518</v>
      </c>
    </row>
    <row r="187" spans="2:27" ht="22.5" x14ac:dyDescent="0.25">
      <c r="B187" s="53" t="s">
        <v>492</v>
      </c>
      <c r="C187" s="69">
        <v>98557</v>
      </c>
      <c r="D187" s="56" t="s">
        <v>89</v>
      </c>
      <c r="E187" s="47" t="s">
        <v>17</v>
      </c>
      <c r="F187" s="78">
        <v>48.22</v>
      </c>
      <c r="G187" s="78">
        <v>65.430000000000007</v>
      </c>
      <c r="H187" s="79"/>
      <c r="I187" s="79"/>
      <c r="J187" s="31"/>
      <c r="K187" s="79"/>
      <c r="L187" s="79"/>
      <c r="M187" s="79"/>
      <c r="N187" s="78"/>
      <c r="O187" s="67">
        <f t="shared" si="17"/>
        <v>0</v>
      </c>
      <c r="P187" s="67">
        <f t="shared" si="18"/>
        <v>65.430000000000007</v>
      </c>
      <c r="Q187" s="67">
        <f t="shared" si="19"/>
        <v>3155.0346000000004</v>
      </c>
      <c r="R187" s="74">
        <f t="shared" si="20"/>
        <v>0</v>
      </c>
      <c r="S187" s="74">
        <f t="shared" si="21"/>
        <v>0</v>
      </c>
      <c r="T187" s="80"/>
      <c r="U187" s="80"/>
      <c r="V187" s="80"/>
      <c r="W187" s="74"/>
      <c r="X187" s="81"/>
      <c r="Y187" s="75">
        <f t="shared" si="22"/>
        <v>0</v>
      </c>
      <c r="Z187" s="76">
        <f t="shared" si="23"/>
        <v>3155.0346000000004</v>
      </c>
      <c r="AA187" s="192">
        <f t="shared" si="24"/>
        <v>0</v>
      </c>
    </row>
    <row r="188" spans="2:27" ht="45" x14ac:dyDescent="0.25">
      <c r="B188" s="53" t="s">
        <v>493</v>
      </c>
      <c r="C188" s="69">
        <v>103356</v>
      </c>
      <c r="D188" s="56" t="s">
        <v>137</v>
      </c>
      <c r="E188" s="47" t="s">
        <v>17</v>
      </c>
      <c r="F188" s="78">
        <v>46.86</v>
      </c>
      <c r="G188" s="78">
        <v>405.64</v>
      </c>
      <c r="H188" s="79"/>
      <c r="I188" s="79"/>
      <c r="J188" s="31"/>
      <c r="K188" s="79"/>
      <c r="L188" s="79"/>
      <c r="M188" s="79"/>
      <c r="N188" s="78"/>
      <c r="O188" s="67">
        <f t="shared" si="17"/>
        <v>0</v>
      </c>
      <c r="P188" s="67">
        <f t="shared" si="18"/>
        <v>405.64</v>
      </c>
      <c r="Q188" s="67">
        <f t="shared" si="19"/>
        <v>19008.290399999998</v>
      </c>
      <c r="R188" s="74">
        <f t="shared" si="20"/>
        <v>0</v>
      </c>
      <c r="S188" s="74">
        <f t="shared" si="21"/>
        <v>0</v>
      </c>
      <c r="T188" s="80"/>
      <c r="U188" s="80"/>
      <c r="V188" s="80"/>
      <c r="W188" s="74"/>
      <c r="X188" s="81"/>
      <c r="Y188" s="75">
        <f t="shared" si="22"/>
        <v>0</v>
      </c>
      <c r="Z188" s="76">
        <f t="shared" si="23"/>
        <v>19008.290399999998</v>
      </c>
      <c r="AA188" s="192">
        <f t="shared" si="24"/>
        <v>0</v>
      </c>
    </row>
    <row r="189" spans="2:27" ht="45" x14ac:dyDescent="0.25">
      <c r="B189" s="53" t="s">
        <v>494</v>
      </c>
      <c r="C189" s="69">
        <v>87893</v>
      </c>
      <c r="D189" s="56" t="s">
        <v>151</v>
      </c>
      <c r="E189" s="47" t="s">
        <v>17</v>
      </c>
      <c r="F189" s="78">
        <v>6.08</v>
      </c>
      <c r="G189" s="78">
        <v>811.27</v>
      </c>
      <c r="H189" s="79"/>
      <c r="I189" s="79"/>
      <c r="J189" s="31"/>
      <c r="K189" s="79"/>
      <c r="L189" s="79"/>
      <c r="M189" s="79"/>
      <c r="N189" s="78"/>
      <c r="O189" s="67">
        <f t="shared" si="17"/>
        <v>0</v>
      </c>
      <c r="P189" s="67">
        <f t="shared" si="18"/>
        <v>811.27</v>
      </c>
      <c r="Q189" s="67">
        <f t="shared" si="19"/>
        <v>4932.5216</v>
      </c>
      <c r="R189" s="74">
        <f t="shared" si="20"/>
        <v>0</v>
      </c>
      <c r="S189" s="74">
        <f t="shared" si="21"/>
        <v>0</v>
      </c>
      <c r="T189" s="80"/>
      <c r="U189" s="80"/>
      <c r="V189" s="80"/>
      <c r="W189" s="74"/>
      <c r="X189" s="81"/>
      <c r="Y189" s="75">
        <f t="shared" si="22"/>
        <v>0</v>
      </c>
      <c r="Z189" s="76">
        <f t="shared" si="23"/>
        <v>4932.5216</v>
      </c>
      <c r="AA189" s="192">
        <f t="shared" si="24"/>
        <v>0</v>
      </c>
    </row>
    <row r="190" spans="2:27" ht="45" x14ac:dyDescent="0.25">
      <c r="B190" s="53" t="s">
        <v>495</v>
      </c>
      <c r="C190" s="69">
        <v>87548</v>
      </c>
      <c r="D190" s="56" t="s">
        <v>154</v>
      </c>
      <c r="E190" s="47" t="s">
        <v>17</v>
      </c>
      <c r="F190" s="78">
        <v>22.4</v>
      </c>
      <c r="G190" s="78">
        <v>811.27</v>
      </c>
      <c r="H190" s="79"/>
      <c r="I190" s="79"/>
      <c r="J190" s="31"/>
      <c r="K190" s="79"/>
      <c r="L190" s="79"/>
      <c r="M190" s="79"/>
      <c r="N190" s="78"/>
      <c r="O190" s="67">
        <f t="shared" si="17"/>
        <v>0</v>
      </c>
      <c r="P190" s="67">
        <f t="shared" si="18"/>
        <v>811.27</v>
      </c>
      <c r="Q190" s="67">
        <f t="shared" si="19"/>
        <v>18172.447999999997</v>
      </c>
      <c r="R190" s="74">
        <f t="shared" si="20"/>
        <v>0</v>
      </c>
      <c r="S190" s="74">
        <f t="shared" si="21"/>
        <v>0</v>
      </c>
      <c r="T190" s="80"/>
      <c r="U190" s="80"/>
      <c r="V190" s="80"/>
      <c r="W190" s="74"/>
      <c r="X190" s="81"/>
      <c r="Y190" s="75">
        <f t="shared" si="22"/>
        <v>0</v>
      </c>
      <c r="Z190" s="76">
        <f t="shared" si="23"/>
        <v>18172.447999999997</v>
      </c>
      <c r="AA190" s="192">
        <f t="shared" si="24"/>
        <v>0</v>
      </c>
    </row>
    <row r="191" spans="2:27" ht="22.5" x14ac:dyDescent="0.25">
      <c r="B191" s="53" t="s">
        <v>496</v>
      </c>
      <c r="C191" s="69">
        <v>88489</v>
      </c>
      <c r="D191" s="56" t="s">
        <v>198</v>
      </c>
      <c r="E191" s="47" t="s">
        <v>17</v>
      </c>
      <c r="F191" s="78">
        <v>12.16</v>
      </c>
      <c r="G191" s="78">
        <v>811.27</v>
      </c>
      <c r="H191" s="79"/>
      <c r="I191" s="79"/>
      <c r="J191" s="31"/>
      <c r="K191" s="79"/>
      <c r="L191" s="79"/>
      <c r="M191" s="79"/>
      <c r="N191" s="78"/>
      <c r="O191" s="67">
        <f t="shared" si="17"/>
        <v>0</v>
      </c>
      <c r="P191" s="67">
        <f t="shared" si="18"/>
        <v>811.27</v>
      </c>
      <c r="Q191" s="67">
        <f t="shared" si="19"/>
        <v>9865.0432000000001</v>
      </c>
      <c r="R191" s="74">
        <f t="shared" si="20"/>
        <v>0</v>
      </c>
      <c r="S191" s="74">
        <f t="shared" si="21"/>
        <v>0</v>
      </c>
      <c r="T191" s="80"/>
      <c r="U191" s="80"/>
      <c r="V191" s="80"/>
      <c r="W191" s="74"/>
      <c r="X191" s="81"/>
      <c r="Y191" s="75">
        <f t="shared" si="22"/>
        <v>0</v>
      </c>
      <c r="Z191" s="76">
        <f t="shared" si="23"/>
        <v>9865.0432000000001</v>
      </c>
      <c r="AA191" s="192">
        <f t="shared" si="24"/>
        <v>0</v>
      </c>
    </row>
    <row r="192" spans="2:27" ht="22.5" x14ac:dyDescent="0.25">
      <c r="B192" s="53" t="s">
        <v>497</v>
      </c>
      <c r="C192" s="69">
        <v>95305</v>
      </c>
      <c r="D192" s="56" t="s">
        <v>499</v>
      </c>
      <c r="E192" s="47" t="s">
        <v>17</v>
      </c>
      <c r="F192" s="78">
        <v>10.95</v>
      </c>
      <c r="G192" s="78">
        <v>811.27</v>
      </c>
      <c r="H192" s="79"/>
      <c r="I192" s="79"/>
      <c r="J192" s="31"/>
      <c r="K192" s="79"/>
      <c r="L192" s="79"/>
      <c r="M192" s="79"/>
      <c r="N192" s="78"/>
      <c r="O192" s="67">
        <f t="shared" si="17"/>
        <v>0</v>
      </c>
      <c r="P192" s="67">
        <f t="shared" si="18"/>
        <v>811.27</v>
      </c>
      <c r="Q192" s="67">
        <f t="shared" si="19"/>
        <v>8883.4064999999991</v>
      </c>
      <c r="R192" s="74">
        <f t="shared" si="20"/>
        <v>0</v>
      </c>
      <c r="S192" s="74">
        <f t="shared" si="21"/>
        <v>0</v>
      </c>
      <c r="T192" s="80"/>
      <c r="U192" s="80"/>
      <c r="V192" s="80"/>
      <c r="W192" s="74"/>
      <c r="X192" s="81"/>
      <c r="Y192" s="75">
        <f t="shared" si="22"/>
        <v>0</v>
      </c>
      <c r="Z192" s="76">
        <f t="shared" si="23"/>
        <v>8883.4064999999991</v>
      </c>
      <c r="AA192" s="192">
        <f t="shared" si="24"/>
        <v>0</v>
      </c>
    </row>
    <row r="193" spans="2:27" ht="14.45" customHeight="1" x14ac:dyDescent="0.25">
      <c r="B193" s="54">
        <v>1.1599999999999999</v>
      </c>
      <c r="C193" s="68" t="s">
        <v>501</v>
      </c>
      <c r="D193" s="56"/>
      <c r="E193" s="47"/>
      <c r="F193" s="78"/>
      <c r="G193" s="78"/>
      <c r="H193" s="79"/>
      <c r="I193" s="79"/>
      <c r="J193" s="31"/>
      <c r="K193" s="79"/>
      <c r="L193" s="79"/>
      <c r="M193" s="79"/>
      <c r="N193" s="78"/>
      <c r="O193" s="67">
        <f t="shared" si="17"/>
        <v>0</v>
      </c>
      <c r="P193" s="67"/>
      <c r="Q193" s="67"/>
      <c r="R193" s="74">
        <f t="shared" si="20"/>
        <v>0</v>
      </c>
      <c r="S193" s="74">
        <f t="shared" si="21"/>
        <v>0</v>
      </c>
      <c r="T193" s="80"/>
      <c r="U193" s="80"/>
      <c r="V193" s="80"/>
      <c r="W193" s="74"/>
      <c r="X193" s="81"/>
      <c r="Y193" s="75">
        <f t="shared" si="22"/>
        <v>0</v>
      </c>
      <c r="Z193" s="76">
        <f t="shared" si="23"/>
        <v>0</v>
      </c>
      <c r="AA193" s="192"/>
    </row>
    <row r="194" spans="2:27" ht="33.75" x14ac:dyDescent="0.25">
      <c r="B194" s="53" t="s">
        <v>502</v>
      </c>
      <c r="C194" s="62" t="s">
        <v>503</v>
      </c>
      <c r="D194" s="56" t="s">
        <v>504</v>
      </c>
      <c r="E194" s="47" t="s">
        <v>166</v>
      </c>
      <c r="F194" s="78">
        <v>4877.91</v>
      </c>
      <c r="G194" s="78">
        <v>2</v>
      </c>
      <c r="H194" s="79"/>
      <c r="I194" s="79"/>
      <c r="J194" s="31"/>
      <c r="K194" s="79"/>
      <c r="L194" s="79"/>
      <c r="M194" s="79"/>
      <c r="N194" s="78"/>
      <c r="O194" s="67">
        <f t="shared" si="17"/>
        <v>0</v>
      </c>
      <c r="P194" s="67">
        <f t="shared" si="18"/>
        <v>2</v>
      </c>
      <c r="Q194" s="67">
        <f t="shared" si="19"/>
        <v>9755.82</v>
      </c>
      <c r="R194" s="74">
        <f t="shared" si="20"/>
        <v>0</v>
      </c>
      <c r="S194" s="74">
        <f t="shared" si="21"/>
        <v>0</v>
      </c>
      <c r="T194" s="80"/>
      <c r="U194" s="80"/>
      <c r="V194" s="80"/>
      <c r="W194" s="74"/>
      <c r="X194" s="81"/>
      <c r="Y194" s="75">
        <f t="shared" si="22"/>
        <v>0</v>
      </c>
      <c r="Z194" s="76">
        <f t="shared" si="23"/>
        <v>9755.82</v>
      </c>
      <c r="AA194" s="192">
        <f t="shared" si="24"/>
        <v>0</v>
      </c>
    </row>
    <row r="195" spans="2:27" ht="45.75" thickBot="1" x14ac:dyDescent="0.3">
      <c r="B195" s="86" t="s">
        <v>505</v>
      </c>
      <c r="C195" s="87" t="s">
        <v>506</v>
      </c>
      <c r="D195" s="88" t="s">
        <v>507</v>
      </c>
      <c r="E195" s="89" t="s">
        <v>166</v>
      </c>
      <c r="F195" s="131">
        <v>3733.15</v>
      </c>
      <c r="G195" s="131">
        <v>1</v>
      </c>
      <c r="H195" s="132"/>
      <c r="I195" s="132"/>
      <c r="J195" s="91"/>
      <c r="K195" s="132"/>
      <c r="L195" s="132"/>
      <c r="M195" s="132"/>
      <c r="N195" s="131"/>
      <c r="O195" s="84">
        <f t="shared" si="17"/>
        <v>0</v>
      </c>
      <c r="P195" s="92">
        <f t="shared" si="18"/>
        <v>1</v>
      </c>
      <c r="Q195" s="84">
        <f t="shared" si="19"/>
        <v>3733.15</v>
      </c>
      <c r="R195" s="74">
        <f t="shared" si="20"/>
        <v>0</v>
      </c>
      <c r="S195" s="74">
        <f t="shared" si="21"/>
        <v>0</v>
      </c>
      <c r="T195" s="133"/>
      <c r="U195" s="133"/>
      <c r="V195" s="133"/>
      <c r="W195" s="134"/>
      <c r="X195" s="135"/>
      <c r="Y195" s="75">
        <f t="shared" si="22"/>
        <v>0</v>
      </c>
      <c r="Z195" s="85">
        <f t="shared" si="23"/>
        <v>3733.15</v>
      </c>
      <c r="AA195" s="192">
        <f t="shared" si="24"/>
        <v>0</v>
      </c>
    </row>
    <row r="196" spans="2:27" ht="15.75" thickBot="1" x14ac:dyDescent="0.3">
      <c r="E196" s="136"/>
      <c r="F196" s="136"/>
      <c r="G196" s="136"/>
      <c r="H196" s="140"/>
      <c r="I196" s="136"/>
      <c r="J196" s="136"/>
      <c r="K196" s="136"/>
      <c r="L196" s="136"/>
      <c r="M196" s="136"/>
      <c r="N196" s="136"/>
      <c r="O196" s="137"/>
      <c r="P196" s="138"/>
      <c r="Q196" s="94">
        <f>SUM(Q14:Q195)</f>
        <v>1240378.3832000003</v>
      </c>
      <c r="R196" s="94">
        <f>SUM(R14:R195)</f>
        <v>66571.964737500006</v>
      </c>
      <c r="S196" s="94">
        <f>SUM(S14:S195)</f>
        <v>61443.00776244999</v>
      </c>
      <c r="T196" s="94"/>
      <c r="U196" s="94"/>
      <c r="V196" s="94"/>
      <c r="W196" s="94"/>
      <c r="X196" s="94"/>
      <c r="Y196" s="94">
        <f>SUM(Y14:Y195)</f>
        <v>128014.97249995002</v>
      </c>
      <c r="Z196" s="94">
        <f t="shared" si="23"/>
        <v>1112363.4107000502</v>
      </c>
      <c r="AA196" s="192">
        <f t="shared" si="24"/>
        <v>0.10320638785214037</v>
      </c>
    </row>
    <row r="197" spans="2:27" ht="15.75" thickBot="1" x14ac:dyDescent="0.3">
      <c r="P197" s="93"/>
      <c r="Q197" s="196" t="s">
        <v>546</v>
      </c>
      <c r="R197" s="196" t="s">
        <v>547</v>
      </c>
      <c r="S197" s="196" t="s">
        <v>549</v>
      </c>
      <c r="T197" s="196" t="s">
        <v>550</v>
      </c>
      <c r="U197" s="196" t="s">
        <v>551</v>
      </c>
      <c r="V197" s="196" t="s">
        <v>552</v>
      </c>
      <c r="W197" s="196" t="s">
        <v>553</v>
      </c>
      <c r="X197" s="196" t="s">
        <v>554</v>
      </c>
      <c r="Y197" s="226" t="s">
        <v>548</v>
      </c>
      <c r="Z197" s="196" t="s">
        <v>541</v>
      </c>
    </row>
    <row r="198" spans="2:27" ht="24" customHeight="1" thickBot="1" x14ac:dyDescent="0.3">
      <c r="P198" s="93"/>
      <c r="Q198" s="196"/>
      <c r="R198" s="196"/>
      <c r="S198" s="196"/>
      <c r="T198" s="196"/>
      <c r="U198" s="196"/>
      <c r="V198" s="196"/>
      <c r="W198" s="196"/>
      <c r="X198" s="196"/>
      <c r="Y198" s="226"/>
      <c r="Z198" s="196"/>
    </row>
  </sheetData>
  <mergeCells count="26">
    <mergeCell ref="X197:X198"/>
    <mergeCell ref="Y197:Y198"/>
    <mergeCell ref="Q197:Q198"/>
    <mergeCell ref="R197:R198"/>
    <mergeCell ref="E10:E11"/>
    <mergeCell ref="F10:F11"/>
    <mergeCell ref="G10:P10"/>
    <mergeCell ref="V197:V198"/>
    <mergeCell ref="W197:W198"/>
    <mergeCell ref="T197:T198"/>
    <mergeCell ref="S197:S198"/>
    <mergeCell ref="B2:Z2"/>
    <mergeCell ref="Y3:Z8"/>
    <mergeCell ref="B4:N4"/>
    <mergeCell ref="Q4:X4"/>
    <mergeCell ref="B6:D6"/>
    <mergeCell ref="E6:N6"/>
    <mergeCell ref="O6:X6"/>
    <mergeCell ref="B8:C8"/>
    <mergeCell ref="Q8:X8"/>
    <mergeCell ref="B10:B11"/>
    <mergeCell ref="Z197:Z198"/>
    <mergeCell ref="U197:U198"/>
    <mergeCell ref="Q10:Z10"/>
    <mergeCell ref="C10:C11"/>
    <mergeCell ref="D10:D11"/>
  </mergeCells>
  <phoneticPr fontId="20" type="noConversion"/>
  <conditionalFormatting sqref="I1:I1048576">
    <cfRule type="cellIs" dxfId="2" priority="3" operator="greaterThan">
      <formula>0</formula>
    </cfRule>
  </conditionalFormatting>
  <conditionalFormatting sqref="S1:S1048576">
    <cfRule type="cellIs" dxfId="1" priority="2" operator="greaterThan">
      <formula>0</formula>
    </cfRule>
  </conditionalFormatting>
  <conditionalFormatting sqref="AA14:AA196">
    <cfRule type="cellIs" dxfId="0" priority="1" operator="greaterThan">
      <formula>1</formula>
    </cfRule>
  </conditionalFormatting>
  <pageMargins left="0.511811024" right="0.511811024" top="0.78740157499999996" bottom="0.78740157499999996" header="0.31496062000000002" footer="0.31496062000000002"/>
  <pageSetup paperSize="9" scale="58" fitToHeight="0" orientation="landscape" r:id="rId1"/>
  <ignoredErrors>
    <ignoredError sqref="B20 B25 B81 B118 B12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BD64E-6078-48E8-A9B3-2D74D395A4B9}">
  <sheetPr>
    <pageSetUpPr fitToPage="1"/>
  </sheetPr>
  <dimension ref="A1:N220"/>
  <sheetViews>
    <sheetView zoomScale="90" zoomScaleNormal="100" workbookViewId="0">
      <selection activeCell="R24" sqref="R2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7" max="7" width="14.7109375" customWidth="1"/>
    <col min="8" max="8" width="14" customWidth="1"/>
    <col min="9" max="9" width="12.855468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197" t="s">
        <v>566</v>
      </c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9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201"/>
    </row>
    <row r="4" spans="2:14" ht="16.5" x14ac:dyDescent="0.25">
      <c r="B4" s="206" t="s">
        <v>542</v>
      </c>
      <c r="C4" s="207"/>
      <c r="D4" s="207"/>
      <c r="E4" s="207"/>
      <c r="F4" s="207"/>
      <c r="G4" s="207"/>
      <c r="H4" s="207"/>
      <c r="I4" s="16" t="s">
        <v>544</v>
      </c>
      <c r="J4" s="208">
        <v>1240378.43</v>
      </c>
      <c r="K4" s="209"/>
      <c r="L4" s="209"/>
      <c r="M4" s="209"/>
      <c r="N4" s="203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203"/>
    </row>
    <row r="6" spans="2:14" ht="16.5" x14ac:dyDescent="0.25">
      <c r="B6" s="206" t="s">
        <v>518</v>
      </c>
      <c r="C6" s="207"/>
      <c r="D6" s="210"/>
      <c r="E6" s="211" t="s">
        <v>519</v>
      </c>
      <c r="F6" s="207"/>
      <c r="G6" s="207"/>
      <c r="H6" s="207"/>
      <c r="I6" s="212" t="s">
        <v>592</v>
      </c>
      <c r="J6" s="213"/>
      <c r="K6" s="213"/>
      <c r="L6" s="213"/>
      <c r="M6" s="213"/>
      <c r="N6" s="203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203"/>
    </row>
    <row r="8" spans="2:14" ht="17.25" thickBot="1" x14ac:dyDescent="0.3">
      <c r="B8" s="214">
        <v>45281</v>
      </c>
      <c r="C8" s="215"/>
      <c r="D8" s="23" t="s">
        <v>595</v>
      </c>
      <c r="E8" s="231">
        <f>'BOLETIM DE MEDIÇÃO 02'!E8</f>
        <v>61443.00776244999</v>
      </c>
      <c r="F8" s="232"/>
      <c r="G8" s="233"/>
      <c r="H8" s="234">
        <f>'BOLETIM DE MEDIÇÃO 02'!H8</f>
        <v>66571.964737500035</v>
      </c>
      <c r="I8" s="235"/>
      <c r="J8" s="216" t="s">
        <v>545</v>
      </c>
      <c r="K8" s="217"/>
      <c r="L8" s="217"/>
      <c r="M8" s="217"/>
      <c r="N8" s="205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218" t="s">
        <v>526</v>
      </c>
      <c r="C10" s="218" t="s">
        <v>527</v>
      </c>
      <c r="D10" s="224" t="s">
        <v>528</v>
      </c>
      <c r="E10" s="218" t="s">
        <v>529</v>
      </c>
      <c r="F10" s="227" t="s">
        <v>556</v>
      </c>
      <c r="G10" s="240" t="s">
        <v>557</v>
      </c>
      <c r="H10" s="230"/>
      <c r="I10" s="230"/>
      <c r="J10" s="220" t="s">
        <v>594</v>
      </c>
      <c r="K10" s="221"/>
      <c r="L10" s="221"/>
      <c r="M10" s="221"/>
      <c r="N10" s="223"/>
    </row>
    <row r="11" spans="2:14" ht="18" x14ac:dyDescent="0.25">
      <c r="B11" s="219"/>
      <c r="C11" s="219"/>
      <c r="D11" s="225"/>
      <c r="E11" s="219"/>
      <c r="F11" s="228"/>
      <c r="G11" s="171" t="s">
        <v>558</v>
      </c>
      <c r="H11" s="173" t="s">
        <v>559</v>
      </c>
      <c r="I11" s="175" t="s">
        <v>560</v>
      </c>
      <c r="J11" s="37" t="s">
        <v>561</v>
      </c>
      <c r="K11" s="38" t="s">
        <v>562</v>
      </c>
      <c r="L11" s="38" t="s">
        <v>563</v>
      </c>
      <c r="M11" s="39" t="s">
        <v>564</v>
      </c>
      <c r="N11" s="41" t="s">
        <v>541</v>
      </c>
    </row>
    <row r="12" spans="2:14" ht="14.45" customHeight="1" x14ac:dyDescent="0.25">
      <c r="B12" s="51">
        <v>1</v>
      </c>
      <c r="C12" s="57" t="s">
        <v>10</v>
      </c>
      <c r="D12" s="50"/>
      <c r="E12" s="42"/>
      <c r="F12" s="109"/>
      <c r="G12" s="170"/>
      <c r="H12" s="172"/>
      <c r="I12" s="174"/>
      <c r="J12" s="114"/>
      <c r="K12" s="45"/>
      <c r="L12" s="45"/>
      <c r="M12" s="45"/>
      <c r="N12" s="49"/>
    </row>
    <row r="13" spans="2:14" x14ac:dyDescent="0.25">
      <c r="B13" s="51">
        <v>1.1000000000000001</v>
      </c>
      <c r="C13" s="57" t="s">
        <v>12</v>
      </c>
      <c r="D13" s="50"/>
      <c r="E13" s="42"/>
      <c r="F13" s="109"/>
      <c r="G13" s="118"/>
      <c r="H13" s="107"/>
      <c r="I13" s="119"/>
      <c r="J13" s="114"/>
      <c r="K13" s="45"/>
      <c r="L13" s="45"/>
      <c r="M13" s="45"/>
      <c r="N13" s="49"/>
    </row>
    <row r="14" spans="2:14" ht="22.5" x14ac:dyDescent="0.25">
      <c r="B14" s="52" t="s">
        <v>13</v>
      </c>
      <c r="C14" s="61" t="s">
        <v>14</v>
      </c>
      <c r="D14" s="55" t="s">
        <v>15</v>
      </c>
      <c r="E14" s="67" t="s">
        <v>17</v>
      </c>
      <c r="F14" s="110">
        <v>1</v>
      </c>
      <c r="G14" s="120">
        <v>2</v>
      </c>
      <c r="H14" s="108"/>
      <c r="I14" s="121">
        <v>3</v>
      </c>
      <c r="J14" s="115">
        <f>'BOLETIM DE MEDIÇÃO 02'!O14-'MEMORIAL DE CALCULO 01'!K14</f>
        <v>0</v>
      </c>
      <c r="K14" s="97">
        <f>G14*I14*F14</f>
        <v>6</v>
      </c>
      <c r="L14" s="98">
        <f>J14+K14</f>
        <v>6</v>
      </c>
      <c r="M14" s="98">
        <f>'BOLETIM DE MEDIÇÃO 02'!G14</f>
        <v>6</v>
      </c>
      <c r="N14" s="102">
        <f>M14-L14</f>
        <v>0</v>
      </c>
    </row>
    <row r="15" spans="2:14" ht="22.5" x14ac:dyDescent="0.25">
      <c r="B15" s="52" t="s">
        <v>18</v>
      </c>
      <c r="C15" s="61">
        <v>93209</v>
      </c>
      <c r="D15" s="55" t="s">
        <v>20</v>
      </c>
      <c r="E15" s="67" t="s">
        <v>17</v>
      </c>
      <c r="F15" s="110">
        <v>1</v>
      </c>
      <c r="G15" s="120">
        <v>2</v>
      </c>
      <c r="H15" s="108">
        <v>2.5</v>
      </c>
      <c r="I15" s="121"/>
      <c r="J15" s="115">
        <f>'BOLETIM DE MEDIÇÃO 02'!O15-'MEMORIAL DE CALCULO 01'!K15</f>
        <v>0</v>
      </c>
      <c r="K15" s="97">
        <f>F15*G15*H15</f>
        <v>5</v>
      </c>
      <c r="L15" s="98">
        <f t="shared" ref="L15:L86" si="0">J15+K15</f>
        <v>5</v>
      </c>
      <c r="M15" s="98">
        <f>'BOLETIM DE MEDIÇÃO 02'!G15</f>
        <v>5</v>
      </c>
      <c r="N15" s="102">
        <f t="shared" ref="N15:N86" si="1">M15-L15</f>
        <v>0</v>
      </c>
    </row>
    <row r="16" spans="2:14" ht="33.75" x14ac:dyDescent="0.25">
      <c r="B16" s="52" t="s">
        <v>22</v>
      </c>
      <c r="C16" s="61">
        <v>93206</v>
      </c>
      <c r="D16" s="55" t="s">
        <v>23</v>
      </c>
      <c r="E16" s="67" t="s">
        <v>17</v>
      </c>
      <c r="F16" s="110">
        <v>1</v>
      </c>
      <c r="G16" s="120">
        <v>2</v>
      </c>
      <c r="H16" s="108">
        <v>2.5</v>
      </c>
      <c r="I16" s="121"/>
      <c r="J16" s="115">
        <f>'BOLETIM DE MEDIÇÃO 02'!O16-'MEMORIAL DE CALCULO 01'!K16</f>
        <v>0</v>
      </c>
      <c r="K16" s="97">
        <f>F16*G16*H16</f>
        <v>5</v>
      </c>
      <c r="L16" s="98">
        <f t="shared" si="0"/>
        <v>5</v>
      </c>
      <c r="M16" s="98">
        <f>'BOLETIM DE MEDIÇÃO 02'!G16</f>
        <v>5</v>
      </c>
      <c r="N16" s="102">
        <f t="shared" si="1"/>
        <v>0</v>
      </c>
    </row>
    <row r="17" spans="2:14" ht="22.5" x14ac:dyDescent="0.25">
      <c r="B17" s="52" t="s">
        <v>24</v>
      </c>
      <c r="C17" s="61" t="s">
        <v>25</v>
      </c>
      <c r="D17" s="55" t="s">
        <v>26</v>
      </c>
      <c r="E17" s="67" t="s">
        <v>17</v>
      </c>
      <c r="F17" s="110"/>
      <c r="G17" s="120"/>
      <c r="H17" s="108"/>
      <c r="I17" s="121"/>
      <c r="J17" s="115">
        <f>'BOLETIM DE MEDIÇÃO 02'!O17-'MEMORIAL DE CALCULO 01'!K17</f>
        <v>0</v>
      </c>
      <c r="K17" s="97">
        <f>K20</f>
        <v>277.39999999999998</v>
      </c>
      <c r="L17" s="98">
        <f t="shared" si="0"/>
        <v>277.39999999999998</v>
      </c>
      <c r="M17" s="98">
        <f>'BOLETIM DE MEDIÇÃO 02'!G17</f>
        <v>277.39999999999998</v>
      </c>
      <c r="N17" s="102">
        <f t="shared" si="1"/>
        <v>0</v>
      </c>
    </row>
    <row r="18" spans="2:14" ht="22.5" hidden="1" x14ac:dyDescent="0.25">
      <c r="B18" s="52" t="s">
        <v>27</v>
      </c>
      <c r="C18" s="61">
        <v>98524</v>
      </c>
      <c r="D18" s="55" t="s">
        <v>28</v>
      </c>
      <c r="E18" s="67" t="s">
        <v>17</v>
      </c>
      <c r="F18" s="110"/>
      <c r="G18" s="120"/>
      <c r="H18" s="108"/>
      <c r="I18" s="121"/>
      <c r="J18" s="115">
        <f>'BOLETIM DE MEDIÇÃO 02'!O18-'MEMORIAL DE CALCULO 01'!K18</f>
        <v>0</v>
      </c>
      <c r="K18" s="97"/>
      <c r="L18" s="98">
        <f t="shared" si="0"/>
        <v>0</v>
      </c>
      <c r="M18" s="98">
        <f>'BOLETIM DE MEDIÇÃO 02'!G18</f>
        <v>1430.2</v>
      </c>
      <c r="N18" s="102">
        <f t="shared" si="1"/>
        <v>1430.2</v>
      </c>
    </row>
    <row r="19" spans="2:14" ht="22.5" hidden="1" x14ac:dyDescent="0.25">
      <c r="B19" s="52" t="s">
        <v>29</v>
      </c>
      <c r="C19" s="60">
        <v>100575</v>
      </c>
      <c r="D19" s="55" t="s">
        <v>31</v>
      </c>
      <c r="E19" s="67" t="s">
        <v>17</v>
      </c>
      <c r="F19" s="110"/>
      <c r="G19" s="120"/>
      <c r="H19" s="108"/>
      <c r="I19" s="121"/>
      <c r="J19" s="115">
        <f>'BOLETIM DE MEDIÇÃO 02'!O19-'MEMORIAL DE CALCULO 01'!K19</f>
        <v>0</v>
      </c>
      <c r="K19" s="97"/>
      <c r="L19" s="98">
        <f t="shared" si="0"/>
        <v>0</v>
      </c>
      <c r="M19" s="98">
        <f>'BOLETIM DE MEDIÇÃO 02'!G19</f>
        <v>1430.2</v>
      </c>
      <c r="N19" s="102">
        <f t="shared" si="1"/>
        <v>1430.2</v>
      </c>
    </row>
    <row r="20" spans="2:14" x14ac:dyDescent="0.25">
      <c r="B20" s="52"/>
      <c r="C20" s="60"/>
      <c r="D20" s="168" t="s">
        <v>568</v>
      </c>
      <c r="E20" s="67"/>
      <c r="F20" s="110">
        <v>1</v>
      </c>
      <c r="G20" s="120">
        <v>146</v>
      </c>
      <c r="H20" s="108">
        <v>1.9</v>
      </c>
      <c r="I20" s="121"/>
      <c r="J20" s="115"/>
      <c r="K20" s="98">
        <f>F20*G20*H20</f>
        <v>277.39999999999998</v>
      </c>
      <c r="L20" s="98"/>
      <c r="M20" s="98"/>
      <c r="N20" s="102"/>
    </row>
    <row r="21" spans="2:14" ht="14.45" customHeight="1" x14ac:dyDescent="0.25">
      <c r="B21" s="59">
        <v>1.2</v>
      </c>
      <c r="C21" s="63" t="s">
        <v>33</v>
      </c>
      <c r="D21" s="55"/>
      <c r="E21" s="67"/>
      <c r="F21" s="110"/>
      <c r="G21" s="120"/>
      <c r="H21" s="108"/>
      <c r="I21" s="121"/>
      <c r="J21" s="115"/>
      <c r="K21" s="97"/>
      <c r="L21" s="98"/>
      <c r="M21" s="98"/>
      <c r="N21" s="102"/>
    </row>
    <row r="22" spans="2:14" ht="33.75" x14ac:dyDescent="0.25">
      <c r="B22" s="52" t="s">
        <v>34</v>
      </c>
      <c r="C22" s="60">
        <v>99059</v>
      </c>
      <c r="D22" s="55" t="s">
        <v>36</v>
      </c>
      <c r="E22" s="67" t="s">
        <v>37</v>
      </c>
      <c r="F22" s="110">
        <v>1</v>
      </c>
      <c r="G22" s="120">
        <v>137.5</v>
      </c>
      <c r="H22" s="108"/>
      <c r="I22" s="121"/>
      <c r="J22" s="115">
        <f>'BOLETIM DE MEDIÇÃO 02'!O21-'MEMORIAL DE CALCULO 01'!K22</f>
        <v>0</v>
      </c>
      <c r="K22" s="97">
        <f>F22*G22</f>
        <v>137.5</v>
      </c>
      <c r="L22" s="98">
        <f t="shared" si="0"/>
        <v>137.5</v>
      </c>
      <c r="M22" s="98">
        <f>'BOLETIM DE MEDIÇÃO 02'!G21</f>
        <v>137.5</v>
      </c>
      <c r="N22" s="102">
        <f t="shared" si="1"/>
        <v>0</v>
      </c>
    </row>
    <row r="23" spans="2:14" ht="22.5" x14ac:dyDescent="0.25">
      <c r="B23" s="58" t="s">
        <v>38</v>
      </c>
      <c r="C23" s="60">
        <v>93358</v>
      </c>
      <c r="D23" s="55" t="s">
        <v>40</v>
      </c>
      <c r="E23" s="67" t="s">
        <v>41</v>
      </c>
      <c r="F23" s="110"/>
      <c r="G23" s="120"/>
      <c r="H23" s="108"/>
      <c r="I23" s="121"/>
      <c r="J23" s="115">
        <f>'BOLETIM DE MEDIÇÃO 02'!O22-'MEMORIAL DE CALCULO 01'!K23</f>
        <v>1.2053700000000021</v>
      </c>
      <c r="K23" s="97">
        <f>SUM(K24:K30)</f>
        <v>69.939250000000001</v>
      </c>
      <c r="L23" s="98">
        <f t="shared" si="0"/>
        <v>71.144620000000003</v>
      </c>
      <c r="M23" s="98">
        <f>'BOLETIM DE MEDIÇÃO 02'!G22</f>
        <v>89.01</v>
      </c>
      <c r="N23" s="102">
        <f t="shared" si="1"/>
        <v>17.865380000000002</v>
      </c>
    </row>
    <row r="24" spans="2:14" ht="33.75" x14ac:dyDescent="0.25">
      <c r="B24" s="58"/>
      <c r="C24" s="60"/>
      <c r="D24" s="169" t="s">
        <v>569</v>
      </c>
      <c r="E24" s="67"/>
      <c r="F24" s="110">
        <v>32</v>
      </c>
      <c r="G24" s="120">
        <v>0.6</v>
      </c>
      <c r="H24" s="108">
        <v>0.7</v>
      </c>
      <c r="I24" s="121">
        <v>1.85</v>
      </c>
      <c r="J24" s="115"/>
      <c r="K24" s="98">
        <f>F24*(G24*H24*I24)</f>
        <v>24.864000000000001</v>
      </c>
      <c r="L24" s="98"/>
      <c r="M24" s="98"/>
      <c r="N24" s="102"/>
    </row>
    <row r="25" spans="2:14" ht="45" x14ac:dyDescent="0.25">
      <c r="B25" s="58"/>
      <c r="C25" s="60"/>
      <c r="D25" s="169" t="s">
        <v>570</v>
      </c>
      <c r="E25" s="67"/>
      <c r="F25" s="110">
        <v>40</v>
      </c>
      <c r="G25" s="120">
        <v>0.6</v>
      </c>
      <c r="H25" s="108">
        <v>0.7</v>
      </c>
      <c r="I25" s="121">
        <v>1.85</v>
      </c>
      <c r="J25" s="115"/>
      <c r="K25" s="98">
        <f t="shared" ref="K25:K30" si="2">F25*(G25*H25*I25)</f>
        <v>31.080000000000002</v>
      </c>
      <c r="L25" s="98"/>
      <c r="M25" s="98"/>
      <c r="N25" s="102"/>
    </row>
    <row r="26" spans="2:14" x14ac:dyDescent="0.25">
      <c r="B26" s="58"/>
      <c r="C26" s="60"/>
      <c r="D26" s="169" t="s">
        <v>571</v>
      </c>
      <c r="E26" s="67"/>
      <c r="F26" s="110">
        <v>1</v>
      </c>
      <c r="G26" s="120">
        <v>0.6</v>
      </c>
      <c r="H26" s="108">
        <v>0.8</v>
      </c>
      <c r="I26" s="121">
        <v>1.85</v>
      </c>
      <c r="J26" s="115"/>
      <c r="K26" s="98">
        <f t="shared" si="2"/>
        <v>0.88800000000000001</v>
      </c>
      <c r="L26" s="98"/>
      <c r="M26" s="98"/>
      <c r="N26" s="102"/>
    </row>
    <row r="27" spans="2:14" x14ac:dyDescent="0.25">
      <c r="B27" s="58"/>
      <c r="C27" s="60"/>
      <c r="D27" s="169" t="s">
        <v>572</v>
      </c>
      <c r="E27" s="67"/>
      <c r="F27" s="110">
        <v>2</v>
      </c>
      <c r="G27" s="120">
        <v>0.9</v>
      </c>
      <c r="H27" s="108">
        <v>0.9</v>
      </c>
      <c r="I27" s="121">
        <v>1.85</v>
      </c>
      <c r="J27" s="115"/>
      <c r="K27" s="98">
        <f t="shared" si="2"/>
        <v>2.9970000000000003</v>
      </c>
      <c r="L27" s="98"/>
      <c r="M27" s="98"/>
      <c r="N27" s="102"/>
    </row>
    <row r="28" spans="2:14" x14ac:dyDescent="0.25">
      <c r="B28" s="58"/>
      <c r="C28" s="60"/>
      <c r="D28" s="169" t="s">
        <v>573</v>
      </c>
      <c r="E28" s="67"/>
      <c r="F28" s="110">
        <v>7</v>
      </c>
      <c r="G28" s="120">
        <v>0.65</v>
      </c>
      <c r="H28" s="108">
        <v>0.65</v>
      </c>
      <c r="I28" s="121">
        <v>1.85</v>
      </c>
      <c r="J28" s="115"/>
      <c r="K28" s="98">
        <f t="shared" si="2"/>
        <v>5.471375000000001</v>
      </c>
      <c r="L28" s="98"/>
      <c r="M28" s="98"/>
      <c r="N28" s="102"/>
    </row>
    <row r="29" spans="2:14" x14ac:dyDescent="0.25">
      <c r="B29" s="58"/>
      <c r="C29" s="60"/>
      <c r="D29" s="169" t="s">
        <v>574</v>
      </c>
      <c r="E29" s="67"/>
      <c r="F29" s="110">
        <v>3</v>
      </c>
      <c r="G29" s="120">
        <v>0.65</v>
      </c>
      <c r="H29" s="108">
        <v>0.75</v>
      </c>
      <c r="I29" s="121">
        <v>1.85</v>
      </c>
      <c r="J29" s="115"/>
      <c r="K29" s="98">
        <f t="shared" si="2"/>
        <v>2.7056250000000004</v>
      </c>
      <c r="L29" s="98"/>
      <c r="M29" s="98"/>
      <c r="N29" s="102"/>
    </row>
    <row r="30" spans="2:14" x14ac:dyDescent="0.25">
      <c r="B30" s="58"/>
      <c r="C30" s="60"/>
      <c r="D30" s="169" t="s">
        <v>575</v>
      </c>
      <c r="E30" s="67"/>
      <c r="F30" s="110">
        <v>2</v>
      </c>
      <c r="G30" s="120">
        <v>0.55000000000000004</v>
      </c>
      <c r="H30" s="108">
        <v>0.95</v>
      </c>
      <c r="I30" s="121">
        <v>1.85</v>
      </c>
      <c r="J30" s="115"/>
      <c r="K30" s="98">
        <f t="shared" si="2"/>
        <v>1.9332499999999999</v>
      </c>
      <c r="L30" s="98"/>
      <c r="M30" s="98"/>
      <c r="N30" s="102"/>
    </row>
    <row r="31" spans="2:14" x14ac:dyDescent="0.25">
      <c r="B31" s="52" t="s">
        <v>42</v>
      </c>
      <c r="C31" s="60">
        <v>96995</v>
      </c>
      <c r="D31" s="55" t="s">
        <v>44</v>
      </c>
      <c r="E31" s="67" t="s">
        <v>41</v>
      </c>
      <c r="F31" s="110"/>
      <c r="G31" s="120"/>
      <c r="H31" s="108"/>
      <c r="I31" s="121"/>
      <c r="J31" s="115">
        <f>'BOLETIM DE MEDIÇÃO 02'!O23-'MEMORIAL DE CALCULO 01'!K31</f>
        <v>0</v>
      </c>
      <c r="K31" s="97"/>
      <c r="L31" s="98">
        <f t="shared" si="0"/>
        <v>0</v>
      </c>
      <c r="M31" s="98">
        <f>'BOLETIM DE MEDIÇÃO 02'!G23</f>
        <v>44.26</v>
      </c>
      <c r="N31" s="102">
        <f t="shared" si="1"/>
        <v>44.26</v>
      </c>
    </row>
    <row r="32" spans="2:14" ht="22.5" hidden="1" x14ac:dyDescent="0.25">
      <c r="B32" s="52" t="s">
        <v>45</v>
      </c>
      <c r="C32" s="60">
        <v>94319</v>
      </c>
      <c r="D32" s="55" t="s">
        <v>47</v>
      </c>
      <c r="E32" s="67" t="s">
        <v>41</v>
      </c>
      <c r="F32" s="110"/>
      <c r="G32" s="120"/>
      <c r="H32" s="108"/>
      <c r="I32" s="121"/>
      <c r="J32" s="115">
        <f>'BOLETIM DE MEDIÇÃO 02'!O24-'MEMORIAL DE CALCULO 01'!K32</f>
        <v>0</v>
      </c>
      <c r="K32" s="97"/>
      <c r="L32" s="98">
        <f t="shared" si="0"/>
        <v>0</v>
      </c>
      <c r="M32" s="98">
        <f>'BOLETIM DE MEDIÇÃO 02'!G24</f>
        <v>93.63</v>
      </c>
      <c r="N32" s="102">
        <f t="shared" si="1"/>
        <v>93.63</v>
      </c>
    </row>
    <row r="33" spans="2:14" hidden="1" x14ac:dyDescent="0.25">
      <c r="B33" s="59" t="s">
        <v>48</v>
      </c>
      <c r="C33" s="63" t="s">
        <v>49</v>
      </c>
      <c r="D33" s="55"/>
      <c r="E33" s="67"/>
      <c r="F33" s="110"/>
      <c r="G33" s="120"/>
      <c r="H33" s="108"/>
      <c r="I33" s="121"/>
      <c r="J33" s="115"/>
      <c r="K33" s="97"/>
      <c r="L33" s="98"/>
      <c r="M33" s="98"/>
      <c r="N33" s="102"/>
    </row>
    <row r="34" spans="2:14" ht="45" hidden="1" x14ac:dyDescent="0.25">
      <c r="B34" s="52" t="s">
        <v>50</v>
      </c>
      <c r="C34" s="61" t="s">
        <v>51</v>
      </c>
      <c r="D34" s="55" t="s">
        <v>52</v>
      </c>
      <c r="E34" s="67" t="s">
        <v>41</v>
      </c>
      <c r="F34" s="110"/>
      <c r="G34" s="120"/>
      <c r="H34" s="108"/>
      <c r="I34" s="121"/>
      <c r="J34" s="115">
        <f>'BOLETIM DE MEDIÇÃO 02'!O26-'MEMORIAL DE CALCULO 01'!K34</f>
        <v>7.3434100000000004</v>
      </c>
      <c r="K34" s="97"/>
      <c r="L34" s="98">
        <f t="shared" si="0"/>
        <v>7.3434100000000004</v>
      </c>
      <c r="M34" s="98">
        <f>'BOLETIM DE MEDIÇÃO 02'!G26</f>
        <v>13.99</v>
      </c>
      <c r="N34" s="102">
        <f t="shared" si="1"/>
        <v>6.6465899999999998</v>
      </c>
    </row>
    <row r="35" spans="2:14" ht="22.5" hidden="1" x14ac:dyDescent="0.25">
      <c r="B35" s="52" t="s">
        <v>53</v>
      </c>
      <c r="C35" s="60">
        <v>101616</v>
      </c>
      <c r="D35" s="55" t="s">
        <v>55</v>
      </c>
      <c r="E35" s="67" t="s">
        <v>17</v>
      </c>
      <c r="F35" s="110"/>
      <c r="G35" s="120"/>
      <c r="H35" s="108"/>
      <c r="I35" s="121"/>
      <c r="J35" s="115">
        <f>'BOLETIM DE MEDIÇÃO 02'!O27-'MEMORIAL DE CALCULO 01'!K35</f>
        <v>37.81</v>
      </c>
      <c r="K35" s="97"/>
      <c r="L35" s="98">
        <f t="shared" si="0"/>
        <v>37.81</v>
      </c>
      <c r="M35" s="98">
        <f>'BOLETIM DE MEDIÇÃO 02'!G27</f>
        <v>37.81</v>
      </c>
      <c r="N35" s="102">
        <f t="shared" si="1"/>
        <v>0</v>
      </c>
    </row>
    <row r="36" spans="2:14" ht="33.75" hidden="1" x14ac:dyDescent="0.25">
      <c r="B36" s="52" t="s">
        <v>56</v>
      </c>
      <c r="C36" s="60">
        <v>96619</v>
      </c>
      <c r="D36" s="64" t="s">
        <v>58</v>
      </c>
      <c r="E36" s="67" t="s">
        <v>17</v>
      </c>
      <c r="F36" s="110"/>
      <c r="G36" s="120"/>
      <c r="H36" s="108"/>
      <c r="I36" s="121"/>
      <c r="J36" s="115">
        <f>'BOLETIM DE MEDIÇÃO 02'!O28-'MEMORIAL DE CALCULO 01'!K36</f>
        <v>37.81</v>
      </c>
      <c r="K36" s="97"/>
      <c r="L36" s="98">
        <f t="shared" si="0"/>
        <v>37.81</v>
      </c>
      <c r="M36" s="98">
        <f>'BOLETIM DE MEDIÇÃO 02'!G28</f>
        <v>77.41</v>
      </c>
      <c r="N36" s="102">
        <f t="shared" si="1"/>
        <v>39.599999999999994</v>
      </c>
    </row>
    <row r="37" spans="2:14" ht="22.5" hidden="1" x14ac:dyDescent="0.25">
      <c r="B37" s="52" t="s">
        <v>59</v>
      </c>
      <c r="C37" s="60">
        <v>96545</v>
      </c>
      <c r="D37" s="55" t="s">
        <v>61</v>
      </c>
      <c r="E37" s="67" t="s">
        <v>62</v>
      </c>
      <c r="F37" s="110"/>
      <c r="G37" s="120"/>
      <c r="H37" s="108"/>
      <c r="I37" s="121"/>
      <c r="J37" s="115">
        <f>'BOLETIM DE MEDIÇÃO 02'!O29-'MEMORIAL DE CALCULO 01'!K37</f>
        <v>44.520449999999997</v>
      </c>
      <c r="K37" s="97"/>
      <c r="L37" s="98">
        <f t="shared" si="0"/>
        <v>44.520449999999997</v>
      </c>
      <c r="M37" s="98">
        <f>'BOLETIM DE MEDIÇÃO 02'!G29</f>
        <v>537.29999999999995</v>
      </c>
      <c r="N37" s="102">
        <f t="shared" si="1"/>
        <v>492.77954999999997</v>
      </c>
    </row>
    <row r="38" spans="2:14" ht="33.75" hidden="1" x14ac:dyDescent="0.25">
      <c r="B38" s="52" t="s">
        <v>63</v>
      </c>
      <c r="C38" s="60">
        <v>94966</v>
      </c>
      <c r="D38" s="55" t="s">
        <v>65</v>
      </c>
      <c r="E38" s="67" t="s">
        <v>41</v>
      </c>
      <c r="F38" s="110"/>
      <c r="G38" s="120"/>
      <c r="H38" s="108"/>
      <c r="I38" s="121"/>
      <c r="J38" s="115">
        <f>'BOLETIM DE MEDIÇÃO 02'!O30-'MEMORIAL DE CALCULO 01'!K38</f>
        <v>8.4130549999999982</v>
      </c>
      <c r="K38" s="97"/>
      <c r="L38" s="98">
        <f t="shared" si="0"/>
        <v>8.4130549999999982</v>
      </c>
      <c r="M38" s="98">
        <f>'BOLETIM DE MEDIÇÃO 02'!G30</f>
        <v>21.16</v>
      </c>
      <c r="N38" s="102">
        <f t="shared" si="1"/>
        <v>12.746945000000002</v>
      </c>
    </row>
    <row r="39" spans="2:14" ht="33.75" hidden="1" x14ac:dyDescent="0.25">
      <c r="B39" s="52" t="s">
        <v>66</v>
      </c>
      <c r="C39" s="60">
        <v>94964</v>
      </c>
      <c r="D39" s="55" t="s">
        <v>68</v>
      </c>
      <c r="E39" s="67" t="s">
        <v>41</v>
      </c>
      <c r="F39" s="110"/>
      <c r="G39" s="120"/>
      <c r="H39" s="108"/>
      <c r="I39" s="121"/>
      <c r="J39" s="115">
        <f>'BOLETIM DE MEDIÇÃO 02'!O31-'MEMORIAL DE CALCULO 01'!K39</f>
        <v>0</v>
      </c>
      <c r="K39" s="97"/>
      <c r="L39" s="98">
        <f t="shared" si="0"/>
        <v>0</v>
      </c>
      <c r="M39" s="98">
        <f>'BOLETIM DE MEDIÇÃO 02'!G31</f>
        <v>9.6</v>
      </c>
      <c r="N39" s="102">
        <f t="shared" si="1"/>
        <v>9.6</v>
      </c>
    </row>
    <row r="40" spans="2:14" ht="22.5" hidden="1" x14ac:dyDescent="0.25">
      <c r="B40" s="52" t="s">
        <v>69</v>
      </c>
      <c r="C40" s="60">
        <v>103670</v>
      </c>
      <c r="D40" s="55" t="s">
        <v>71</v>
      </c>
      <c r="E40" s="67" t="s">
        <v>41</v>
      </c>
      <c r="F40" s="110"/>
      <c r="G40" s="120"/>
      <c r="H40" s="108"/>
      <c r="I40" s="121"/>
      <c r="J40" s="115">
        <f>'BOLETIM DE MEDIÇÃO 02'!O32-'MEMORIAL DE CALCULO 01'!K40</f>
        <v>18.013054999999998</v>
      </c>
      <c r="K40" s="97"/>
      <c r="L40" s="98">
        <f t="shared" si="0"/>
        <v>18.013054999999998</v>
      </c>
      <c r="M40" s="98">
        <f>'BOLETIM DE MEDIÇÃO 02'!G32</f>
        <v>30.76</v>
      </c>
      <c r="N40" s="102">
        <f t="shared" si="1"/>
        <v>12.746945000000004</v>
      </c>
    </row>
    <row r="41" spans="2:14" ht="22.5" hidden="1" x14ac:dyDescent="0.25">
      <c r="B41" s="52" t="s">
        <v>72</v>
      </c>
      <c r="C41" s="60">
        <v>96543</v>
      </c>
      <c r="D41" s="55" t="s">
        <v>74</v>
      </c>
      <c r="E41" s="67" t="s">
        <v>62</v>
      </c>
      <c r="F41" s="110"/>
      <c r="G41" s="120"/>
      <c r="H41" s="108"/>
      <c r="I41" s="121"/>
      <c r="J41" s="115">
        <f>'BOLETIM DE MEDIÇÃO 02'!O33-'MEMORIAL DE CALCULO 01'!K41</f>
        <v>194.26804319999999</v>
      </c>
      <c r="K41" s="97"/>
      <c r="L41" s="98">
        <f t="shared" si="0"/>
        <v>194.26804319999999</v>
      </c>
      <c r="M41" s="98">
        <f>'BOLETIM DE MEDIÇÃO 02'!G33</f>
        <v>404.4</v>
      </c>
      <c r="N41" s="102">
        <f t="shared" si="1"/>
        <v>210.13195679999998</v>
      </c>
    </row>
    <row r="42" spans="2:14" ht="22.5" hidden="1" x14ac:dyDescent="0.25">
      <c r="B42" s="52" t="s">
        <v>75</v>
      </c>
      <c r="C42" s="60">
        <v>96544</v>
      </c>
      <c r="D42" s="55" t="s">
        <v>77</v>
      </c>
      <c r="E42" s="67" t="s">
        <v>62</v>
      </c>
      <c r="F42" s="110"/>
      <c r="G42" s="120"/>
      <c r="H42" s="108"/>
      <c r="I42" s="121"/>
      <c r="J42" s="115">
        <f>'BOLETIM DE MEDIÇÃO 02'!O34-'MEMORIAL DE CALCULO 01'!K42</f>
        <v>295</v>
      </c>
      <c r="K42" s="97"/>
      <c r="L42" s="98">
        <f t="shared" si="0"/>
        <v>295</v>
      </c>
      <c r="M42" s="98">
        <f>'BOLETIM DE MEDIÇÃO 02'!G34</f>
        <v>295</v>
      </c>
      <c r="N42" s="102">
        <f t="shared" si="1"/>
        <v>0</v>
      </c>
    </row>
    <row r="43" spans="2:14" ht="22.5" hidden="1" x14ac:dyDescent="0.25">
      <c r="B43" s="52" t="s">
        <v>78</v>
      </c>
      <c r="C43" s="60">
        <v>96546</v>
      </c>
      <c r="D43" s="55" t="s">
        <v>80</v>
      </c>
      <c r="E43" s="67" t="s">
        <v>62</v>
      </c>
      <c r="F43" s="110"/>
      <c r="G43" s="120"/>
      <c r="H43" s="108"/>
      <c r="I43" s="121"/>
      <c r="J43" s="115">
        <f>'BOLETIM DE MEDIÇÃO 02'!O35-'MEMORIAL DE CALCULO 01'!K43</f>
        <v>534.1</v>
      </c>
      <c r="K43" s="97"/>
      <c r="L43" s="98">
        <f t="shared" si="0"/>
        <v>534.1</v>
      </c>
      <c r="M43" s="98">
        <f>'BOLETIM DE MEDIÇÃO 02'!G35</f>
        <v>534.1</v>
      </c>
      <c r="N43" s="102">
        <f t="shared" si="1"/>
        <v>0</v>
      </c>
    </row>
    <row r="44" spans="2:14" ht="22.5" hidden="1" x14ac:dyDescent="0.25">
      <c r="B44" s="52" t="s">
        <v>81</v>
      </c>
      <c r="C44" s="60">
        <v>96547</v>
      </c>
      <c r="D44" s="55" t="s">
        <v>83</v>
      </c>
      <c r="E44" s="67" t="s">
        <v>62</v>
      </c>
      <c r="F44" s="110"/>
      <c r="G44" s="120"/>
      <c r="H44" s="108"/>
      <c r="I44" s="121"/>
      <c r="J44" s="115">
        <f>'BOLETIM DE MEDIÇÃO 02'!O36-'MEMORIAL DE CALCULO 01'!K44</f>
        <v>100.55646000000002</v>
      </c>
      <c r="K44" s="97"/>
      <c r="L44" s="98">
        <f t="shared" si="0"/>
        <v>100.55646000000002</v>
      </c>
      <c r="M44" s="98">
        <f>'BOLETIM DE MEDIÇÃO 02'!G36</f>
        <v>152.9</v>
      </c>
      <c r="N44" s="102">
        <f t="shared" si="1"/>
        <v>52.34353999999999</v>
      </c>
    </row>
    <row r="45" spans="2:14" ht="33.75" hidden="1" x14ac:dyDescent="0.25">
      <c r="B45" s="52" t="s">
        <v>84</v>
      </c>
      <c r="C45" s="60">
        <v>96536</v>
      </c>
      <c r="D45" s="55" t="s">
        <v>86</v>
      </c>
      <c r="E45" s="67" t="s">
        <v>17</v>
      </c>
      <c r="F45" s="110"/>
      <c r="G45" s="120"/>
      <c r="H45" s="108"/>
      <c r="I45" s="121"/>
      <c r="J45" s="115">
        <f>'BOLETIM DE MEDIÇÃO 02'!O37-'MEMORIAL DE CALCULO 01'!K45</f>
        <v>206.33700000000002</v>
      </c>
      <c r="K45" s="97"/>
      <c r="L45" s="98">
        <f t="shared" si="0"/>
        <v>206.33700000000002</v>
      </c>
      <c r="M45" s="98">
        <f>'BOLETIM DE MEDIÇÃO 02'!G37</f>
        <v>429.83</v>
      </c>
      <c r="N45" s="102">
        <f t="shared" si="1"/>
        <v>223.49299999999997</v>
      </c>
    </row>
    <row r="46" spans="2:14" ht="22.5" hidden="1" x14ac:dyDescent="0.25">
      <c r="B46" s="52" t="s">
        <v>87</v>
      </c>
      <c r="C46" s="61">
        <v>98557</v>
      </c>
      <c r="D46" s="55" t="s">
        <v>89</v>
      </c>
      <c r="E46" s="67" t="s">
        <v>17</v>
      </c>
      <c r="F46" s="110"/>
      <c r="G46" s="120"/>
      <c r="H46" s="108"/>
      <c r="I46" s="121"/>
      <c r="J46" s="115">
        <f>'BOLETIM DE MEDIÇÃO 02'!O38-'MEMORIAL DE CALCULO 01'!K46</f>
        <v>0</v>
      </c>
      <c r="K46" s="97"/>
      <c r="L46" s="98">
        <f t="shared" si="0"/>
        <v>0</v>
      </c>
      <c r="M46" s="98">
        <f>'BOLETIM DE MEDIÇÃO 02'!G38</f>
        <v>253.95</v>
      </c>
      <c r="N46" s="102">
        <f t="shared" si="1"/>
        <v>253.95</v>
      </c>
    </row>
    <row r="47" spans="2:14" hidden="1" x14ac:dyDescent="0.25">
      <c r="B47" s="59" t="s">
        <v>90</v>
      </c>
      <c r="C47" s="63" t="s">
        <v>91</v>
      </c>
      <c r="D47" s="55"/>
      <c r="E47" s="67"/>
      <c r="F47" s="110"/>
      <c r="G47" s="120"/>
      <c r="H47" s="108"/>
      <c r="I47" s="121"/>
      <c r="J47" s="115"/>
      <c r="K47" s="97"/>
      <c r="L47" s="98"/>
      <c r="M47" s="98"/>
      <c r="N47" s="102"/>
    </row>
    <row r="48" spans="2:14" ht="45" hidden="1" x14ac:dyDescent="0.25">
      <c r="B48" s="52" t="s">
        <v>92</v>
      </c>
      <c r="C48" s="60">
        <v>92443</v>
      </c>
      <c r="D48" s="55" t="s">
        <v>94</v>
      </c>
      <c r="E48" s="67" t="s">
        <v>17</v>
      </c>
      <c r="F48" s="110"/>
      <c r="G48" s="120"/>
      <c r="H48" s="108"/>
      <c r="I48" s="121"/>
      <c r="J48" s="115">
        <f>'BOLETIM DE MEDIÇÃO 02'!O40-'MEMORIAL DE CALCULO 01'!K48</f>
        <v>0</v>
      </c>
      <c r="K48" s="97"/>
      <c r="L48" s="98">
        <f t="shared" si="0"/>
        <v>0</v>
      </c>
      <c r="M48" s="98">
        <f>'BOLETIM DE MEDIÇÃO 02'!G40</f>
        <v>408.7</v>
      </c>
      <c r="N48" s="102">
        <f t="shared" si="1"/>
        <v>408.7</v>
      </c>
    </row>
    <row r="49" spans="2:14" ht="33.75" hidden="1" x14ac:dyDescent="0.25">
      <c r="B49" s="52" t="s">
        <v>95</v>
      </c>
      <c r="C49" s="66">
        <v>92480</v>
      </c>
      <c r="D49" s="64" t="s">
        <v>97</v>
      </c>
      <c r="E49" s="67" t="s">
        <v>17</v>
      </c>
      <c r="F49" s="110"/>
      <c r="G49" s="120"/>
      <c r="H49" s="46"/>
      <c r="I49" s="121"/>
      <c r="J49" s="115">
        <f>'BOLETIM DE MEDIÇÃO 02'!O41-'MEMORIAL DE CALCULO 01'!K49</f>
        <v>0</v>
      </c>
      <c r="K49" s="97"/>
      <c r="L49" s="98">
        <f t="shared" si="0"/>
        <v>0</v>
      </c>
      <c r="M49" s="98">
        <f>'BOLETIM DE MEDIÇÃO 02'!G41</f>
        <v>435.33</v>
      </c>
      <c r="N49" s="102">
        <f t="shared" si="1"/>
        <v>435.33</v>
      </c>
    </row>
    <row r="50" spans="2:14" ht="22.5" hidden="1" x14ac:dyDescent="0.25">
      <c r="B50" s="52" t="s">
        <v>98</v>
      </c>
      <c r="C50" s="60">
        <v>92267</v>
      </c>
      <c r="D50" s="55" t="s">
        <v>100</v>
      </c>
      <c r="E50" s="67" t="s">
        <v>17</v>
      </c>
      <c r="F50" s="110"/>
      <c r="G50" s="120"/>
      <c r="H50" s="67"/>
      <c r="I50" s="121"/>
      <c r="J50" s="115">
        <f>'BOLETIM DE MEDIÇÃO 02'!O42-'MEMORIAL DE CALCULO 01'!K50</f>
        <v>0</v>
      </c>
      <c r="K50" s="97"/>
      <c r="L50" s="98">
        <f t="shared" si="0"/>
        <v>0</v>
      </c>
      <c r="M50" s="98">
        <f>'BOLETIM DE MEDIÇÃO 02'!G42</f>
        <v>111.15</v>
      </c>
      <c r="N50" s="102">
        <f t="shared" si="1"/>
        <v>111.15</v>
      </c>
    </row>
    <row r="51" spans="2:14" ht="33.75" hidden="1" x14ac:dyDescent="0.25">
      <c r="B51" s="52" t="s">
        <v>101</v>
      </c>
      <c r="C51" s="60">
        <v>92759</v>
      </c>
      <c r="D51" s="55" t="s">
        <v>103</v>
      </c>
      <c r="E51" s="67" t="s">
        <v>62</v>
      </c>
      <c r="F51" s="110"/>
      <c r="G51" s="120"/>
      <c r="H51" s="67"/>
      <c r="I51" s="121"/>
      <c r="J51" s="115">
        <f>'BOLETIM DE MEDIÇÃO 02'!O43-'MEMORIAL DE CALCULO 01'!K51</f>
        <v>0</v>
      </c>
      <c r="K51" s="97"/>
      <c r="L51" s="98">
        <f t="shared" si="0"/>
        <v>0</v>
      </c>
      <c r="M51" s="98">
        <f>'BOLETIM DE MEDIÇÃO 02'!G43</f>
        <v>1027.8</v>
      </c>
      <c r="N51" s="102">
        <f t="shared" si="1"/>
        <v>1027.8</v>
      </c>
    </row>
    <row r="52" spans="2:14" ht="33.75" hidden="1" x14ac:dyDescent="0.25">
      <c r="B52" s="52" t="s">
        <v>104</v>
      </c>
      <c r="C52" s="60">
        <v>92760</v>
      </c>
      <c r="D52" s="55" t="s">
        <v>106</v>
      </c>
      <c r="E52" s="67" t="s">
        <v>62</v>
      </c>
      <c r="F52" s="110"/>
      <c r="G52" s="120"/>
      <c r="H52" s="67"/>
      <c r="I52" s="121"/>
      <c r="J52" s="115">
        <f>'BOLETIM DE MEDIÇÃO 02'!O44-'MEMORIAL DE CALCULO 01'!K52</f>
        <v>0</v>
      </c>
      <c r="K52" s="97"/>
      <c r="L52" s="98">
        <f t="shared" si="0"/>
        <v>0</v>
      </c>
      <c r="M52" s="98">
        <f>'BOLETIM DE MEDIÇÃO 02'!G44</f>
        <v>39.1</v>
      </c>
      <c r="N52" s="102">
        <f t="shared" si="1"/>
        <v>39.1</v>
      </c>
    </row>
    <row r="53" spans="2:14" ht="33.75" hidden="1" x14ac:dyDescent="0.25">
      <c r="B53" s="52" t="s">
        <v>107</v>
      </c>
      <c r="C53" s="60">
        <v>92761</v>
      </c>
      <c r="D53" s="55" t="s">
        <v>109</v>
      </c>
      <c r="E53" s="67" t="s">
        <v>62</v>
      </c>
      <c r="F53" s="110"/>
      <c r="G53" s="120"/>
      <c r="H53" s="67"/>
      <c r="I53" s="121"/>
      <c r="J53" s="115">
        <f>'BOLETIM DE MEDIÇÃO 02'!O45-'MEMORIAL DE CALCULO 01'!K53</f>
        <v>0</v>
      </c>
      <c r="K53" s="97"/>
      <c r="L53" s="98">
        <f t="shared" si="0"/>
        <v>0</v>
      </c>
      <c r="M53" s="98">
        <f>'BOLETIM DE MEDIÇÃO 02'!G45</f>
        <v>1000</v>
      </c>
      <c r="N53" s="102">
        <f t="shared" si="1"/>
        <v>1000</v>
      </c>
    </row>
    <row r="54" spans="2:14" ht="33.75" hidden="1" x14ac:dyDescent="0.25">
      <c r="B54" s="52" t="s">
        <v>110</v>
      </c>
      <c r="C54" s="60">
        <v>92762</v>
      </c>
      <c r="D54" s="55" t="s">
        <v>112</v>
      </c>
      <c r="E54" s="67" t="s">
        <v>62</v>
      </c>
      <c r="F54" s="110"/>
      <c r="G54" s="120"/>
      <c r="H54" s="67"/>
      <c r="I54" s="121"/>
      <c r="J54" s="115">
        <f>'BOLETIM DE MEDIÇÃO 02'!O46-'MEMORIAL DE CALCULO 01'!K54</f>
        <v>0</v>
      </c>
      <c r="K54" s="97"/>
      <c r="L54" s="98">
        <f t="shared" si="0"/>
        <v>0</v>
      </c>
      <c r="M54" s="98">
        <f>'BOLETIM DE MEDIÇÃO 02'!G46</f>
        <v>1306.0999999999999</v>
      </c>
      <c r="N54" s="102">
        <f t="shared" si="1"/>
        <v>1306.0999999999999</v>
      </c>
    </row>
    <row r="55" spans="2:14" ht="33.75" hidden="1" x14ac:dyDescent="0.25">
      <c r="B55" s="52" t="s">
        <v>113</v>
      </c>
      <c r="C55" s="60">
        <v>92763</v>
      </c>
      <c r="D55" s="55" t="s">
        <v>115</v>
      </c>
      <c r="E55" s="67" t="s">
        <v>62</v>
      </c>
      <c r="F55" s="110"/>
      <c r="G55" s="120"/>
      <c r="H55" s="67"/>
      <c r="I55" s="121"/>
      <c r="J55" s="115">
        <f>'BOLETIM DE MEDIÇÃO 02'!O47-'MEMORIAL DE CALCULO 01'!K55</f>
        <v>0</v>
      </c>
      <c r="K55" s="97"/>
      <c r="L55" s="98">
        <f t="shared" si="0"/>
        <v>0</v>
      </c>
      <c r="M55" s="98">
        <f>'BOLETIM DE MEDIÇÃO 02'!G47</f>
        <v>168.2</v>
      </c>
      <c r="N55" s="102">
        <f t="shared" si="1"/>
        <v>168.2</v>
      </c>
    </row>
    <row r="56" spans="2:14" ht="33.75" hidden="1" x14ac:dyDescent="0.25">
      <c r="B56" s="52" t="s">
        <v>116</v>
      </c>
      <c r="C56" s="60">
        <v>92768</v>
      </c>
      <c r="D56" s="55" t="s">
        <v>118</v>
      </c>
      <c r="E56" s="67" t="s">
        <v>62</v>
      </c>
      <c r="F56" s="110"/>
      <c r="G56" s="120"/>
      <c r="H56" s="67"/>
      <c r="I56" s="121"/>
      <c r="J56" s="115">
        <f>'BOLETIM DE MEDIÇÃO 02'!O48-'MEMORIAL DE CALCULO 01'!K56</f>
        <v>0</v>
      </c>
      <c r="K56" s="97"/>
      <c r="L56" s="98">
        <f t="shared" si="0"/>
        <v>0</v>
      </c>
      <c r="M56" s="98">
        <f>'BOLETIM DE MEDIÇÃO 02'!G48</f>
        <v>158.69999999999999</v>
      </c>
      <c r="N56" s="102">
        <f t="shared" si="1"/>
        <v>158.69999999999999</v>
      </c>
    </row>
    <row r="57" spans="2:14" ht="33.75" hidden="1" x14ac:dyDescent="0.25">
      <c r="B57" s="52" t="s">
        <v>119</v>
      </c>
      <c r="C57" s="60">
        <v>92769</v>
      </c>
      <c r="D57" s="55" t="s">
        <v>121</v>
      </c>
      <c r="E57" s="67" t="s">
        <v>62</v>
      </c>
      <c r="F57" s="110"/>
      <c r="G57" s="120"/>
      <c r="H57" s="67"/>
      <c r="I57" s="121"/>
      <c r="J57" s="115">
        <f>'BOLETIM DE MEDIÇÃO 02'!O49-'MEMORIAL DE CALCULO 01'!K57</f>
        <v>0</v>
      </c>
      <c r="K57" s="97"/>
      <c r="L57" s="98">
        <f t="shared" si="0"/>
        <v>0</v>
      </c>
      <c r="M57" s="98">
        <f>'BOLETIM DE MEDIÇÃO 02'!G49</f>
        <v>170.5</v>
      </c>
      <c r="N57" s="102">
        <f t="shared" si="1"/>
        <v>170.5</v>
      </c>
    </row>
    <row r="58" spans="2:14" ht="33.75" hidden="1" x14ac:dyDescent="0.25">
      <c r="B58" s="52" t="s">
        <v>122</v>
      </c>
      <c r="C58" s="60">
        <v>92770</v>
      </c>
      <c r="D58" s="55" t="s">
        <v>124</v>
      </c>
      <c r="E58" s="67" t="s">
        <v>62</v>
      </c>
      <c r="F58" s="110"/>
      <c r="G58" s="120"/>
      <c r="H58" s="67"/>
      <c r="I58" s="121"/>
      <c r="J58" s="115">
        <f>'BOLETIM DE MEDIÇÃO 02'!O50-'MEMORIAL DE CALCULO 01'!K58</f>
        <v>0</v>
      </c>
      <c r="K58" s="97"/>
      <c r="L58" s="98">
        <f t="shared" si="0"/>
        <v>0</v>
      </c>
      <c r="M58" s="98">
        <f>'BOLETIM DE MEDIÇÃO 02'!G50</f>
        <v>279.10000000000002</v>
      </c>
      <c r="N58" s="102">
        <f t="shared" si="1"/>
        <v>279.10000000000002</v>
      </c>
    </row>
    <row r="59" spans="2:14" ht="33.75" hidden="1" x14ac:dyDescent="0.25">
      <c r="B59" s="52" t="s">
        <v>125</v>
      </c>
      <c r="C59" s="60">
        <v>94966</v>
      </c>
      <c r="D59" s="55" t="s">
        <v>65</v>
      </c>
      <c r="E59" s="67" t="s">
        <v>41</v>
      </c>
      <c r="F59" s="110"/>
      <c r="G59" s="120"/>
      <c r="H59" s="67"/>
      <c r="I59" s="121"/>
      <c r="J59" s="115">
        <f>'BOLETIM DE MEDIÇÃO 02'!O51-'MEMORIAL DE CALCULO 01'!K59</f>
        <v>0</v>
      </c>
      <c r="K59" s="97"/>
      <c r="L59" s="98">
        <f t="shared" si="0"/>
        <v>0</v>
      </c>
      <c r="M59" s="98">
        <f>'BOLETIM DE MEDIÇÃO 02'!G51</f>
        <v>61.56</v>
      </c>
      <c r="N59" s="102">
        <f t="shared" si="1"/>
        <v>61.56</v>
      </c>
    </row>
    <row r="60" spans="2:14" ht="22.5" hidden="1" x14ac:dyDescent="0.25">
      <c r="B60" s="52" t="s">
        <v>126</v>
      </c>
      <c r="C60" s="66">
        <v>103670</v>
      </c>
      <c r="D60" s="64" t="s">
        <v>71</v>
      </c>
      <c r="E60" s="67" t="s">
        <v>41</v>
      </c>
      <c r="F60" s="110"/>
      <c r="G60" s="120"/>
      <c r="H60" s="46"/>
      <c r="I60" s="121"/>
      <c r="J60" s="115">
        <f>'BOLETIM DE MEDIÇÃO 02'!O52-'MEMORIAL DE CALCULO 01'!K60</f>
        <v>0</v>
      </c>
      <c r="K60" s="97"/>
      <c r="L60" s="98">
        <f t="shared" si="0"/>
        <v>0</v>
      </c>
      <c r="M60" s="98">
        <f>'BOLETIM DE MEDIÇÃO 02'!G52</f>
        <v>61.56</v>
      </c>
      <c r="N60" s="102">
        <f t="shared" si="1"/>
        <v>61.56</v>
      </c>
    </row>
    <row r="61" spans="2:14" ht="33.75" hidden="1" x14ac:dyDescent="0.25">
      <c r="B61" s="52" t="s">
        <v>127</v>
      </c>
      <c r="C61" s="66">
        <v>92771</v>
      </c>
      <c r="D61" s="64" t="s">
        <v>129</v>
      </c>
      <c r="E61" s="67" t="s">
        <v>62</v>
      </c>
      <c r="F61" s="110"/>
      <c r="G61" s="120"/>
      <c r="H61" s="46"/>
      <c r="I61" s="121"/>
      <c r="J61" s="115">
        <f>'BOLETIM DE MEDIÇÃO 02'!O53-'MEMORIAL DE CALCULO 01'!K61</f>
        <v>0</v>
      </c>
      <c r="K61" s="97"/>
      <c r="L61" s="98">
        <f t="shared" si="0"/>
        <v>0</v>
      </c>
      <c r="M61" s="98">
        <f>'BOLETIM DE MEDIÇÃO 02'!G53</f>
        <v>312.3</v>
      </c>
      <c r="N61" s="102">
        <f t="shared" si="1"/>
        <v>312.3</v>
      </c>
    </row>
    <row r="62" spans="2:14" ht="33.75" hidden="1" x14ac:dyDescent="0.25">
      <c r="B62" s="52" t="s">
        <v>130</v>
      </c>
      <c r="C62" s="60">
        <v>92772</v>
      </c>
      <c r="D62" s="55" t="s">
        <v>132</v>
      </c>
      <c r="E62" s="67" t="s">
        <v>62</v>
      </c>
      <c r="F62" s="110"/>
      <c r="G62" s="120"/>
      <c r="H62" s="67"/>
      <c r="I62" s="121"/>
      <c r="J62" s="115">
        <f>'BOLETIM DE MEDIÇÃO 02'!O54-'MEMORIAL DE CALCULO 01'!K62</f>
        <v>0</v>
      </c>
      <c r="K62" s="97"/>
      <c r="L62" s="98">
        <f t="shared" si="0"/>
        <v>0</v>
      </c>
      <c r="M62" s="98">
        <f>'BOLETIM DE MEDIÇÃO 02'!G54</f>
        <v>154.80000000000001</v>
      </c>
      <c r="N62" s="102">
        <f t="shared" si="1"/>
        <v>154.80000000000001</v>
      </c>
    </row>
    <row r="63" spans="2:14" hidden="1" x14ac:dyDescent="0.25">
      <c r="B63" s="59">
        <v>1.5</v>
      </c>
      <c r="C63" s="63" t="s">
        <v>134</v>
      </c>
      <c r="D63" s="55"/>
      <c r="E63" s="67"/>
      <c r="F63" s="110"/>
      <c r="G63" s="120"/>
      <c r="H63" s="67"/>
      <c r="I63" s="121"/>
      <c r="J63" s="115"/>
      <c r="K63" s="97"/>
      <c r="L63" s="98"/>
      <c r="M63" s="98"/>
      <c r="N63" s="102"/>
    </row>
    <row r="64" spans="2:14" ht="45" hidden="1" x14ac:dyDescent="0.25">
      <c r="B64" s="52" t="s">
        <v>135</v>
      </c>
      <c r="C64" s="60">
        <v>103356</v>
      </c>
      <c r="D64" s="55" t="s">
        <v>137</v>
      </c>
      <c r="E64" s="67" t="s">
        <v>17</v>
      </c>
      <c r="F64" s="110"/>
      <c r="G64" s="120"/>
      <c r="H64" s="67"/>
      <c r="I64" s="121"/>
      <c r="J64" s="115">
        <f>'BOLETIM DE MEDIÇÃO 02'!O56-'MEMORIAL DE CALCULO 01'!K64</f>
        <v>0</v>
      </c>
      <c r="K64" s="97"/>
      <c r="L64" s="98">
        <f t="shared" si="0"/>
        <v>0</v>
      </c>
      <c r="M64" s="98">
        <f>'BOLETIM DE MEDIÇÃO 02'!G56</f>
        <v>1131.99</v>
      </c>
      <c r="N64" s="102">
        <f t="shared" si="1"/>
        <v>1131.99</v>
      </c>
    </row>
    <row r="65" spans="2:14" ht="22.5" hidden="1" x14ac:dyDescent="0.25">
      <c r="B65" s="52" t="s">
        <v>138</v>
      </c>
      <c r="C65" s="66">
        <v>93189</v>
      </c>
      <c r="D65" s="64" t="s">
        <v>140</v>
      </c>
      <c r="E65" s="67" t="s">
        <v>37</v>
      </c>
      <c r="F65" s="110"/>
      <c r="G65" s="120"/>
      <c r="H65" s="46"/>
      <c r="I65" s="121"/>
      <c r="J65" s="115">
        <f>'BOLETIM DE MEDIÇÃO 02'!O57-'MEMORIAL DE CALCULO 01'!K65</f>
        <v>0</v>
      </c>
      <c r="K65" s="97"/>
      <c r="L65" s="98">
        <f t="shared" si="0"/>
        <v>0</v>
      </c>
      <c r="M65" s="98">
        <f>'BOLETIM DE MEDIÇÃO 02'!G57</f>
        <v>64.099999999999994</v>
      </c>
      <c r="N65" s="102">
        <f t="shared" si="1"/>
        <v>64.099999999999994</v>
      </c>
    </row>
    <row r="66" spans="2:14" ht="33.75" hidden="1" x14ac:dyDescent="0.25">
      <c r="B66" s="52" t="s">
        <v>141</v>
      </c>
      <c r="C66" s="60">
        <v>93191</v>
      </c>
      <c r="D66" s="55" t="s">
        <v>143</v>
      </c>
      <c r="E66" s="67" t="s">
        <v>37</v>
      </c>
      <c r="F66" s="110"/>
      <c r="G66" s="120"/>
      <c r="H66" s="67"/>
      <c r="I66" s="121"/>
      <c r="J66" s="115">
        <f>'BOLETIM DE MEDIÇÃO 02'!O58-'MEMORIAL DE CALCULO 01'!K66</f>
        <v>0</v>
      </c>
      <c r="K66" s="97"/>
      <c r="L66" s="98">
        <f t="shared" si="0"/>
        <v>0</v>
      </c>
      <c r="M66" s="98">
        <f>'BOLETIM DE MEDIÇÃO 02'!G58</f>
        <v>72.2</v>
      </c>
      <c r="N66" s="102">
        <f t="shared" si="1"/>
        <v>72.2</v>
      </c>
    </row>
    <row r="67" spans="2:14" ht="22.5" hidden="1" x14ac:dyDescent="0.25">
      <c r="B67" s="52" t="s">
        <v>144</v>
      </c>
      <c r="C67" s="60">
        <v>93197</v>
      </c>
      <c r="D67" s="55" t="s">
        <v>146</v>
      </c>
      <c r="E67" s="67" t="s">
        <v>37</v>
      </c>
      <c r="F67" s="110"/>
      <c r="G67" s="120"/>
      <c r="H67" s="67"/>
      <c r="I67" s="121"/>
      <c r="J67" s="115">
        <f>'BOLETIM DE MEDIÇÃO 02'!O59-'MEMORIAL DE CALCULO 01'!K67</f>
        <v>0</v>
      </c>
      <c r="K67" s="97"/>
      <c r="L67" s="98">
        <f t="shared" si="0"/>
        <v>0</v>
      </c>
      <c r="M67" s="98">
        <f>'BOLETIM DE MEDIÇÃO 02'!G59</f>
        <v>72.2</v>
      </c>
      <c r="N67" s="102">
        <f t="shared" si="1"/>
        <v>72.2</v>
      </c>
    </row>
    <row r="68" spans="2:14" ht="14.45" hidden="1" customHeight="1" x14ac:dyDescent="0.25">
      <c r="B68" s="59">
        <v>1.6</v>
      </c>
      <c r="C68" s="63" t="s">
        <v>148</v>
      </c>
      <c r="D68" s="55"/>
      <c r="E68" s="67"/>
      <c r="F68" s="110"/>
      <c r="G68" s="120"/>
      <c r="H68" s="67"/>
      <c r="I68" s="121"/>
      <c r="J68" s="115"/>
      <c r="K68" s="97"/>
      <c r="L68" s="98"/>
      <c r="M68" s="98"/>
      <c r="N68" s="102"/>
    </row>
    <row r="69" spans="2:14" ht="45" hidden="1" x14ac:dyDescent="0.25">
      <c r="B69" s="52" t="s">
        <v>149</v>
      </c>
      <c r="C69" s="60">
        <v>87893</v>
      </c>
      <c r="D69" s="55" t="s">
        <v>151</v>
      </c>
      <c r="E69" s="67" t="s">
        <v>17</v>
      </c>
      <c r="F69" s="110"/>
      <c r="G69" s="120"/>
      <c r="H69" s="67"/>
      <c r="I69" s="121"/>
      <c r="J69" s="115">
        <f>'BOLETIM DE MEDIÇÃO 02'!O61-'MEMORIAL DE CALCULO 01'!K69</f>
        <v>0</v>
      </c>
      <c r="K69" s="97"/>
      <c r="L69" s="98">
        <f t="shared" si="0"/>
        <v>0</v>
      </c>
      <c r="M69" s="98">
        <f>'BOLETIM DE MEDIÇÃO 02'!G61</f>
        <v>1348.98</v>
      </c>
      <c r="N69" s="102">
        <f t="shared" si="1"/>
        <v>1348.98</v>
      </c>
    </row>
    <row r="70" spans="2:14" ht="45" hidden="1" x14ac:dyDescent="0.25">
      <c r="B70" s="52" t="s">
        <v>152</v>
      </c>
      <c r="C70" s="60">
        <v>87548</v>
      </c>
      <c r="D70" s="55" t="s">
        <v>154</v>
      </c>
      <c r="E70" s="67" t="s">
        <v>17</v>
      </c>
      <c r="F70" s="110"/>
      <c r="G70" s="120"/>
      <c r="H70" s="67"/>
      <c r="I70" s="121"/>
      <c r="J70" s="115">
        <f>'BOLETIM DE MEDIÇÃO 02'!O62-'MEMORIAL DE CALCULO 01'!K70</f>
        <v>0</v>
      </c>
      <c r="K70" s="97"/>
      <c r="L70" s="98">
        <f t="shared" si="0"/>
        <v>0</v>
      </c>
      <c r="M70" s="98">
        <f>'BOLETIM DE MEDIÇÃO 02'!G62</f>
        <v>997.11</v>
      </c>
      <c r="N70" s="102">
        <f t="shared" si="1"/>
        <v>997.11</v>
      </c>
    </row>
    <row r="71" spans="2:14" ht="56.25" hidden="1" x14ac:dyDescent="0.25">
      <c r="B71" s="52" t="s">
        <v>155</v>
      </c>
      <c r="C71" s="60">
        <v>87536</v>
      </c>
      <c r="D71" s="55" t="s">
        <v>157</v>
      </c>
      <c r="E71" s="67" t="s">
        <v>17</v>
      </c>
      <c r="F71" s="110"/>
      <c r="G71" s="120"/>
      <c r="H71" s="67"/>
      <c r="I71" s="121"/>
      <c r="J71" s="115">
        <f>'BOLETIM DE MEDIÇÃO 02'!O63-'MEMORIAL DE CALCULO 01'!K71</f>
        <v>0</v>
      </c>
      <c r="K71" s="97"/>
      <c r="L71" s="98">
        <f t="shared" si="0"/>
        <v>0</v>
      </c>
      <c r="M71" s="98">
        <f>'BOLETIM DE MEDIÇÃO 02'!G63</f>
        <v>351.87</v>
      </c>
      <c r="N71" s="102">
        <f t="shared" si="1"/>
        <v>351.87</v>
      </c>
    </row>
    <row r="72" spans="2:14" ht="33.75" hidden="1" x14ac:dyDescent="0.25">
      <c r="B72" s="52" t="s">
        <v>158</v>
      </c>
      <c r="C72" s="60">
        <v>87275</v>
      </c>
      <c r="D72" s="55" t="s">
        <v>160</v>
      </c>
      <c r="E72" s="67" t="s">
        <v>17</v>
      </c>
      <c r="F72" s="110"/>
      <c r="G72" s="120"/>
      <c r="H72" s="67"/>
      <c r="I72" s="121"/>
      <c r="J72" s="115">
        <f>'BOLETIM DE MEDIÇÃO 02'!O64-'MEMORIAL DE CALCULO 01'!K72</f>
        <v>0</v>
      </c>
      <c r="K72" s="97"/>
      <c r="L72" s="98">
        <f t="shared" si="0"/>
        <v>0</v>
      </c>
      <c r="M72" s="98">
        <f>'BOLETIM DE MEDIÇÃO 02'!G64</f>
        <v>351.87</v>
      </c>
      <c r="N72" s="102">
        <f t="shared" si="1"/>
        <v>351.87</v>
      </c>
    </row>
    <row r="73" spans="2:14" hidden="1" x14ac:dyDescent="0.25">
      <c r="B73" s="59">
        <v>1.7</v>
      </c>
      <c r="C73" s="63" t="s">
        <v>162</v>
      </c>
      <c r="D73" s="55"/>
      <c r="E73" s="67"/>
      <c r="F73" s="110"/>
      <c r="G73" s="120"/>
      <c r="H73" s="67"/>
      <c r="I73" s="121"/>
      <c r="J73" s="115"/>
      <c r="K73" s="97"/>
      <c r="L73" s="98"/>
      <c r="M73" s="98"/>
      <c r="N73" s="102"/>
    </row>
    <row r="74" spans="2:14" ht="56.25" hidden="1" x14ac:dyDescent="0.25">
      <c r="B74" s="52" t="s">
        <v>163</v>
      </c>
      <c r="C74" s="66">
        <v>91315</v>
      </c>
      <c r="D74" s="64" t="s">
        <v>165</v>
      </c>
      <c r="E74" s="67" t="s">
        <v>166</v>
      </c>
      <c r="F74" s="110"/>
      <c r="G74" s="120"/>
      <c r="H74" s="46"/>
      <c r="I74" s="121"/>
      <c r="J74" s="115">
        <f>'BOLETIM DE MEDIÇÃO 02'!O66-'MEMORIAL DE CALCULO 01'!K74</f>
        <v>0</v>
      </c>
      <c r="K74" s="97"/>
      <c r="L74" s="98">
        <f t="shared" si="0"/>
        <v>0</v>
      </c>
      <c r="M74" s="98">
        <f>'BOLETIM DE MEDIÇÃO 02'!G66</f>
        <v>18</v>
      </c>
      <c r="N74" s="102">
        <f t="shared" si="1"/>
        <v>18</v>
      </c>
    </row>
    <row r="75" spans="2:14" ht="45" hidden="1" x14ac:dyDescent="0.25">
      <c r="B75" s="52" t="s">
        <v>167</v>
      </c>
      <c r="C75" s="60">
        <v>94570</v>
      </c>
      <c r="D75" s="55" t="s">
        <v>169</v>
      </c>
      <c r="E75" s="67" t="s">
        <v>17</v>
      </c>
      <c r="F75" s="110"/>
      <c r="G75" s="120"/>
      <c r="H75" s="67"/>
      <c r="I75" s="121"/>
      <c r="J75" s="115">
        <f>'BOLETIM DE MEDIÇÃO 02'!O67-'MEMORIAL DE CALCULO 01'!K75</f>
        <v>0</v>
      </c>
      <c r="K75" s="97"/>
      <c r="L75" s="98">
        <f t="shared" si="0"/>
        <v>0</v>
      </c>
      <c r="M75" s="98">
        <f>'BOLETIM DE MEDIÇÃO 02'!G67</f>
        <v>49.7</v>
      </c>
      <c r="N75" s="102">
        <f t="shared" si="1"/>
        <v>49.7</v>
      </c>
    </row>
    <row r="76" spans="2:14" ht="56.25" hidden="1" x14ac:dyDescent="0.25">
      <c r="B76" s="52" t="s">
        <v>170</v>
      </c>
      <c r="C76" s="60">
        <v>100689</v>
      </c>
      <c r="D76" s="55" t="s">
        <v>172</v>
      </c>
      <c r="E76" s="67" t="s">
        <v>166</v>
      </c>
      <c r="F76" s="110"/>
      <c r="G76" s="120"/>
      <c r="H76" s="67"/>
      <c r="I76" s="121"/>
      <c r="J76" s="115">
        <f>'BOLETIM DE MEDIÇÃO 02'!O68-'MEMORIAL DE CALCULO 01'!K76</f>
        <v>0</v>
      </c>
      <c r="K76" s="97"/>
      <c r="L76" s="98">
        <f t="shared" si="0"/>
        <v>0</v>
      </c>
      <c r="M76" s="98">
        <f>'BOLETIM DE MEDIÇÃO 02'!G68</f>
        <v>5</v>
      </c>
      <c r="N76" s="102">
        <f t="shared" si="1"/>
        <v>5</v>
      </c>
    </row>
    <row r="77" spans="2:14" ht="33.75" hidden="1" x14ac:dyDescent="0.25">
      <c r="B77" s="52" t="s">
        <v>173</v>
      </c>
      <c r="C77" s="61" t="s">
        <v>174</v>
      </c>
      <c r="D77" s="55" t="s">
        <v>175</v>
      </c>
      <c r="E77" s="67" t="s">
        <v>5</v>
      </c>
      <c r="F77" s="110"/>
      <c r="G77" s="120"/>
      <c r="H77" s="67"/>
      <c r="I77" s="121"/>
      <c r="J77" s="115">
        <f>'BOLETIM DE MEDIÇÃO 02'!O69-'MEMORIAL DE CALCULO 01'!K77</f>
        <v>0</v>
      </c>
      <c r="K77" s="97"/>
      <c r="L77" s="98">
        <f t="shared" si="0"/>
        <v>0</v>
      </c>
      <c r="M77" s="98">
        <f>'BOLETIM DE MEDIÇÃO 02'!G69</f>
        <v>1</v>
      </c>
      <c r="N77" s="102">
        <f t="shared" si="1"/>
        <v>1</v>
      </c>
    </row>
    <row r="78" spans="2:14" ht="33.75" hidden="1" x14ac:dyDescent="0.25">
      <c r="B78" s="52" t="s">
        <v>176</v>
      </c>
      <c r="C78" s="61" t="s">
        <v>177</v>
      </c>
      <c r="D78" s="55" t="s">
        <v>178</v>
      </c>
      <c r="E78" s="67" t="s">
        <v>5</v>
      </c>
      <c r="F78" s="110"/>
      <c r="G78" s="120"/>
      <c r="H78" s="67"/>
      <c r="I78" s="121"/>
      <c r="J78" s="115">
        <f>'BOLETIM DE MEDIÇÃO 02'!O70-'MEMORIAL DE CALCULO 01'!K78</f>
        <v>0</v>
      </c>
      <c r="K78" s="97"/>
      <c r="L78" s="98">
        <f t="shared" si="0"/>
        <v>0</v>
      </c>
      <c r="M78" s="98">
        <f>'BOLETIM DE MEDIÇÃO 02'!G70</f>
        <v>3</v>
      </c>
      <c r="N78" s="102">
        <f t="shared" si="1"/>
        <v>3</v>
      </c>
    </row>
    <row r="79" spans="2:14" ht="33.75" hidden="1" x14ac:dyDescent="0.25">
      <c r="B79" s="52" t="s">
        <v>179</v>
      </c>
      <c r="C79" s="60">
        <v>91341</v>
      </c>
      <c r="D79" s="55" t="s">
        <v>181</v>
      </c>
      <c r="E79" s="67" t="s">
        <v>17</v>
      </c>
      <c r="F79" s="110"/>
      <c r="G79" s="120"/>
      <c r="H79" s="67"/>
      <c r="I79" s="121"/>
      <c r="J79" s="115">
        <f>'BOLETIM DE MEDIÇÃO 02'!O71-'MEMORIAL DE CALCULO 01'!K79</f>
        <v>0</v>
      </c>
      <c r="K79" s="97"/>
      <c r="L79" s="98">
        <f t="shared" si="0"/>
        <v>0</v>
      </c>
      <c r="M79" s="98">
        <f>'BOLETIM DE MEDIÇÃO 02'!G71</f>
        <v>12.96</v>
      </c>
      <c r="N79" s="102">
        <f t="shared" si="1"/>
        <v>12.96</v>
      </c>
    </row>
    <row r="80" spans="2:14" ht="33.75" hidden="1" x14ac:dyDescent="0.25">
      <c r="B80" s="52" t="s">
        <v>182</v>
      </c>
      <c r="C80" s="60">
        <v>100702</v>
      </c>
      <c r="D80" s="55" t="s">
        <v>184</v>
      </c>
      <c r="E80" s="67" t="s">
        <v>17</v>
      </c>
      <c r="F80" s="110"/>
      <c r="G80" s="120"/>
      <c r="H80" s="67"/>
      <c r="I80" s="121"/>
      <c r="J80" s="115">
        <f>'BOLETIM DE MEDIÇÃO 02'!O72-'MEMORIAL DE CALCULO 01'!K80</f>
        <v>0</v>
      </c>
      <c r="K80" s="97"/>
      <c r="L80" s="98">
        <f t="shared" si="0"/>
        <v>0</v>
      </c>
      <c r="M80" s="98">
        <f>'BOLETIM DE MEDIÇÃO 02'!G72</f>
        <v>19.96</v>
      </c>
      <c r="N80" s="102">
        <f t="shared" si="1"/>
        <v>19.96</v>
      </c>
    </row>
    <row r="81" spans="2:14" ht="45" hidden="1" x14ac:dyDescent="0.25">
      <c r="B81" s="52" t="s">
        <v>185</v>
      </c>
      <c r="C81" s="60">
        <v>90831</v>
      </c>
      <c r="D81" s="55" t="s">
        <v>187</v>
      </c>
      <c r="E81" s="67" t="s">
        <v>166</v>
      </c>
      <c r="F81" s="110"/>
      <c r="G81" s="120"/>
      <c r="H81" s="67"/>
      <c r="I81" s="121"/>
      <c r="J81" s="115">
        <f>'BOLETIM DE MEDIÇÃO 02'!O73-'MEMORIAL DE CALCULO 01'!K81</f>
        <v>0</v>
      </c>
      <c r="K81" s="97"/>
      <c r="L81" s="98">
        <f t="shared" si="0"/>
        <v>0</v>
      </c>
      <c r="M81" s="98">
        <f>'BOLETIM DE MEDIÇÃO 02'!G73</f>
        <v>8</v>
      </c>
      <c r="N81" s="102">
        <f t="shared" si="1"/>
        <v>8</v>
      </c>
    </row>
    <row r="82" spans="2:14" hidden="1" x14ac:dyDescent="0.25">
      <c r="B82" s="59">
        <v>1.8</v>
      </c>
      <c r="C82" s="63" t="s">
        <v>189</v>
      </c>
      <c r="D82" s="55"/>
      <c r="E82" s="46"/>
      <c r="F82" s="110"/>
      <c r="G82" s="120"/>
      <c r="H82" s="67"/>
      <c r="I82" s="121"/>
      <c r="J82" s="115"/>
      <c r="K82" s="97"/>
      <c r="L82" s="98"/>
      <c r="M82" s="98"/>
      <c r="N82" s="102"/>
    </row>
    <row r="83" spans="2:14" ht="22.5" hidden="1" x14ac:dyDescent="0.25">
      <c r="B83" s="52" t="s">
        <v>190</v>
      </c>
      <c r="C83" s="60">
        <v>88485</v>
      </c>
      <c r="D83" s="55" t="s">
        <v>192</v>
      </c>
      <c r="E83" s="46" t="s">
        <v>17</v>
      </c>
      <c r="F83" s="110"/>
      <c r="G83" s="120"/>
      <c r="H83" s="67"/>
      <c r="I83" s="121"/>
      <c r="J83" s="115">
        <f>'BOLETIM DE MEDIÇÃO 02'!O75-'MEMORIAL DE CALCULO 01'!K83</f>
        <v>0</v>
      </c>
      <c r="K83" s="97"/>
      <c r="L83" s="98">
        <f t="shared" si="0"/>
        <v>0</v>
      </c>
      <c r="M83" s="98">
        <f>'BOLETIM DE MEDIÇÃO 02'!G75</f>
        <v>997.11</v>
      </c>
      <c r="N83" s="102">
        <f t="shared" si="1"/>
        <v>997.11</v>
      </c>
    </row>
    <row r="84" spans="2:14" ht="22.5" hidden="1" x14ac:dyDescent="0.25">
      <c r="B84" s="52" t="s">
        <v>193</v>
      </c>
      <c r="C84" s="60">
        <v>88495</v>
      </c>
      <c r="D84" s="55" t="s">
        <v>195</v>
      </c>
      <c r="E84" s="46" t="s">
        <v>17</v>
      </c>
      <c r="F84" s="110"/>
      <c r="G84" s="120"/>
      <c r="H84" s="67"/>
      <c r="I84" s="121"/>
      <c r="J84" s="115">
        <f>'BOLETIM DE MEDIÇÃO 02'!O76-'MEMORIAL DE CALCULO 01'!K84</f>
        <v>0</v>
      </c>
      <c r="K84" s="97"/>
      <c r="L84" s="98">
        <f t="shared" si="0"/>
        <v>0</v>
      </c>
      <c r="M84" s="98">
        <f>'BOLETIM DE MEDIÇÃO 02'!G76</f>
        <v>997.11</v>
      </c>
      <c r="N84" s="102">
        <f t="shared" si="1"/>
        <v>997.11</v>
      </c>
    </row>
    <row r="85" spans="2:14" ht="22.5" hidden="1" x14ac:dyDescent="0.25">
      <c r="B85" s="52" t="s">
        <v>196</v>
      </c>
      <c r="C85" s="60">
        <v>88489</v>
      </c>
      <c r="D85" s="55" t="s">
        <v>198</v>
      </c>
      <c r="E85" s="46" t="s">
        <v>17</v>
      </c>
      <c r="F85" s="110"/>
      <c r="G85" s="120"/>
      <c r="H85" s="67"/>
      <c r="I85" s="121"/>
      <c r="J85" s="115">
        <f>'BOLETIM DE MEDIÇÃO 02'!O77-'MEMORIAL DE CALCULO 01'!K85</f>
        <v>0</v>
      </c>
      <c r="K85" s="97"/>
      <c r="L85" s="98">
        <f t="shared" si="0"/>
        <v>0</v>
      </c>
      <c r="M85" s="98">
        <f>'BOLETIM DE MEDIÇÃO 02'!G77</f>
        <v>997.11</v>
      </c>
      <c r="N85" s="102">
        <f t="shared" si="1"/>
        <v>997.11</v>
      </c>
    </row>
    <row r="86" spans="2:14" ht="22.5" hidden="1" x14ac:dyDescent="0.25">
      <c r="B86" s="52" t="s">
        <v>199</v>
      </c>
      <c r="C86" s="60">
        <v>88484</v>
      </c>
      <c r="D86" s="55" t="s">
        <v>201</v>
      </c>
      <c r="E86" s="46" t="s">
        <v>17</v>
      </c>
      <c r="F86" s="110"/>
      <c r="G86" s="120"/>
      <c r="H86" s="67"/>
      <c r="I86" s="121"/>
      <c r="J86" s="115">
        <f>'BOLETIM DE MEDIÇÃO 02'!O78-'MEMORIAL DE CALCULO 01'!K86</f>
        <v>0</v>
      </c>
      <c r="K86" s="97"/>
      <c r="L86" s="98">
        <f t="shared" si="0"/>
        <v>0</v>
      </c>
      <c r="M86" s="98">
        <f>'BOLETIM DE MEDIÇÃO 02'!G78</f>
        <v>634.5</v>
      </c>
      <c r="N86" s="102">
        <f t="shared" si="1"/>
        <v>634.5</v>
      </c>
    </row>
    <row r="87" spans="2:14" ht="22.5" hidden="1" x14ac:dyDescent="0.25">
      <c r="B87" s="52" t="s">
        <v>202</v>
      </c>
      <c r="C87" s="60">
        <v>88494</v>
      </c>
      <c r="D87" s="55" t="s">
        <v>204</v>
      </c>
      <c r="E87" s="46" t="s">
        <v>17</v>
      </c>
      <c r="F87" s="110"/>
      <c r="G87" s="120"/>
      <c r="H87" s="67"/>
      <c r="I87" s="121"/>
      <c r="J87" s="115">
        <f>'BOLETIM DE MEDIÇÃO 02'!O79-'MEMORIAL DE CALCULO 01'!K87</f>
        <v>0</v>
      </c>
      <c r="K87" s="97"/>
      <c r="L87" s="98">
        <f t="shared" ref="L87:L150" si="3">J87+K87</f>
        <v>0</v>
      </c>
      <c r="M87" s="98">
        <f>'BOLETIM DE MEDIÇÃO 02'!G79</f>
        <v>634.5</v>
      </c>
      <c r="N87" s="102">
        <f t="shared" ref="N87:N150" si="4">M87-L87</f>
        <v>634.5</v>
      </c>
    </row>
    <row r="88" spans="2:14" ht="22.5" hidden="1" x14ac:dyDescent="0.25">
      <c r="B88" s="52" t="s">
        <v>205</v>
      </c>
      <c r="C88" s="60">
        <v>88488</v>
      </c>
      <c r="D88" s="55" t="s">
        <v>207</v>
      </c>
      <c r="E88" s="46" t="s">
        <v>17</v>
      </c>
      <c r="F88" s="110"/>
      <c r="G88" s="120"/>
      <c r="H88" s="67"/>
      <c r="I88" s="121"/>
      <c r="J88" s="115">
        <f>'BOLETIM DE MEDIÇÃO 02'!O80-'MEMORIAL DE CALCULO 01'!K88</f>
        <v>0</v>
      </c>
      <c r="K88" s="97"/>
      <c r="L88" s="98">
        <f t="shared" si="3"/>
        <v>0</v>
      </c>
      <c r="M88" s="98">
        <f>'BOLETIM DE MEDIÇÃO 02'!G80</f>
        <v>634.5</v>
      </c>
      <c r="N88" s="102">
        <f t="shared" si="4"/>
        <v>634.5</v>
      </c>
    </row>
    <row r="89" spans="2:14" ht="14.45" hidden="1" customHeight="1" x14ac:dyDescent="0.25">
      <c r="B89" s="54" t="s">
        <v>208</v>
      </c>
      <c r="C89" s="68" t="s">
        <v>209</v>
      </c>
      <c r="D89" s="56"/>
      <c r="E89" s="47"/>
      <c r="F89" s="111"/>
      <c r="G89" s="122"/>
      <c r="H89" s="78"/>
      <c r="I89" s="121"/>
      <c r="J89" s="115"/>
      <c r="K89" s="97"/>
      <c r="L89" s="98"/>
      <c r="M89" s="98"/>
      <c r="N89" s="102"/>
    </row>
    <row r="90" spans="2:14" ht="45" hidden="1" x14ac:dyDescent="0.25">
      <c r="B90" s="52" t="s">
        <v>210</v>
      </c>
      <c r="C90" s="60">
        <v>87894</v>
      </c>
      <c r="D90" s="55" t="s">
        <v>212</v>
      </c>
      <c r="E90" s="46" t="s">
        <v>17</v>
      </c>
      <c r="F90" s="110"/>
      <c r="G90" s="120"/>
      <c r="H90" s="67"/>
      <c r="I90" s="121"/>
      <c r="J90" s="115">
        <f>'BOLETIM DE MEDIÇÃO 02'!O82-'MEMORIAL DE CALCULO 01'!K90</f>
        <v>0</v>
      </c>
      <c r="K90" s="97"/>
      <c r="L90" s="98">
        <f t="shared" si="3"/>
        <v>0</v>
      </c>
      <c r="M90" s="98">
        <f>'BOLETIM DE MEDIÇÃO 02'!G82</f>
        <v>466.37</v>
      </c>
      <c r="N90" s="102">
        <f t="shared" si="4"/>
        <v>466.37</v>
      </c>
    </row>
    <row r="91" spans="2:14" ht="56.25" hidden="1" x14ac:dyDescent="0.25">
      <c r="B91" s="52" t="s">
        <v>213</v>
      </c>
      <c r="C91" s="60">
        <v>104233</v>
      </c>
      <c r="D91" s="55" t="s">
        <v>215</v>
      </c>
      <c r="E91" s="46" t="s">
        <v>17</v>
      </c>
      <c r="F91" s="110"/>
      <c r="G91" s="120"/>
      <c r="H91" s="67"/>
      <c r="I91" s="121"/>
      <c r="J91" s="115">
        <f>'BOLETIM DE MEDIÇÃO 02'!O83-'MEMORIAL DE CALCULO 01'!K91</f>
        <v>0</v>
      </c>
      <c r="K91" s="97"/>
      <c r="L91" s="98">
        <f t="shared" si="3"/>
        <v>0</v>
      </c>
      <c r="M91" s="98">
        <f>'BOLETIM DE MEDIÇÃO 02'!G83</f>
        <v>466.37</v>
      </c>
      <c r="N91" s="102">
        <f t="shared" si="4"/>
        <v>466.37</v>
      </c>
    </row>
    <row r="92" spans="2:14" ht="33.75" hidden="1" x14ac:dyDescent="0.25">
      <c r="B92" s="52" t="s">
        <v>216</v>
      </c>
      <c r="C92" s="65" t="s">
        <v>217</v>
      </c>
      <c r="D92" s="64" t="s">
        <v>218</v>
      </c>
      <c r="E92" s="46" t="s">
        <v>17</v>
      </c>
      <c r="F92" s="112"/>
      <c r="G92" s="120"/>
      <c r="H92" s="46"/>
      <c r="I92" s="121"/>
      <c r="J92" s="115">
        <f>'BOLETIM DE MEDIÇÃO 02'!O84-'MEMORIAL DE CALCULO 01'!K92</f>
        <v>0</v>
      </c>
      <c r="K92" s="97"/>
      <c r="L92" s="98">
        <f t="shared" si="3"/>
        <v>0</v>
      </c>
      <c r="M92" s="98">
        <f>'BOLETIM DE MEDIÇÃO 02'!G84</f>
        <v>32.5</v>
      </c>
      <c r="N92" s="102">
        <f t="shared" si="4"/>
        <v>32.5</v>
      </c>
    </row>
    <row r="93" spans="2:14" ht="33.75" hidden="1" x14ac:dyDescent="0.25">
      <c r="B93" s="53" t="s">
        <v>219</v>
      </c>
      <c r="C93" s="62" t="s">
        <v>220</v>
      </c>
      <c r="D93" s="56" t="s">
        <v>221</v>
      </c>
      <c r="E93" s="47" t="s">
        <v>222</v>
      </c>
      <c r="F93" s="111"/>
      <c r="G93" s="122"/>
      <c r="H93" s="78"/>
      <c r="I93" s="121"/>
      <c r="J93" s="115">
        <f>'BOLETIM DE MEDIÇÃO 02'!O85-'MEMORIAL DE CALCULO 01'!K93</f>
        <v>0</v>
      </c>
      <c r="K93" s="97"/>
      <c r="L93" s="98">
        <f t="shared" si="3"/>
        <v>0</v>
      </c>
      <c r="M93" s="98">
        <f>'BOLETIM DE MEDIÇÃO 02'!G85</f>
        <v>29.5</v>
      </c>
      <c r="N93" s="102">
        <f t="shared" si="4"/>
        <v>29.5</v>
      </c>
    </row>
    <row r="94" spans="2:14" ht="22.5" hidden="1" x14ac:dyDescent="0.25">
      <c r="B94" s="53" t="s">
        <v>223</v>
      </c>
      <c r="C94" s="69">
        <v>88485</v>
      </c>
      <c r="D94" s="56" t="s">
        <v>192</v>
      </c>
      <c r="E94" s="47" t="s">
        <v>17</v>
      </c>
      <c r="F94" s="111"/>
      <c r="G94" s="122"/>
      <c r="H94" s="78"/>
      <c r="I94" s="121"/>
      <c r="J94" s="115">
        <f>'BOLETIM DE MEDIÇÃO 02'!O86-'MEMORIAL DE CALCULO 01'!K94</f>
        <v>0</v>
      </c>
      <c r="K94" s="97"/>
      <c r="L94" s="98">
        <f t="shared" si="3"/>
        <v>0</v>
      </c>
      <c r="M94" s="98">
        <f>'BOLETIM DE MEDIÇÃO 02'!G86</f>
        <v>404.37</v>
      </c>
      <c r="N94" s="102">
        <f t="shared" si="4"/>
        <v>404.37</v>
      </c>
    </row>
    <row r="95" spans="2:14" ht="22.5" hidden="1" x14ac:dyDescent="0.25">
      <c r="B95" s="53" t="s">
        <v>224</v>
      </c>
      <c r="C95" s="69">
        <v>96130</v>
      </c>
      <c r="D95" s="56" t="s">
        <v>226</v>
      </c>
      <c r="E95" s="47" t="s">
        <v>17</v>
      </c>
      <c r="F95" s="111"/>
      <c r="G95" s="122"/>
      <c r="H95" s="78"/>
      <c r="I95" s="121"/>
      <c r="J95" s="115">
        <f>'BOLETIM DE MEDIÇÃO 02'!O87-'MEMORIAL DE CALCULO 01'!K95</f>
        <v>0</v>
      </c>
      <c r="K95" s="97"/>
      <c r="L95" s="98">
        <f t="shared" si="3"/>
        <v>0</v>
      </c>
      <c r="M95" s="98">
        <f>'BOLETIM DE MEDIÇÃO 02'!G87</f>
        <v>404.37</v>
      </c>
      <c r="N95" s="102">
        <f t="shared" si="4"/>
        <v>404.37</v>
      </c>
    </row>
    <row r="96" spans="2:14" ht="22.5" hidden="1" x14ac:dyDescent="0.25">
      <c r="B96" s="53" t="s">
        <v>227</v>
      </c>
      <c r="C96" s="69">
        <v>88489</v>
      </c>
      <c r="D96" s="56" t="s">
        <v>198</v>
      </c>
      <c r="E96" s="47" t="s">
        <v>17</v>
      </c>
      <c r="F96" s="111"/>
      <c r="G96" s="122"/>
      <c r="H96" s="78"/>
      <c r="I96" s="121"/>
      <c r="J96" s="115">
        <f>'BOLETIM DE MEDIÇÃO 02'!O88-'MEMORIAL DE CALCULO 01'!K96</f>
        <v>0</v>
      </c>
      <c r="K96" s="97"/>
      <c r="L96" s="98">
        <f t="shared" si="3"/>
        <v>0</v>
      </c>
      <c r="M96" s="98">
        <f>'BOLETIM DE MEDIÇÃO 02'!G88</f>
        <v>404.37</v>
      </c>
      <c r="N96" s="102">
        <f t="shared" si="4"/>
        <v>404.37</v>
      </c>
    </row>
    <row r="97" spans="2:14" ht="14.45" hidden="1" customHeight="1" x14ac:dyDescent="0.25">
      <c r="B97" s="68">
        <v>1.1000000000000001</v>
      </c>
      <c r="C97" s="68" t="s">
        <v>229</v>
      </c>
      <c r="D97" s="56"/>
      <c r="E97" s="47"/>
      <c r="F97" s="111"/>
      <c r="G97" s="122"/>
      <c r="H97" s="78"/>
      <c r="I97" s="121"/>
      <c r="J97" s="115"/>
      <c r="K97" s="97"/>
      <c r="L97" s="98"/>
      <c r="M97" s="98"/>
      <c r="N97" s="102"/>
    </row>
    <row r="98" spans="2:14" ht="33.75" hidden="1" x14ac:dyDescent="0.25">
      <c r="B98" s="53" t="s">
        <v>230</v>
      </c>
      <c r="C98" s="69">
        <v>92868</v>
      </c>
      <c r="D98" s="56" t="s">
        <v>232</v>
      </c>
      <c r="E98" s="72" t="s">
        <v>166</v>
      </c>
      <c r="F98" s="113"/>
      <c r="G98" s="122"/>
      <c r="H98" s="78"/>
      <c r="I98" s="121"/>
      <c r="J98" s="115">
        <f>'BOLETIM DE MEDIÇÃO 02'!O90-'MEMORIAL DE CALCULO 01'!K98</f>
        <v>0</v>
      </c>
      <c r="K98" s="97"/>
      <c r="L98" s="98">
        <f t="shared" si="3"/>
        <v>0</v>
      </c>
      <c r="M98" s="98">
        <f>'BOLETIM DE MEDIÇÃO 02'!G90</f>
        <v>117</v>
      </c>
      <c r="N98" s="102">
        <f t="shared" si="4"/>
        <v>117</v>
      </c>
    </row>
    <row r="99" spans="2:14" ht="22.5" hidden="1" x14ac:dyDescent="0.25">
      <c r="B99" s="53" t="s">
        <v>233</v>
      </c>
      <c r="C99" s="69">
        <v>91937</v>
      </c>
      <c r="D99" s="56" t="s">
        <v>235</v>
      </c>
      <c r="E99" s="72" t="s">
        <v>166</v>
      </c>
      <c r="F99" s="113"/>
      <c r="G99" s="122"/>
      <c r="H99" s="78"/>
      <c r="I99" s="121"/>
      <c r="J99" s="115">
        <f>'BOLETIM DE MEDIÇÃO 02'!O91-'MEMORIAL DE CALCULO 01'!K99</f>
        <v>0</v>
      </c>
      <c r="K99" s="97"/>
      <c r="L99" s="98">
        <f t="shared" si="3"/>
        <v>0</v>
      </c>
      <c r="M99" s="98">
        <f>'BOLETIM DE MEDIÇÃO 02'!G91</f>
        <v>76</v>
      </c>
      <c r="N99" s="102">
        <f t="shared" si="4"/>
        <v>76</v>
      </c>
    </row>
    <row r="100" spans="2:14" ht="33.75" hidden="1" x14ac:dyDescent="0.25">
      <c r="B100" s="53" t="s">
        <v>236</v>
      </c>
      <c r="C100" s="69">
        <v>91924</v>
      </c>
      <c r="D100" s="56" t="s">
        <v>238</v>
      </c>
      <c r="E100" s="72" t="s">
        <v>37</v>
      </c>
      <c r="F100" s="113"/>
      <c r="G100" s="122"/>
      <c r="H100" s="78"/>
      <c r="I100" s="121"/>
      <c r="J100" s="115">
        <f>'BOLETIM DE MEDIÇÃO 02'!O92-'MEMORIAL DE CALCULO 01'!K100</f>
        <v>0</v>
      </c>
      <c r="K100" s="97"/>
      <c r="L100" s="98">
        <f t="shared" si="3"/>
        <v>0</v>
      </c>
      <c r="M100" s="98">
        <f>'BOLETIM DE MEDIÇÃO 02'!G92</f>
        <v>1253.8</v>
      </c>
      <c r="N100" s="102">
        <f t="shared" si="4"/>
        <v>1253.8</v>
      </c>
    </row>
    <row r="101" spans="2:14" ht="33.75" hidden="1" x14ac:dyDescent="0.25">
      <c r="B101" s="53" t="s">
        <v>239</v>
      </c>
      <c r="C101" s="69">
        <v>91926</v>
      </c>
      <c r="D101" s="56" t="s">
        <v>241</v>
      </c>
      <c r="E101" s="72" t="s">
        <v>37</v>
      </c>
      <c r="F101" s="113"/>
      <c r="G101" s="122"/>
      <c r="H101" s="78"/>
      <c r="I101" s="121"/>
      <c r="J101" s="115">
        <f>'BOLETIM DE MEDIÇÃO 02'!O93-'MEMORIAL DE CALCULO 01'!K101</f>
        <v>0</v>
      </c>
      <c r="K101" s="97"/>
      <c r="L101" s="98">
        <f t="shared" si="3"/>
        <v>0</v>
      </c>
      <c r="M101" s="98">
        <f>'BOLETIM DE MEDIÇÃO 02'!G93</f>
        <v>1496.3</v>
      </c>
      <c r="N101" s="102">
        <f t="shared" si="4"/>
        <v>1496.3</v>
      </c>
    </row>
    <row r="102" spans="2:14" ht="33.75" hidden="1" x14ac:dyDescent="0.25">
      <c r="B102" s="53" t="s">
        <v>242</v>
      </c>
      <c r="C102" s="71">
        <v>91928</v>
      </c>
      <c r="D102" s="70" t="s">
        <v>244</v>
      </c>
      <c r="E102" s="72" t="s">
        <v>37</v>
      </c>
      <c r="F102" s="113"/>
      <c r="G102" s="122"/>
      <c r="H102" s="47"/>
      <c r="I102" s="121"/>
      <c r="J102" s="115">
        <f>'BOLETIM DE MEDIÇÃO 02'!O94-'MEMORIAL DE CALCULO 01'!K102</f>
        <v>0</v>
      </c>
      <c r="K102" s="97"/>
      <c r="L102" s="98">
        <f t="shared" si="3"/>
        <v>0</v>
      </c>
      <c r="M102" s="98">
        <f>'BOLETIM DE MEDIÇÃO 02'!G94</f>
        <v>284.60000000000002</v>
      </c>
      <c r="N102" s="102">
        <f t="shared" si="4"/>
        <v>284.60000000000002</v>
      </c>
    </row>
    <row r="103" spans="2:14" ht="33.75" hidden="1" x14ac:dyDescent="0.25">
      <c r="B103" s="53" t="s">
        <v>245</v>
      </c>
      <c r="C103" s="69">
        <v>91931</v>
      </c>
      <c r="D103" s="56" t="s">
        <v>247</v>
      </c>
      <c r="E103" s="72" t="s">
        <v>37</v>
      </c>
      <c r="F103" s="113"/>
      <c r="G103" s="122"/>
      <c r="H103" s="78"/>
      <c r="I103" s="121"/>
      <c r="J103" s="115">
        <f>'BOLETIM DE MEDIÇÃO 02'!O95-'MEMORIAL DE CALCULO 01'!K103</f>
        <v>0</v>
      </c>
      <c r="K103" s="97"/>
      <c r="L103" s="98">
        <f t="shared" si="3"/>
        <v>0</v>
      </c>
      <c r="M103" s="98">
        <f>'BOLETIM DE MEDIÇÃO 02'!G95</f>
        <v>224</v>
      </c>
      <c r="N103" s="102">
        <f t="shared" si="4"/>
        <v>224</v>
      </c>
    </row>
    <row r="104" spans="2:14" ht="22.5" hidden="1" x14ac:dyDescent="0.25">
      <c r="B104" s="53" t="s">
        <v>248</v>
      </c>
      <c r="C104" s="69">
        <v>39773</v>
      </c>
      <c r="D104" s="56" t="s">
        <v>250</v>
      </c>
      <c r="E104" s="72" t="s">
        <v>166</v>
      </c>
      <c r="F104" s="113"/>
      <c r="G104" s="122"/>
      <c r="H104" s="78"/>
      <c r="I104" s="121"/>
      <c r="J104" s="115">
        <f>'BOLETIM DE MEDIÇÃO 02'!O96-'MEMORIAL DE CALCULO 01'!K104</f>
        <v>0</v>
      </c>
      <c r="K104" s="97"/>
      <c r="L104" s="98">
        <f t="shared" si="3"/>
        <v>0</v>
      </c>
      <c r="M104" s="98">
        <f>'BOLETIM DE MEDIÇÃO 02'!G96</f>
        <v>2</v>
      </c>
      <c r="N104" s="102">
        <f t="shared" si="4"/>
        <v>2</v>
      </c>
    </row>
    <row r="105" spans="2:14" ht="22.5" hidden="1" x14ac:dyDescent="0.25">
      <c r="B105" s="53" t="s">
        <v>251</v>
      </c>
      <c r="C105" s="69">
        <v>101890</v>
      </c>
      <c r="D105" s="56" t="s">
        <v>253</v>
      </c>
      <c r="E105" s="72" t="s">
        <v>166</v>
      </c>
      <c r="F105" s="113"/>
      <c r="G105" s="122"/>
      <c r="H105" s="78"/>
      <c r="I105" s="121"/>
      <c r="J105" s="115">
        <f>'BOLETIM DE MEDIÇÃO 02'!O97-'MEMORIAL DE CALCULO 01'!K105</f>
        <v>0</v>
      </c>
      <c r="K105" s="97"/>
      <c r="L105" s="98">
        <f t="shared" si="3"/>
        <v>0</v>
      </c>
      <c r="M105" s="98">
        <f>'BOLETIM DE MEDIÇÃO 02'!G97</f>
        <v>19</v>
      </c>
      <c r="N105" s="102">
        <f t="shared" si="4"/>
        <v>19</v>
      </c>
    </row>
    <row r="106" spans="2:14" ht="22.5" hidden="1" x14ac:dyDescent="0.25">
      <c r="B106" s="53" t="s">
        <v>254</v>
      </c>
      <c r="C106" s="69">
        <v>93670</v>
      </c>
      <c r="D106" s="56" t="s">
        <v>256</v>
      </c>
      <c r="E106" s="72" t="s">
        <v>166</v>
      </c>
      <c r="F106" s="113"/>
      <c r="G106" s="122"/>
      <c r="H106" s="78"/>
      <c r="I106" s="121"/>
      <c r="J106" s="115">
        <f>'BOLETIM DE MEDIÇÃO 02'!O98-'MEMORIAL DE CALCULO 01'!K106</f>
        <v>0</v>
      </c>
      <c r="K106" s="97"/>
      <c r="L106" s="98">
        <f t="shared" si="3"/>
        <v>0</v>
      </c>
      <c r="M106" s="98">
        <f>'BOLETIM DE MEDIÇÃO 02'!G98</f>
        <v>1</v>
      </c>
      <c r="N106" s="102">
        <f t="shared" si="4"/>
        <v>1</v>
      </c>
    </row>
    <row r="107" spans="2:14" ht="22.5" hidden="1" x14ac:dyDescent="0.25">
      <c r="B107" s="53" t="s">
        <v>257</v>
      </c>
      <c r="C107" s="69">
        <v>93671</v>
      </c>
      <c r="D107" s="56" t="s">
        <v>259</v>
      </c>
      <c r="E107" s="72" t="s">
        <v>166</v>
      </c>
      <c r="F107" s="113"/>
      <c r="G107" s="122"/>
      <c r="H107" s="78"/>
      <c r="I107" s="121"/>
      <c r="J107" s="115">
        <f>'BOLETIM DE MEDIÇÃO 02'!O99-'MEMORIAL DE CALCULO 01'!K107</f>
        <v>0</v>
      </c>
      <c r="K107" s="97"/>
      <c r="L107" s="98">
        <f t="shared" si="3"/>
        <v>0</v>
      </c>
      <c r="M107" s="98">
        <f>'BOLETIM DE MEDIÇÃO 02'!G99</f>
        <v>1</v>
      </c>
      <c r="N107" s="102">
        <f t="shared" si="4"/>
        <v>1</v>
      </c>
    </row>
    <row r="108" spans="2:14" ht="22.5" hidden="1" x14ac:dyDescent="0.25">
      <c r="B108" s="53" t="s">
        <v>260</v>
      </c>
      <c r="C108" s="69">
        <v>39466</v>
      </c>
      <c r="D108" s="56" t="s">
        <v>262</v>
      </c>
      <c r="E108" s="72" t="s">
        <v>166</v>
      </c>
      <c r="F108" s="113"/>
      <c r="G108" s="122"/>
      <c r="H108" s="78"/>
      <c r="I108" s="121"/>
      <c r="J108" s="115">
        <f>'BOLETIM DE MEDIÇÃO 02'!O100-'MEMORIAL DE CALCULO 01'!K108</f>
        <v>0</v>
      </c>
      <c r="K108" s="97"/>
      <c r="L108" s="98">
        <f t="shared" si="3"/>
        <v>0</v>
      </c>
      <c r="M108" s="98">
        <f>'BOLETIM DE MEDIÇÃO 02'!G100</f>
        <v>6</v>
      </c>
      <c r="N108" s="102">
        <f t="shared" si="4"/>
        <v>6</v>
      </c>
    </row>
    <row r="109" spans="2:14" ht="22.5" hidden="1" x14ac:dyDescent="0.25">
      <c r="B109" s="53" t="s">
        <v>263</v>
      </c>
      <c r="C109" s="69">
        <v>39445</v>
      </c>
      <c r="D109" s="56" t="s">
        <v>265</v>
      </c>
      <c r="E109" s="72" t="s">
        <v>166</v>
      </c>
      <c r="F109" s="113"/>
      <c r="G109" s="122"/>
      <c r="H109" s="78"/>
      <c r="I109" s="121"/>
      <c r="J109" s="115">
        <f>'BOLETIM DE MEDIÇÃO 02'!O101-'MEMORIAL DE CALCULO 01'!K109</f>
        <v>0</v>
      </c>
      <c r="K109" s="97"/>
      <c r="L109" s="98">
        <f t="shared" si="3"/>
        <v>0</v>
      </c>
      <c r="M109" s="98">
        <f>'BOLETIM DE MEDIÇÃO 02'!G101</f>
        <v>1</v>
      </c>
      <c r="N109" s="102">
        <f t="shared" si="4"/>
        <v>1</v>
      </c>
    </row>
    <row r="110" spans="2:14" ht="22.5" hidden="1" x14ac:dyDescent="0.25">
      <c r="B110" s="53" t="s">
        <v>266</v>
      </c>
      <c r="C110" s="69">
        <v>39446</v>
      </c>
      <c r="D110" s="56" t="s">
        <v>268</v>
      </c>
      <c r="E110" s="72" t="s">
        <v>166</v>
      </c>
      <c r="F110" s="113"/>
      <c r="G110" s="122"/>
      <c r="H110" s="78"/>
      <c r="I110" s="121"/>
      <c r="J110" s="115">
        <f>'BOLETIM DE MEDIÇÃO 02'!O102-'MEMORIAL DE CALCULO 01'!K110</f>
        <v>0</v>
      </c>
      <c r="K110" s="97"/>
      <c r="L110" s="98">
        <f t="shared" si="3"/>
        <v>0</v>
      </c>
      <c r="M110" s="98">
        <f>'BOLETIM DE MEDIÇÃO 02'!G102</f>
        <v>1</v>
      </c>
      <c r="N110" s="102">
        <f t="shared" si="4"/>
        <v>1</v>
      </c>
    </row>
    <row r="111" spans="2:14" ht="33.75" hidden="1" x14ac:dyDescent="0.25">
      <c r="B111" s="53" t="s">
        <v>269</v>
      </c>
      <c r="C111" s="69">
        <v>91953</v>
      </c>
      <c r="D111" s="56" t="s">
        <v>271</v>
      </c>
      <c r="E111" s="72" t="s">
        <v>166</v>
      </c>
      <c r="F111" s="113"/>
      <c r="G111" s="122"/>
      <c r="H111" s="78"/>
      <c r="I111" s="121"/>
      <c r="J111" s="115">
        <f>'BOLETIM DE MEDIÇÃO 02'!O103-'MEMORIAL DE CALCULO 01'!K111</f>
        <v>0</v>
      </c>
      <c r="K111" s="97"/>
      <c r="L111" s="98">
        <f t="shared" si="3"/>
        <v>0</v>
      </c>
      <c r="M111" s="98">
        <f>'BOLETIM DE MEDIÇÃO 02'!G103</f>
        <v>23</v>
      </c>
      <c r="N111" s="102">
        <f t="shared" si="4"/>
        <v>23</v>
      </c>
    </row>
    <row r="112" spans="2:14" ht="33.75" hidden="1" x14ac:dyDescent="0.25">
      <c r="B112" s="53" t="s">
        <v>272</v>
      </c>
      <c r="C112" s="69">
        <v>91967</v>
      </c>
      <c r="D112" s="56" t="s">
        <v>274</v>
      </c>
      <c r="E112" s="72" t="s">
        <v>166</v>
      </c>
      <c r="F112" s="113"/>
      <c r="G112" s="122"/>
      <c r="H112" s="78"/>
      <c r="I112" s="121"/>
      <c r="J112" s="115">
        <f>'BOLETIM DE MEDIÇÃO 02'!O104-'MEMORIAL DE CALCULO 01'!K112</f>
        <v>0</v>
      </c>
      <c r="K112" s="97"/>
      <c r="L112" s="98">
        <f t="shared" si="3"/>
        <v>0</v>
      </c>
      <c r="M112" s="98">
        <f>'BOLETIM DE MEDIÇÃO 02'!G104</f>
        <v>1</v>
      </c>
      <c r="N112" s="102">
        <f t="shared" si="4"/>
        <v>1</v>
      </c>
    </row>
    <row r="113" spans="2:14" ht="33.75" hidden="1" x14ac:dyDescent="0.25">
      <c r="B113" s="53" t="s">
        <v>275</v>
      </c>
      <c r="C113" s="69">
        <v>92000</v>
      </c>
      <c r="D113" s="56" t="s">
        <v>277</v>
      </c>
      <c r="E113" s="72" t="s">
        <v>166</v>
      </c>
      <c r="F113" s="113"/>
      <c r="G113" s="122"/>
      <c r="H113" s="78"/>
      <c r="I113" s="121"/>
      <c r="J113" s="115">
        <f>'BOLETIM DE MEDIÇÃO 02'!O105-'MEMORIAL DE CALCULO 01'!K113</f>
        <v>0</v>
      </c>
      <c r="K113" s="97"/>
      <c r="L113" s="98">
        <f t="shared" si="3"/>
        <v>0</v>
      </c>
      <c r="M113" s="98">
        <f>'BOLETIM DE MEDIÇÃO 02'!G105</f>
        <v>54</v>
      </c>
      <c r="N113" s="102">
        <f t="shared" si="4"/>
        <v>54</v>
      </c>
    </row>
    <row r="114" spans="2:14" ht="33.75" hidden="1" x14ac:dyDescent="0.25">
      <c r="B114" s="53" t="s">
        <v>278</v>
      </c>
      <c r="C114" s="69">
        <v>92008</v>
      </c>
      <c r="D114" s="56" t="s">
        <v>280</v>
      </c>
      <c r="E114" s="72" t="s">
        <v>166</v>
      </c>
      <c r="F114" s="113"/>
      <c r="G114" s="122"/>
      <c r="H114" s="78"/>
      <c r="I114" s="121"/>
      <c r="J114" s="115">
        <f>'BOLETIM DE MEDIÇÃO 02'!O106-'MEMORIAL DE CALCULO 01'!K114</f>
        <v>0</v>
      </c>
      <c r="K114" s="97"/>
      <c r="L114" s="98">
        <f t="shared" si="3"/>
        <v>0</v>
      </c>
      <c r="M114" s="98">
        <f>'BOLETIM DE MEDIÇÃO 02'!G106</f>
        <v>8</v>
      </c>
      <c r="N114" s="102">
        <f t="shared" si="4"/>
        <v>8</v>
      </c>
    </row>
    <row r="115" spans="2:14" ht="33.75" hidden="1" x14ac:dyDescent="0.25">
      <c r="B115" s="53" t="s">
        <v>281</v>
      </c>
      <c r="C115" s="71">
        <v>91959</v>
      </c>
      <c r="D115" s="70" t="s">
        <v>283</v>
      </c>
      <c r="E115" s="72" t="s">
        <v>166</v>
      </c>
      <c r="F115" s="113"/>
      <c r="G115" s="122"/>
      <c r="H115" s="47"/>
      <c r="I115" s="121"/>
      <c r="J115" s="115">
        <f>'BOLETIM DE MEDIÇÃO 02'!O107-'MEMORIAL DE CALCULO 01'!K115</f>
        <v>0</v>
      </c>
      <c r="K115" s="97"/>
      <c r="L115" s="98">
        <f t="shared" si="3"/>
        <v>0</v>
      </c>
      <c r="M115" s="98">
        <f>'BOLETIM DE MEDIÇÃO 02'!G107</f>
        <v>2</v>
      </c>
      <c r="N115" s="102">
        <f t="shared" si="4"/>
        <v>2</v>
      </c>
    </row>
    <row r="116" spans="2:14" ht="33.75" hidden="1" x14ac:dyDescent="0.25">
      <c r="B116" s="53" t="s">
        <v>284</v>
      </c>
      <c r="C116" s="71">
        <v>91834</v>
      </c>
      <c r="D116" s="70" t="s">
        <v>286</v>
      </c>
      <c r="E116" s="72" t="s">
        <v>37</v>
      </c>
      <c r="F116" s="113"/>
      <c r="G116" s="122"/>
      <c r="H116" s="47"/>
      <c r="I116" s="121"/>
      <c r="J116" s="115">
        <f>'BOLETIM DE MEDIÇÃO 02'!O108-'MEMORIAL DE CALCULO 01'!K116</f>
        <v>0</v>
      </c>
      <c r="K116" s="97"/>
      <c r="L116" s="98">
        <f t="shared" si="3"/>
        <v>0</v>
      </c>
      <c r="M116" s="98">
        <f>'BOLETIM DE MEDIÇÃO 02'!G108</f>
        <v>830.48</v>
      </c>
      <c r="N116" s="102">
        <f t="shared" si="4"/>
        <v>830.48</v>
      </c>
    </row>
    <row r="117" spans="2:14" ht="33.75" hidden="1" x14ac:dyDescent="0.25">
      <c r="B117" s="53" t="s">
        <v>287</v>
      </c>
      <c r="C117" s="69">
        <v>91868</v>
      </c>
      <c r="D117" s="56" t="s">
        <v>289</v>
      </c>
      <c r="E117" s="72" t="s">
        <v>37</v>
      </c>
      <c r="F117" s="113"/>
      <c r="G117" s="122"/>
      <c r="H117" s="78"/>
      <c r="I117" s="121"/>
      <c r="J117" s="115">
        <f>'BOLETIM DE MEDIÇÃO 02'!O109-'MEMORIAL DE CALCULO 01'!K117</f>
        <v>0</v>
      </c>
      <c r="K117" s="97"/>
      <c r="L117" s="98">
        <f t="shared" si="3"/>
        <v>0</v>
      </c>
      <c r="M117" s="98">
        <f>'BOLETIM DE MEDIÇÃO 02'!G109</f>
        <v>55.97</v>
      </c>
      <c r="N117" s="102">
        <f t="shared" si="4"/>
        <v>55.97</v>
      </c>
    </row>
    <row r="118" spans="2:14" ht="33.75" hidden="1" x14ac:dyDescent="0.25">
      <c r="B118" s="53" t="s">
        <v>290</v>
      </c>
      <c r="C118" s="69">
        <v>91867</v>
      </c>
      <c r="D118" s="56" t="s">
        <v>292</v>
      </c>
      <c r="E118" s="72" t="s">
        <v>37</v>
      </c>
      <c r="F118" s="113"/>
      <c r="G118" s="122"/>
      <c r="H118" s="78"/>
      <c r="I118" s="121"/>
      <c r="J118" s="115">
        <f>'BOLETIM DE MEDIÇÃO 02'!O110-'MEMORIAL DE CALCULO 01'!K118</f>
        <v>0</v>
      </c>
      <c r="K118" s="97"/>
      <c r="L118" s="98">
        <f t="shared" si="3"/>
        <v>0</v>
      </c>
      <c r="M118" s="98">
        <f>'BOLETIM DE MEDIÇÃO 02'!G110</f>
        <v>36.19</v>
      </c>
      <c r="N118" s="102">
        <f t="shared" si="4"/>
        <v>36.19</v>
      </c>
    </row>
    <row r="119" spans="2:14" ht="22.5" hidden="1" x14ac:dyDescent="0.25">
      <c r="B119" s="53" t="s">
        <v>293</v>
      </c>
      <c r="C119" s="69">
        <v>101654</v>
      </c>
      <c r="D119" s="56" t="s">
        <v>295</v>
      </c>
      <c r="E119" s="72" t="s">
        <v>166</v>
      </c>
      <c r="F119" s="113"/>
      <c r="G119" s="122"/>
      <c r="H119" s="78"/>
      <c r="I119" s="121"/>
      <c r="J119" s="115">
        <f>'BOLETIM DE MEDIÇÃO 02'!O111-'MEMORIAL DE CALCULO 01'!K119</f>
        <v>0</v>
      </c>
      <c r="K119" s="97"/>
      <c r="L119" s="98">
        <f t="shared" si="3"/>
        <v>0</v>
      </c>
      <c r="M119" s="98">
        <f>'BOLETIM DE MEDIÇÃO 02'!G111</f>
        <v>15</v>
      </c>
      <c r="N119" s="102">
        <f t="shared" si="4"/>
        <v>15</v>
      </c>
    </row>
    <row r="120" spans="2:14" ht="22.5" hidden="1" x14ac:dyDescent="0.25">
      <c r="B120" s="53" t="s">
        <v>296</v>
      </c>
      <c r="C120" s="69">
        <v>103782</v>
      </c>
      <c r="D120" s="56" t="s">
        <v>298</v>
      </c>
      <c r="E120" s="72" t="s">
        <v>166</v>
      </c>
      <c r="F120" s="113"/>
      <c r="G120" s="122"/>
      <c r="H120" s="78"/>
      <c r="I120" s="121"/>
      <c r="J120" s="115">
        <f>'BOLETIM DE MEDIÇÃO 02'!O112-'MEMORIAL DE CALCULO 01'!K120</f>
        <v>0</v>
      </c>
      <c r="K120" s="97"/>
      <c r="L120" s="98">
        <f t="shared" si="3"/>
        <v>0</v>
      </c>
      <c r="M120" s="98">
        <f>'BOLETIM DE MEDIÇÃO 02'!G112</f>
        <v>76</v>
      </c>
      <c r="N120" s="102">
        <f t="shared" si="4"/>
        <v>76</v>
      </c>
    </row>
    <row r="121" spans="2:14" ht="33.75" hidden="1" x14ac:dyDescent="0.25">
      <c r="B121" s="53" t="s">
        <v>299</v>
      </c>
      <c r="C121" s="69">
        <v>101509</v>
      </c>
      <c r="D121" s="56" t="s">
        <v>301</v>
      </c>
      <c r="E121" s="72" t="s">
        <v>166</v>
      </c>
      <c r="F121" s="113"/>
      <c r="G121" s="122"/>
      <c r="H121" s="78"/>
      <c r="I121" s="121"/>
      <c r="J121" s="115">
        <f>'BOLETIM DE MEDIÇÃO 02'!O113-'MEMORIAL DE CALCULO 01'!K121</f>
        <v>0</v>
      </c>
      <c r="K121" s="97"/>
      <c r="L121" s="98">
        <f t="shared" si="3"/>
        <v>0</v>
      </c>
      <c r="M121" s="98">
        <f>'BOLETIM DE MEDIÇÃO 02'!G113</f>
        <v>1</v>
      </c>
      <c r="N121" s="102">
        <f t="shared" si="4"/>
        <v>1</v>
      </c>
    </row>
    <row r="122" spans="2:14" ht="33.75" hidden="1" x14ac:dyDescent="0.25">
      <c r="B122" s="53" t="s">
        <v>302</v>
      </c>
      <c r="C122" s="69">
        <v>5044</v>
      </c>
      <c r="D122" s="56" t="s">
        <v>304</v>
      </c>
      <c r="E122" s="72" t="s">
        <v>166</v>
      </c>
      <c r="F122" s="113"/>
      <c r="G122" s="122"/>
      <c r="H122" s="78"/>
      <c r="I122" s="121"/>
      <c r="J122" s="115">
        <f>'BOLETIM DE MEDIÇÃO 02'!O114-'MEMORIAL DE CALCULO 01'!K122</f>
        <v>0</v>
      </c>
      <c r="K122" s="97"/>
      <c r="L122" s="98">
        <f t="shared" si="3"/>
        <v>0</v>
      </c>
      <c r="M122" s="98">
        <f>'BOLETIM DE MEDIÇÃO 02'!G114</f>
        <v>1</v>
      </c>
      <c r="N122" s="102">
        <f t="shared" si="4"/>
        <v>1</v>
      </c>
    </row>
    <row r="123" spans="2:14" ht="45" hidden="1" x14ac:dyDescent="0.25">
      <c r="B123" s="53" t="s">
        <v>305</v>
      </c>
      <c r="C123" s="69">
        <v>101879</v>
      </c>
      <c r="D123" s="56" t="s">
        <v>307</v>
      </c>
      <c r="E123" s="72" t="s">
        <v>166</v>
      </c>
      <c r="F123" s="113"/>
      <c r="G123" s="122"/>
      <c r="H123" s="78"/>
      <c r="I123" s="121"/>
      <c r="J123" s="115">
        <f>'BOLETIM DE MEDIÇÃO 02'!O115-'MEMORIAL DE CALCULO 01'!K123</f>
        <v>0</v>
      </c>
      <c r="K123" s="97"/>
      <c r="L123" s="98">
        <f t="shared" si="3"/>
        <v>0</v>
      </c>
      <c r="M123" s="98">
        <f>'BOLETIM DE MEDIÇÃO 02'!G115</f>
        <v>1</v>
      </c>
      <c r="N123" s="102">
        <f t="shared" si="4"/>
        <v>1</v>
      </c>
    </row>
    <row r="124" spans="2:14" ht="33.75" hidden="1" x14ac:dyDescent="0.25">
      <c r="B124" s="53" t="s">
        <v>308</v>
      </c>
      <c r="C124" s="69">
        <v>5044</v>
      </c>
      <c r="D124" s="56" t="s">
        <v>304</v>
      </c>
      <c r="E124" s="72" t="s">
        <v>166</v>
      </c>
      <c r="F124" s="113"/>
      <c r="G124" s="122"/>
      <c r="H124" s="78"/>
      <c r="I124" s="121"/>
      <c r="J124" s="115">
        <f>'BOLETIM DE MEDIÇÃO 02'!O116-'MEMORIAL DE CALCULO 01'!K124</f>
        <v>0</v>
      </c>
      <c r="K124" s="97"/>
      <c r="L124" s="98">
        <f t="shared" si="3"/>
        <v>0</v>
      </c>
      <c r="M124" s="98">
        <f>'BOLETIM DE MEDIÇÃO 02'!G116</f>
        <v>1</v>
      </c>
      <c r="N124" s="102">
        <f t="shared" si="4"/>
        <v>1</v>
      </c>
    </row>
    <row r="125" spans="2:14" ht="33.75" hidden="1" x14ac:dyDescent="0.25">
      <c r="B125" s="53" t="s">
        <v>309</v>
      </c>
      <c r="C125" s="69">
        <v>92023</v>
      </c>
      <c r="D125" s="56" t="s">
        <v>311</v>
      </c>
      <c r="E125" s="72" t="s">
        <v>166</v>
      </c>
      <c r="F125" s="113"/>
      <c r="G125" s="122"/>
      <c r="H125" s="78"/>
      <c r="I125" s="121"/>
      <c r="J125" s="115">
        <f>'BOLETIM DE MEDIÇÃO 02'!O117-'MEMORIAL DE CALCULO 01'!K125</f>
        <v>0</v>
      </c>
      <c r="K125" s="97"/>
      <c r="L125" s="98">
        <f t="shared" si="3"/>
        <v>0</v>
      </c>
      <c r="M125" s="98">
        <f>'BOLETIM DE MEDIÇÃO 02'!G117</f>
        <v>5</v>
      </c>
      <c r="N125" s="102">
        <f t="shared" si="4"/>
        <v>5</v>
      </c>
    </row>
    <row r="126" spans="2:14" hidden="1" x14ac:dyDescent="0.25">
      <c r="B126" s="54" t="s">
        <v>312</v>
      </c>
      <c r="C126" s="83" t="s">
        <v>313</v>
      </c>
      <c r="D126" s="56"/>
      <c r="E126" s="72"/>
      <c r="F126" s="113"/>
      <c r="G126" s="122"/>
      <c r="H126" s="78"/>
      <c r="I126" s="121"/>
      <c r="J126" s="115"/>
      <c r="K126" s="97"/>
      <c r="L126" s="98"/>
      <c r="M126" s="98"/>
      <c r="N126" s="102"/>
    </row>
    <row r="127" spans="2:14" ht="22.5" hidden="1" x14ac:dyDescent="0.25">
      <c r="B127" s="53" t="s">
        <v>314</v>
      </c>
      <c r="C127" s="69">
        <v>96620</v>
      </c>
      <c r="D127" s="56" t="s">
        <v>316</v>
      </c>
      <c r="E127" s="47" t="s">
        <v>41</v>
      </c>
      <c r="F127" s="113"/>
      <c r="G127" s="122"/>
      <c r="H127" s="78"/>
      <c r="I127" s="121"/>
      <c r="J127" s="115">
        <f>'BOLETIM DE MEDIÇÃO 02'!O119-'MEMORIAL DE CALCULO 01'!K127</f>
        <v>0</v>
      </c>
      <c r="K127" s="97"/>
      <c r="L127" s="98">
        <f t="shared" si="3"/>
        <v>0</v>
      </c>
      <c r="M127" s="98">
        <f>'BOLETIM DE MEDIÇÃO 02'!G119</f>
        <v>31.73</v>
      </c>
      <c r="N127" s="102">
        <f t="shared" si="4"/>
        <v>31.73</v>
      </c>
    </row>
    <row r="128" spans="2:14" ht="67.5" hidden="1" x14ac:dyDescent="0.25">
      <c r="B128" s="53" t="s">
        <v>317</v>
      </c>
      <c r="C128" s="69">
        <v>94439</v>
      </c>
      <c r="D128" s="56" t="s">
        <v>319</v>
      </c>
      <c r="E128" s="47" t="s">
        <v>17</v>
      </c>
      <c r="F128" s="113"/>
      <c r="G128" s="122"/>
      <c r="H128" s="78"/>
      <c r="I128" s="121"/>
      <c r="J128" s="115">
        <f>'BOLETIM DE MEDIÇÃO 02'!O120-'MEMORIAL DE CALCULO 01'!K128</f>
        <v>0</v>
      </c>
      <c r="K128" s="97"/>
      <c r="L128" s="98">
        <f t="shared" si="3"/>
        <v>0</v>
      </c>
      <c r="M128" s="98">
        <f>'BOLETIM DE MEDIÇÃO 02'!G120</f>
        <v>634.5</v>
      </c>
      <c r="N128" s="102">
        <f t="shared" si="4"/>
        <v>634.5</v>
      </c>
    </row>
    <row r="129" spans="2:14" ht="33.75" hidden="1" x14ac:dyDescent="0.25">
      <c r="B129" s="53" t="s">
        <v>320</v>
      </c>
      <c r="C129" s="69">
        <v>87257</v>
      </c>
      <c r="D129" s="56" t="s">
        <v>322</v>
      </c>
      <c r="E129" s="47" t="s">
        <v>17</v>
      </c>
      <c r="F129" s="113"/>
      <c r="G129" s="122"/>
      <c r="H129" s="78"/>
      <c r="I129" s="121"/>
      <c r="J129" s="115">
        <f>'BOLETIM DE MEDIÇÃO 02'!O121-'MEMORIAL DE CALCULO 01'!K129</f>
        <v>0</v>
      </c>
      <c r="K129" s="97"/>
      <c r="L129" s="98">
        <f t="shared" si="3"/>
        <v>0</v>
      </c>
      <c r="M129" s="98">
        <f>'BOLETIM DE MEDIÇÃO 02'!G121</f>
        <v>634.5</v>
      </c>
      <c r="N129" s="102">
        <f t="shared" si="4"/>
        <v>634.5</v>
      </c>
    </row>
    <row r="130" spans="2:14" ht="33.75" hidden="1" x14ac:dyDescent="0.25">
      <c r="B130" s="53" t="s">
        <v>323</v>
      </c>
      <c r="C130" s="69">
        <v>92403</v>
      </c>
      <c r="D130" s="56" t="s">
        <v>325</v>
      </c>
      <c r="E130" s="47" t="s">
        <v>17</v>
      </c>
      <c r="F130" s="113"/>
      <c r="G130" s="122"/>
      <c r="H130" s="78"/>
      <c r="I130" s="121"/>
      <c r="J130" s="115">
        <f>'BOLETIM DE MEDIÇÃO 02'!O122-'MEMORIAL DE CALCULO 01'!K130</f>
        <v>0</v>
      </c>
      <c r="K130" s="97"/>
      <c r="L130" s="98">
        <f t="shared" si="3"/>
        <v>0</v>
      </c>
      <c r="M130" s="98">
        <f>'BOLETIM DE MEDIÇÃO 02'!G122</f>
        <v>629.38</v>
      </c>
      <c r="N130" s="102">
        <f t="shared" si="4"/>
        <v>629.38</v>
      </c>
    </row>
    <row r="131" spans="2:14" ht="56.25" hidden="1" x14ac:dyDescent="0.25">
      <c r="B131" s="53" t="s">
        <v>326</v>
      </c>
      <c r="C131" s="69">
        <v>94273</v>
      </c>
      <c r="D131" s="56" t="s">
        <v>328</v>
      </c>
      <c r="E131" s="47" t="s">
        <v>37</v>
      </c>
      <c r="F131" s="113"/>
      <c r="G131" s="122"/>
      <c r="H131" s="78"/>
      <c r="I131" s="121"/>
      <c r="J131" s="115">
        <f>'BOLETIM DE MEDIÇÃO 02'!O123-'MEMORIAL DE CALCULO 01'!K131</f>
        <v>0</v>
      </c>
      <c r="K131" s="97"/>
      <c r="L131" s="98">
        <f t="shared" si="3"/>
        <v>0</v>
      </c>
      <c r="M131" s="98">
        <f>'BOLETIM DE MEDIÇÃO 02'!G123</f>
        <v>126.37</v>
      </c>
      <c r="N131" s="102">
        <f t="shared" si="4"/>
        <v>126.37</v>
      </c>
    </row>
    <row r="132" spans="2:14" ht="22.5" hidden="1" x14ac:dyDescent="0.25">
      <c r="B132" s="53" t="s">
        <v>329</v>
      </c>
      <c r="C132" s="69">
        <v>368</v>
      </c>
      <c r="D132" s="56" t="s">
        <v>331</v>
      </c>
      <c r="E132" s="47" t="s">
        <v>41</v>
      </c>
      <c r="F132" s="113"/>
      <c r="G132" s="122"/>
      <c r="H132" s="78"/>
      <c r="I132" s="121"/>
      <c r="J132" s="115">
        <f>'BOLETIM DE MEDIÇÃO 02'!O124-'MEMORIAL DE CALCULO 01'!K132</f>
        <v>0</v>
      </c>
      <c r="K132" s="97"/>
      <c r="L132" s="98">
        <f t="shared" si="3"/>
        <v>0</v>
      </c>
      <c r="M132" s="98">
        <f>'BOLETIM DE MEDIÇÃO 02'!G124</f>
        <v>7.46</v>
      </c>
      <c r="N132" s="102">
        <f t="shared" si="4"/>
        <v>7.46</v>
      </c>
    </row>
    <row r="133" spans="2:14" hidden="1" x14ac:dyDescent="0.25">
      <c r="B133" s="53" t="s">
        <v>332</v>
      </c>
      <c r="C133" s="69">
        <v>98504</v>
      </c>
      <c r="D133" s="56" t="s">
        <v>334</v>
      </c>
      <c r="E133" s="47" t="s">
        <v>17</v>
      </c>
      <c r="F133" s="113"/>
      <c r="G133" s="122"/>
      <c r="H133" s="78"/>
      <c r="I133" s="121"/>
      <c r="J133" s="115">
        <f>'BOLETIM DE MEDIÇÃO 02'!O125-'MEMORIAL DE CALCULO 01'!K133</f>
        <v>0</v>
      </c>
      <c r="K133" s="97"/>
      <c r="L133" s="98">
        <f t="shared" si="3"/>
        <v>0</v>
      </c>
      <c r="M133" s="98">
        <f>'BOLETIM DE MEDIÇÃO 02'!G125</f>
        <v>25.6</v>
      </c>
      <c r="N133" s="102">
        <f t="shared" si="4"/>
        <v>25.6</v>
      </c>
    </row>
    <row r="134" spans="2:14" ht="22.5" hidden="1" x14ac:dyDescent="0.25">
      <c r="B134" s="53" t="s">
        <v>335</v>
      </c>
      <c r="C134" s="69">
        <v>103913</v>
      </c>
      <c r="D134" s="56" t="s">
        <v>337</v>
      </c>
      <c r="E134" s="47" t="s">
        <v>17</v>
      </c>
      <c r="F134" s="113"/>
      <c r="G134" s="122"/>
      <c r="H134" s="78"/>
      <c r="I134" s="121"/>
      <c r="J134" s="115">
        <f>'BOLETIM DE MEDIÇÃO 02'!O126-'MEMORIAL DE CALCULO 01'!K134</f>
        <v>0</v>
      </c>
      <c r="K134" s="97"/>
      <c r="L134" s="98">
        <f t="shared" si="3"/>
        <v>0</v>
      </c>
      <c r="M134" s="98">
        <f>'BOLETIM DE MEDIÇÃO 02'!G126</f>
        <v>39.6</v>
      </c>
      <c r="N134" s="102">
        <f t="shared" si="4"/>
        <v>39.6</v>
      </c>
    </row>
    <row r="135" spans="2:14" hidden="1" x14ac:dyDescent="0.25">
      <c r="B135" s="54" t="s">
        <v>338</v>
      </c>
      <c r="C135" s="83" t="s">
        <v>339</v>
      </c>
      <c r="D135" s="56"/>
      <c r="E135" s="47"/>
      <c r="F135" s="113"/>
      <c r="G135" s="122"/>
      <c r="H135" s="78"/>
      <c r="I135" s="121"/>
      <c r="J135" s="115"/>
      <c r="K135" s="97"/>
      <c r="L135" s="98"/>
      <c r="M135" s="98"/>
      <c r="N135" s="102"/>
    </row>
    <row r="136" spans="2:14" ht="45" hidden="1" x14ac:dyDescent="0.25">
      <c r="B136" s="53" t="s">
        <v>340</v>
      </c>
      <c r="C136" s="69">
        <v>94207</v>
      </c>
      <c r="D136" s="56" t="s">
        <v>342</v>
      </c>
      <c r="E136" s="47" t="s">
        <v>17</v>
      </c>
      <c r="F136" s="113"/>
      <c r="G136" s="122"/>
      <c r="H136" s="78"/>
      <c r="I136" s="121"/>
      <c r="J136" s="115">
        <f>'BOLETIM DE MEDIÇÃO 02'!O128-'MEMORIAL DE CALCULO 01'!K136</f>
        <v>0</v>
      </c>
      <c r="K136" s="97"/>
      <c r="L136" s="98">
        <f t="shared" si="3"/>
        <v>0</v>
      </c>
      <c r="M136" s="98">
        <f>'BOLETIM DE MEDIÇÃO 02'!G128</f>
        <v>610.20000000000005</v>
      </c>
      <c r="N136" s="102">
        <f t="shared" si="4"/>
        <v>610.20000000000005</v>
      </c>
    </row>
    <row r="137" spans="2:14" ht="33.75" hidden="1" x14ac:dyDescent="0.25">
      <c r="B137" s="53" t="s">
        <v>343</v>
      </c>
      <c r="C137" s="69">
        <v>98546</v>
      </c>
      <c r="D137" s="56" t="s">
        <v>345</v>
      </c>
      <c r="E137" s="47" t="s">
        <v>17</v>
      </c>
      <c r="F137" s="113"/>
      <c r="G137" s="122"/>
      <c r="H137" s="78"/>
      <c r="I137" s="121"/>
      <c r="J137" s="115">
        <f>'BOLETIM DE MEDIÇÃO 02'!O129-'MEMORIAL DE CALCULO 01'!K137</f>
        <v>0</v>
      </c>
      <c r="K137" s="97"/>
      <c r="L137" s="98">
        <f t="shared" si="3"/>
        <v>0</v>
      </c>
      <c r="M137" s="98">
        <f>'BOLETIM DE MEDIÇÃO 02'!G129</f>
        <v>181.61</v>
      </c>
      <c r="N137" s="102">
        <f t="shared" si="4"/>
        <v>181.61</v>
      </c>
    </row>
    <row r="138" spans="2:14" ht="33.75" hidden="1" x14ac:dyDescent="0.25">
      <c r="B138" s="53" t="s">
        <v>346</v>
      </c>
      <c r="C138" s="69">
        <v>98565</v>
      </c>
      <c r="D138" s="56" t="s">
        <v>348</v>
      </c>
      <c r="E138" s="47" t="s">
        <v>17</v>
      </c>
      <c r="F138" s="113"/>
      <c r="G138" s="122"/>
      <c r="H138" s="78"/>
      <c r="I138" s="121"/>
      <c r="J138" s="115">
        <f>'BOLETIM DE MEDIÇÃO 02'!O130-'MEMORIAL DE CALCULO 01'!K138</f>
        <v>0</v>
      </c>
      <c r="K138" s="97"/>
      <c r="L138" s="98">
        <f t="shared" si="3"/>
        <v>0</v>
      </c>
      <c r="M138" s="98">
        <f>'BOLETIM DE MEDIÇÃO 02'!G130</f>
        <v>181.61</v>
      </c>
      <c r="N138" s="102">
        <f t="shared" si="4"/>
        <v>181.61</v>
      </c>
    </row>
    <row r="139" spans="2:14" ht="45" hidden="1" x14ac:dyDescent="0.25">
      <c r="B139" s="53" t="s">
        <v>349</v>
      </c>
      <c r="C139" s="69">
        <v>100374</v>
      </c>
      <c r="D139" s="56" t="s">
        <v>351</v>
      </c>
      <c r="E139" s="47" t="s">
        <v>166</v>
      </c>
      <c r="F139" s="113"/>
      <c r="G139" s="122"/>
      <c r="H139" s="78"/>
      <c r="I139" s="121"/>
      <c r="J139" s="115">
        <f>'BOLETIM DE MEDIÇÃO 02'!O131-'MEMORIAL DE CALCULO 01'!K139</f>
        <v>0</v>
      </c>
      <c r="K139" s="97"/>
      <c r="L139" s="98">
        <f t="shared" si="3"/>
        <v>0</v>
      </c>
      <c r="M139" s="98">
        <f>'BOLETIM DE MEDIÇÃO 02'!G131</f>
        <v>10</v>
      </c>
      <c r="N139" s="102">
        <f t="shared" si="4"/>
        <v>10</v>
      </c>
    </row>
    <row r="140" spans="2:14" ht="45" hidden="1" x14ac:dyDescent="0.25">
      <c r="B140" s="53" t="s">
        <v>352</v>
      </c>
      <c r="C140" s="69">
        <v>100375</v>
      </c>
      <c r="D140" s="56" t="s">
        <v>354</v>
      </c>
      <c r="E140" s="47" t="s">
        <v>166</v>
      </c>
      <c r="F140" s="113"/>
      <c r="G140" s="122"/>
      <c r="H140" s="78"/>
      <c r="I140" s="121"/>
      <c r="J140" s="115">
        <f>'BOLETIM DE MEDIÇÃO 02'!O132-'MEMORIAL DE CALCULO 01'!K140</f>
        <v>0</v>
      </c>
      <c r="K140" s="97"/>
      <c r="L140" s="98">
        <f t="shared" si="3"/>
        <v>0</v>
      </c>
      <c r="M140" s="98">
        <f>'BOLETIM DE MEDIÇÃO 02'!G132</f>
        <v>10</v>
      </c>
      <c r="N140" s="102">
        <f t="shared" si="4"/>
        <v>10</v>
      </c>
    </row>
    <row r="141" spans="2:14" ht="33.75" hidden="1" x14ac:dyDescent="0.25">
      <c r="B141" s="53" t="s">
        <v>355</v>
      </c>
      <c r="C141" s="69">
        <v>92544</v>
      </c>
      <c r="D141" s="56" t="s">
        <v>357</v>
      </c>
      <c r="E141" s="47" t="s">
        <v>17</v>
      </c>
      <c r="F141" s="113"/>
      <c r="G141" s="122"/>
      <c r="H141" s="78"/>
      <c r="I141" s="121"/>
      <c r="J141" s="115">
        <f>'BOLETIM DE MEDIÇÃO 02'!O133-'MEMORIAL DE CALCULO 01'!K141</f>
        <v>0</v>
      </c>
      <c r="K141" s="97"/>
      <c r="L141" s="98">
        <f t="shared" si="3"/>
        <v>0</v>
      </c>
      <c r="M141" s="98">
        <f>'BOLETIM DE MEDIÇÃO 02'!G133</f>
        <v>610.20000000000005</v>
      </c>
      <c r="N141" s="102">
        <f t="shared" si="4"/>
        <v>610.20000000000005</v>
      </c>
    </row>
    <row r="142" spans="2:14" ht="33.75" hidden="1" x14ac:dyDescent="0.25">
      <c r="B142" s="53" t="s">
        <v>358</v>
      </c>
      <c r="C142" s="69">
        <v>100435</v>
      </c>
      <c r="D142" s="56" t="s">
        <v>360</v>
      </c>
      <c r="E142" s="47" t="s">
        <v>37</v>
      </c>
      <c r="F142" s="113"/>
      <c r="G142" s="122"/>
      <c r="H142" s="78"/>
      <c r="I142" s="121"/>
      <c r="J142" s="115">
        <f>'BOLETIM DE MEDIÇÃO 02'!O134-'MEMORIAL DE CALCULO 01'!K142</f>
        <v>0</v>
      </c>
      <c r="K142" s="97"/>
      <c r="L142" s="98">
        <f t="shared" si="3"/>
        <v>0</v>
      </c>
      <c r="M142" s="98">
        <f>'BOLETIM DE MEDIÇÃO 02'!G134</f>
        <v>113.1</v>
      </c>
      <c r="N142" s="102">
        <f t="shared" si="4"/>
        <v>113.1</v>
      </c>
    </row>
    <row r="143" spans="2:14" ht="33.75" hidden="1" x14ac:dyDescent="0.25">
      <c r="B143" s="53" t="s">
        <v>361</v>
      </c>
      <c r="C143" s="69">
        <v>94229</v>
      </c>
      <c r="D143" s="56" t="s">
        <v>363</v>
      </c>
      <c r="E143" s="47" t="s">
        <v>37</v>
      </c>
      <c r="F143" s="113"/>
      <c r="G143" s="122"/>
      <c r="H143" s="78"/>
      <c r="I143" s="121"/>
      <c r="J143" s="115">
        <f>'BOLETIM DE MEDIÇÃO 02'!O135-'MEMORIAL DE CALCULO 01'!K143</f>
        <v>0</v>
      </c>
      <c r="K143" s="97"/>
      <c r="L143" s="98">
        <f t="shared" si="3"/>
        <v>0</v>
      </c>
      <c r="M143" s="98">
        <f>'BOLETIM DE MEDIÇÃO 02'!G135</f>
        <v>52.64</v>
      </c>
      <c r="N143" s="102">
        <f t="shared" si="4"/>
        <v>52.64</v>
      </c>
    </row>
    <row r="144" spans="2:14" ht="22.5" hidden="1" x14ac:dyDescent="0.25">
      <c r="B144" s="53" t="s">
        <v>364</v>
      </c>
      <c r="C144" s="69">
        <v>96113</v>
      </c>
      <c r="D144" s="56" t="s">
        <v>366</v>
      </c>
      <c r="E144" s="47" t="s">
        <v>17</v>
      </c>
      <c r="F144" s="113"/>
      <c r="G144" s="122"/>
      <c r="H144" s="78"/>
      <c r="I144" s="121"/>
      <c r="J144" s="115">
        <f>'BOLETIM DE MEDIÇÃO 02'!O136-'MEMORIAL DE CALCULO 01'!K144</f>
        <v>0</v>
      </c>
      <c r="K144" s="97"/>
      <c r="L144" s="98">
        <f t="shared" si="3"/>
        <v>0</v>
      </c>
      <c r="M144" s="98">
        <f>'BOLETIM DE MEDIÇÃO 02'!G136</f>
        <v>634.5</v>
      </c>
      <c r="N144" s="102">
        <f t="shared" si="4"/>
        <v>634.5</v>
      </c>
    </row>
    <row r="145" spans="2:14" ht="14.45" hidden="1" customHeight="1" x14ac:dyDescent="0.25">
      <c r="B145" s="54">
        <v>1.1299999999999999</v>
      </c>
      <c r="C145" s="68" t="s">
        <v>368</v>
      </c>
      <c r="D145" s="56"/>
      <c r="E145" s="47"/>
      <c r="F145" s="113"/>
      <c r="G145" s="122"/>
      <c r="H145" s="78"/>
      <c r="I145" s="121"/>
      <c r="J145" s="115"/>
      <c r="K145" s="97"/>
      <c r="L145" s="98"/>
      <c r="M145" s="98"/>
      <c r="N145" s="102"/>
    </row>
    <row r="146" spans="2:14" ht="56.25" hidden="1" x14ac:dyDescent="0.25">
      <c r="B146" s="53" t="s">
        <v>369</v>
      </c>
      <c r="C146" s="69">
        <v>91785</v>
      </c>
      <c r="D146" s="56" t="s">
        <v>371</v>
      </c>
      <c r="E146" s="47" t="s">
        <v>37</v>
      </c>
      <c r="F146" s="113"/>
      <c r="G146" s="122"/>
      <c r="H146" s="72"/>
      <c r="I146" s="121"/>
      <c r="J146" s="115">
        <f>'BOLETIM DE MEDIÇÃO 02'!O138-'MEMORIAL DE CALCULO 01'!K146</f>
        <v>0</v>
      </c>
      <c r="K146" s="97"/>
      <c r="L146" s="98">
        <f t="shared" si="3"/>
        <v>0</v>
      </c>
      <c r="M146" s="98">
        <f>'BOLETIM DE MEDIÇÃO 02'!G138</f>
        <v>98.77</v>
      </c>
      <c r="N146" s="102">
        <f t="shared" si="4"/>
        <v>98.77</v>
      </c>
    </row>
    <row r="147" spans="2:14" ht="56.25" hidden="1" x14ac:dyDescent="0.25">
      <c r="B147" s="53" t="s">
        <v>372</v>
      </c>
      <c r="C147" s="69">
        <v>91784</v>
      </c>
      <c r="D147" s="56" t="s">
        <v>374</v>
      </c>
      <c r="E147" s="47" t="s">
        <v>37</v>
      </c>
      <c r="F147" s="113"/>
      <c r="G147" s="122"/>
      <c r="H147" s="72"/>
      <c r="I147" s="121"/>
      <c r="J147" s="115">
        <f>'BOLETIM DE MEDIÇÃO 02'!O139-'MEMORIAL DE CALCULO 01'!K147</f>
        <v>0</v>
      </c>
      <c r="K147" s="97"/>
      <c r="L147" s="98">
        <f t="shared" si="3"/>
        <v>0</v>
      </c>
      <c r="M147" s="98">
        <f>'BOLETIM DE MEDIÇÃO 02'!G139</f>
        <v>62.17</v>
      </c>
      <c r="N147" s="102">
        <f t="shared" si="4"/>
        <v>62.17</v>
      </c>
    </row>
    <row r="148" spans="2:14" ht="56.25" hidden="1" x14ac:dyDescent="0.25">
      <c r="B148" s="53" t="s">
        <v>375</v>
      </c>
      <c r="C148" s="69">
        <v>91786</v>
      </c>
      <c r="D148" s="56" t="s">
        <v>377</v>
      </c>
      <c r="E148" s="47" t="s">
        <v>37</v>
      </c>
      <c r="F148" s="113"/>
      <c r="G148" s="122"/>
      <c r="H148" s="72"/>
      <c r="I148" s="121"/>
      <c r="J148" s="115">
        <f>'BOLETIM DE MEDIÇÃO 02'!O140-'MEMORIAL DE CALCULO 01'!K148</f>
        <v>0</v>
      </c>
      <c r="K148" s="97"/>
      <c r="L148" s="98">
        <f t="shared" si="3"/>
        <v>0</v>
      </c>
      <c r="M148" s="98">
        <f>'BOLETIM DE MEDIÇÃO 02'!G140</f>
        <v>24.75</v>
      </c>
      <c r="N148" s="102">
        <f t="shared" si="4"/>
        <v>24.75</v>
      </c>
    </row>
    <row r="149" spans="2:14" ht="45" hidden="1" x14ac:dyDescent="0.25">
      <c r="B149" s="53" t="s">
        <v>378</v>
      </c>
      <c r="C149" s="69">
        <v>91787</v>
      </c>
      <c r="D149" s="56" t="s">
        <v>380</v>
      </c>
      <c r="E149" s="47" t="s">
        <v>37</v>
      </c>
      <c r="F149" s="113"/>
      <c r="G149" s="122"/>
      <c r="H149" s="72"/>
      <c r="I149" s="121"/>
      <c r="J149" s="115">
        <f>'BOLETIM DE MEDIÇÃO 02'!O141-'MEMORIAL DE CALCULO 01'!K149</f>
        <v>0</v>
      </c>
      <c r="K149" s="97"/>
      <c r="L149" s="98">
        <f t="shared" si="3"/>
        <v>0</v>
      </c>
      <c r="M149" s="98">
        <f>'BOLETIM DE MEDIÇÃO 02'!G141</f>
        <v>25.92</v>
      </c>
      <c r="N149" s="102">
        <f t="shared" si="4"/>
        <v>25.92</v>
      </c>
    </row>
    <row r="150" spans="2:14" ht="33.75" hidden="1" x14ac:dyDescent="0.25">
      <c r="B150" s="53" t="s">
        <v>381</v>
      </c>
      <c r="C150" s="69">
        <v>89987</v>
      </c>
      <c r="D150" s="56" t="s">
        <v>383</v>
      </c>
      <c r="E150" s="47" t="s">
        <v>166</v>
      </c>
      <c r="F150" s="113"/>
      <c r="G150" s="122"/>
      <c r="H150" s="72"/>
      <c r="I150" s="121"/>
      <c r="J150" s="115">
        <f>'BOLETIM DE MEDIÇÃO 02'!O142-'MEMORIAL DE CALCULO 01'!K150</f>
        <v>0</v>
      </c>
      <c r="K150" s="97"/>
      <c r="L150" s="98">
        <f t="shared" si="3"/>
        <v>0</v>
      </c>
      <c r="M150" s="98">
        <f>'BOLETIM DE MEDIÇÃO 02'!G142</f>
        <v>10</v>
      </c>
      <c r="N150" s="102">
        <f t="shared" si="4"/>
        <v>10</v>
      </c>
    </row>
    <row r="151" spans="2:14" ht="22.5" hidden="1" x14ac:dyDescent="0.25">
      <c r="B151" s="53" t="s">
        <v>384</v>
      </c>
      <c r="C151" s="69">
        <v>94490</v>
      </c>
      <c r="D151" s="56" t="s">
        <v>386</v>
      </c>
      <c r="E151" s="47" t="s">
        <v>166</v>
      </c>
      <c r="F151" s="113"/>
      <c r="G151" s="122"/>
      <c r="H151" s="72"/>
      <c r="I151" s="121"/>
      <c r="J151" s="115">
        <f>'BOLETIM DE MEDIÇÃO 02'!O143-'MEMORIAL DE CALCULO 01'!K151</f>
        <v>0</v>
      </c>
      <c r="K151" s="97"/>
      <c r="L151" s="98">
        <f t="shared" ref="L151:L217" si="5">J151+K151</f>
        <v>0</v>
      </c>
      <c r="M151" s="98">
        <f>'BOLETIM DE MEDIÇÃO 02'!G143</f>
        <v>2</v>
      </c>
      <c r="N151" s="102">
        <f t="shared" ref="N151:N217" si="6">M151-L151</f>
        <v>2</v>
      </c>
    </row>
    <row r="152" spans="2:14" ht="33.75" hidden="1" x14ac:dyDescent="0.25">
      <c r="B152" s="53" t="s">
        <v>387</v>
      </c>
      <c r="C152" s="69">
        <v>89985</v>
      </c>
      <c r="D152" s="56" t="s">
        <v>389</v>
      </c>
      <c r="E152" s="47" t="s">
        <v>166</v>
      </c>
      <c r="F152" s="113"/>
      <c r="G152" s="122"/>
      <c r="H152" s="72"/>
      <c r="I152" s="121"/>
      <c r="J152" s="115">
        <f>'BOLETIM DE MEDIÇÃO 02'!O144-'MEMORIAL DE CALCULO 01'!K152</f>
        <v>0</v>
      </c>
      <c r="K152" s="97"/>
      <c r="L152" s="98">
        <f t="shared" si="5"/>
        <v>0</v>
      </c>
      <c r="M152" s="98">
        <f>'BOLETIM DE MEDIÇÃO 02'!G144</f>
        <v>6</v>
      </c>
      <c r="N152" s="102">
        <f t="shared" si="6"/>
        <v>6</v>
      </c>
    </row>
    <row r="153" spans="2:14" ht="33.75" hidden="1" x14ac:dyDescent="0.25">
      <c r="B153" s="53" t="s">
        <v>390</v>
      </c>
      <c r="C153" s="69">
        <v>102613</v>
      </c>
      <c r="D153" s="56" t="s">
        <v>392</v>
      </c>
      <c r="E153" s="47" t="s">
        <v>166</v>
      </c>
      <c r="F153" s="113"/>
      <c r="G153" s="122"/>
      <c r="H153" s="72"/>
      <c r="I153" s="121"/>
      <c r="J153" s="115">
        <f>'BOLETIM DE MEDIÇÃO 02'!O145-'MEMORIAL DE CALCULO 01'!K153</f>
        <v>0</v>
      </c>
      <c r="K153" s="97"/>
      <c r="L153" s="98">
        <f t="shared" si="5"/>
        <v>0</v>
      </c>
      <c r="M153" s="98">
        <f>'BOLETIM DE MEDIÇÃO 02'!G145</f>
        <v>2</v>
      </c>
      <c r="N153" s="102">
        <f t="shared" si="6"/>
        <v>2</v>
      </c>
    </row>
    <row r="154" spans="2:14" ht="22.5" hidden="1" x14ac:dyDescent="0.25">
      <c r="B154" s="53" t="s">
        <v>393</v>
      </c>
      <c r="C154" s="69">
        <v>102609</v>
      </c>
      <c r="D154" s="56" t="s">
        <v>395</v>
      </c>
      <c r="E154" s="47" t="s">
        <v>166</v>
      </c>
      <c r="F154" s="113"/>
      <c r="G154" s="122"/>
      <c r="H154" s="72"/>
      <c r="I154" s="121"/>
      <c r="J154" s="115">
        <f>'BOLETIM DE MEDIÇÃO 02'!O146-'MEMORIAL DE CALCULO 01'!K154</f>
        <v>0</v>
      </c>
      <c r="K154" s="97"/>
      <c r="L154" s="98">
        <f t="shared" si="5"/>
        <v>0</v>
      </c>
      <c r="M154" s="98">
        <f>'BOLETIM DE MEDIÇÃO 02'!G146</f>
        <v>2</v>
      </c>
      <c r="N154" s="102">
        <f t="shared" si="6"/>
        <v>2</v>
      </c>
    </row>
    <row r="155" spans="2:14" ht="22.5" hidden="1" x14ac:dyDescent="0.25">
      <c r="B155" s="53" t="s">
        <v>396</v>
      </c>
      <c r="C155" s="69">
        <v>94796</v>
      </c>
      <c r="D155" s="56" t="s">
        <v>398</v>
      </c>
      <c r="E155" s="47" t="s">
        <v>166</v>
      </c>
      <c r="F155" s="113"/>
      <c r="G155" s="122"/>
      <c r="H155" s="72"/>
      <c r="I155" s="121"/>
      <c r="J155" s="115">
        <f>'BOLETIM DE MEDIÇÃO 02'!O147-'MEMORIAL DE CALCULO 01'!K155</f>
        <v>0</v>
      </c>
      <c r="K155" s="97"/>
      <c r="L155" s="98">
        <f t="shared" si="5"/>
        <v>0</v>
      </c>
      <c r="M155" s="98">
        <f>'BOLETIM DE MEDIÇÃO 02'!G147</f>
        <v>4</v>
      </c>
      <c r="N155" s="102">
        <f t="shared" si="6"/>
        <v>4</v>
      </c>
    </row>
    <row r="156" spans="2:14" ht="22.5" hidden="1" x14ac:dyDescent="0.25">
      <c r="B156" s="53" t="s">
        <v>399</v>
      </c>
      <c r="C156" s="69">
        <v>94491</v>
      </c>
      <c r="D156" s="56" t="s">
        <v>401</v>
      </c>
      <c r="E156" s="47" t="s">
        <v>166</v>
      </c>
      <c r="F156" s="113"/>
      <c r="G156" s="122"/>
      <c r="H156" s="72"/>
      <c r="I156" s="121"/>
      <c r="J156" s="115">
        <f>'BOLETIM DE MEDIÇÃO 02'!O148-'MEMORIAL DE CALCULO 01'!K156</f>
        <v>0</v>
      </c>
      <c r="K156" s="97"/>
      <c r="L156" s="98">
        <f t="shared" si="5"/>
        <v>0</v>
      </c>
      <c r="M156" s="98">
        <f>'BOLETIM DE MEDIÇÃO 02'!G148</f>
        <v>4</v>
      </c>
      <c r="N156" s="102">
        <f t="shared" si="6"/>
        <v>4</v>
      </c>
    </row>
    <row r="157" spans="2:14" ht="22.5" hidden="1" x14ac:dyDescent="0.25">
      <c r="B157" s="53" t="s">
        <v>402</v>
      </c>
      <c r="C157" s="69">
        <v>94492</v>
      </c>
      <c r="D157" s="56" t="s">
        <v>404</v>
      </c>
      <c r="E157" s="47" t="s">
        <v>166</v>
      </c>
      <c r="F157" s="113"/>
      <c r="G157" s="122"/>
      <c r="H157" s="72"/>
      <c r="I157" s="121"/>
      <c r="J157" s="115">
        <f>'BOLETIM DE MEDIÇÃO 02'!O149-'MEMORIAL DE CALCULO 01'!K157</f>
        <v>0</v>
      </c>
      <c r="K157" s="97"/>
      <c r="L157" s="98">
        <f t="shared" si="5"/>
        <v>0</v>
      </c>
      <c r="M157" s="98">
        <f>'BOLETIM DE MEDIÇÃO 02'!G149</f>
        <v>2</v>
      </c>
      <c r="N157" s="102">
        <f t="shared" si="6"/>
        <v>2</v>
      </c>
    </row>
    <row r="158" spans="2:14" ht="22.5" hidden="1" x14ac:dyDescent="0.25">
      <c r="B158" s="53" t="s">
        <v>405</v>
      </c>
      <c r="C158" s="69">
        <v>95675</v>
      </c>
      <c r="D158" s="56" t="s">
        <v>407</v>
      </c>
      <c r="E158" s="47" t="s">
        <v>166</v>
      </c>
      <c r="F158" s="113"/>
      <c r="G158" s="122"/>
      <c r="H158" s="72"/>
      <c r="I158" s="121"/>
      <c r="J158" s="115">
        <f>'BOLETIM DE MEDIÇÃO 02'!O150-'MEMORIAL DE CALCULO 01'!K158</f>
        <v>0</v>
      </c>
      <c r="K158" s="97"/>
      <c r="L158" s="98">
        <f t="shared" si="5"/>
        <v>0</v>
      </c>
      <c r="M158" s="98">
        <f>'BOLETIM DE MEDIÇÃO 02'!G150</f>
        <v>1</v>
      </c>
      <c r="N158" s="102">
        <f t="shared" si="6"/>
        <v>1</v>
      </c>
    </row>
    <row r="159" spans="2:14" ht="33.75" hidden="1" x14ac:dyDescent="0.25">
      <c r="B159" s="53" t="s">
        <v>408</v>
      </c>
      <c r="C159" s="69">
        <v>97902</v>
      </c>
      <c r="D159" s="56" t="s">
        <v>410</v>
      </c>
      <c r="E159" s="47" t="s">
        <v>166</v>
      </c>
      <c r="F159" s="113"/>
      <c r="G159" s="122"/>
      <c r="H159" s="72"/>
      <c r="I159" s="121"/>
      <c r="J159" s="115">
        <f>'BOLETIM DE MEDIÇÃO 02'!O151-'MEMORIAL DE CALCULO 01'!K159</f>
        <v>0</v>
      </c>
      <c r="K159" s="97"/>
      <c r="L159" s="98">
        <f t="shared" si="5"/>
        <v>0</v>
      </c>
      <c r="M159" s="98">
        <f>'BOLETIM DE MEDIÇÃO 02'!G151</f>
        <v>7</v>
      </c>
      <c r="N159" s="102">
        <f t="shared" si="6"/>
        <v>7</v>
      </c>
    </row>
    <row r="160" spans="2:14" ht="33.75" hidden="1" x14ac:dyDescent="0.25">
      <c r="B160" s="53" t="s">
        <v>411</v>
      </c>
      <c r="C160" s="69">
        <v>99258</v>
      </c>
      <c r="D160" s="56" t="s">
        <v>413</v>
      </c>
      <c r="E160" s="47" t="s">
        <v>166</v>
      </c>
      <c r="F160" s="113"/>
      <c r="G160" s="122"/>
      <c r="H160" s="72"/>
      <c r="I160" s="121"/>
      <c r="J160" s="115">
        <f>'BOLETIM DE MEDIÇÃO 02'!O152-'MEMORIAL DE CALCULO 01'!K160</f>
        <v>0</v>
      </c>
      <c r="K160" s="97"/>
      <c r="L160" s="98">
        <f t="shared" si="5"/>
        <v>0</v>
      </c>
      <c r="M160" s="98">
        <f>'BOLETIM DE MEDIÇÃO 02'!G152</f>
        <v>1</v>
      </c>
      <c r="N160" s="102">
        <f t="shared" si="6"/>
        <v>1</v>
      </c>
    </row>
    <row r="161" spans="2:14" ht="33.75" hidden="1" x14ac:dyDescent="0.25">
      <c r="B161" s="53" t="s">
        <v>414</v>
      </c>
      <c r="C161" s="69">
        <v>89482</v>
      </c>
      <c r="D161" s="56" t="s">
        <v>416</v>
      </c>
      <c r="E161" s="47" t="s">
        <v>166</v>
      </c>
      <c r="F161" s="113"/>
      <c r="G161" s="122"/>
      <c r="H161" s="72"/>
      <c r="I161" s="121"/>
      <c r="J161" s="115">
        <f>'BOLETIM DE MEDIÇÃO 02'!O153-'MEMORIAL DE CALCULO 01'!K161</f>
        <v>0</v>
      </c>
      <c r="K161" s="97"/>
      <c r="L161" s="98">
        <f t="shared" si="5"/>
        <v>0</v>
      </c>
      <c r="M161" s="98">
        <f>'BOLETIM DE MEDIÇÃO 02'!G153</f>
        <v>10</v>
      </c>
      <c r="N161" s="102">
        <f t="shared" si="6"/>
        <v>10</v>
      </c>
    </row>
    <row r="162" spans="2:14" ht="56.25" hidden="1" x14ac:dyDescent="0.25">
      <c r="B162" s="53" t="s">
        <v>417</v>
      </c>
      <c r="C162" s="69">
        <v>91792</v>
      </c>
      <c r="D162" s="56" t="s">
        <v>419</v>
      </c>
      <c r="E162" s="47" t="s">
        <v>37</v>
      </c>
      <c r="F162" s="113"/>
      <c r="G162" s="122"/>
      <c r="H162" s="72"/>
      <c r="I162" s="121"/>
      <c r="J162" s="115">
        <f>'BOLETIM DE MEDIÇÃO 02'!O154-'MEMORIAL DE CALCULO 01'!K162</f>
        <v>0</v>
      </c>
      <c r="K162" s="97"/>
      <c r="L162" s="98">
        <f t="shared" si="5"/>
        <v>0</v>
      </c>
      <c r="M162" s="98">
        <f>'BOLETIM DE MEDIÇÃO 02'!G154</f>
        <v>38.85</v>
      </c>
      <c r="N162" s="102">
        <f t="shared" si="6"/>
        <v>38.85</v>
      </c>
    </row>
    <row r="163" spans="2:14" ht="56.25" hidden="1" x14ac:dyDescent="0.25">
      <c r="B163" s="53" t="s">
        <v>420</v>
      </c>
      <c r="C163" s="69">
        <v>91793</v>
      </c>
      <c r="D163" s="56" t="s">
        <v>422</v>
      </c>
      <c r="E163" s="47" t="s">
        <v>37</v>
      </c>
      <c r="F163" s="113"/>
      <c r="G163" s="122"/>
      <c r="H163" s="72"/>
      <c r="I163" s="121"/>
      <c r="J163" s="115">
        <f>'BOLETIM DE MEDIÇÃO 02'!O155-'MEMORIAL DE CALCULO 01'!K163</f>
        <v>0</v>
      </c>
      <c r="K163" s="97"/>
      <c r="L163" s="98">
        <f t="shared" si="5"/>
        <v>0</v>
      </c>
      <c r="M163" s="98">
        <f>'BOLETIM DE MEDIÇÃO 02'!G155</f>
        <v>46.51</v>
      </c>
      <c r="N163" s="102">
        <f t="shared" si="6"/>
        <v>46.51</v>
      </c>
    </row>
    <row r="164" spans="2:14" ht="45" hidden="1" x14ac:dyDescent="0.25">
      <c r="B164" s="53" t="s">
        <v>423</v>
      </c>
      <c r="C164" s="69">
        <v>98107</v>
      </c>
      <c r="D164" s="56" t="s">
        <v>425</v>
      </c>
      <c r="E164" s="47" t="s">
        <v>166</v>
      </c>
      <c r="F164" s="113"/>
      <c r="G164" s="122"/>
      <c r="H164" s="72"/>
      <c r="I164" s="121"/>
      <c r="J164" s="115">
        <f>'BOLETIM DE MEDIÇÃO 02'!O156-'MEMORIAL DE CALCULO 01'!K164</f>
        <v>0</v>
      </c>
      <c r="K164" s="97"/>
      <c r="L164" s="98">
        <f t="shared" si="5"/>
        <v>0</v>
      </c>
      <c r="M164" s="98">
        <f>'BOLETIM DE MEDIÇÃO 02'!G156</f>
        <v>1</v>
      </c>
      <c r="N164" s="102">
        <f t="shared" si="6"/>
        <v>1</v>
      </c>
    </row>
    <row r="165" spans="2:14" ht="56.25" hidden="1" x14ac:dyDescent="0.25">
      <c r="B165" s="53" t="s">
        <v>426</v>
      </c>
      <c r="C165" s="69">
        <v>91795</v>
      </c>
      <c r="D165" s="56" t="s">
        <v>428</v>
      </c>
      <c r="E165" s="47" t="s">
        <v>37</v>
      </c>
      <c r="F165" s="113"/>
      <c r="G165" s="122"/>
      <c r="H165" s="72"/>
      <c r="I165" s="121"/>
      <c r="J165" s="115">
        <f>'BOLETIM DE MEDIÇÃO 02'!O157-'MEMORIAL DE CALCULO 01'!K165</f>
        <v>0</v>
      </c>
      <c r="K165" s="97"/>
      <c r="L165" s="98">
        <f t="shared" si="5"/>
        <v>0</v>
      </c>
      <c r="M165" s="98">
        <f>'BOLETIM DE MEDIÇÃO 02'!G157</f>
        <v>132.77000000000001</v>
      </c>
      <c r="N165" s="102">
        <f t="shared" si="6"/>
        <v>132.77000000000001</v>
      </c>
    </row>
    <row r="166" spans="2:14" ht="33.75" hidden="1" x14ac:dyDescent="0.25">
      <c r="B166" s="53" t="s">
        <v>429</v>
      </c>
      <c r="C166" s="71">
        <v>99251</v>
      </c>
      <c r="D166" s="70" t="s">
        <v>431</v>
      </c>
      <c r="E166" s="47" t="s">
        <v>166</v>
      </c>
      <c r="F166" s="113"/>
      <c r="G166" s="122"/>
      <c r="H166" s="72"/>
      <c r="I166" s="121"/>
      <c r="J166" s="115">
        <f>'BOLETIM DE MEDIÇÃO 02'!O158-'MEMORIAL DE CALCULO 01'!K166</f>
        <v>0</v>
      </c>
      <c r="K166" s="97"/>
      <c r="L166" s="98">
        <f t="shared" si="5"/>
        <v>0</v>
      </c>
      <c r="M166" s="98">
        <f>'BOLETIM DE MEDIÇÃO 02'!G158</f>
        <v>2</v>
      </c>
      <c r="N166" s="102">
        <f t="shared" si="6"/>
        <v>2</v>
      </c>
    </row>
    <row r="167" spans="2:14" ht="56.25" hidden="1" x14ac:dyDescent="0.25">
      <c r="B167" s="53" t="s">
        <v>432</v>
      </c>
      <c r="C167" s="71">
        <v>91790</v>
      </c>
      <c r="D167" s="70" t="s">
        <v>434</v>
      </c>
      <c r="E167" s="47" t="s">
        <v>37</v>
      </c>
      <c r="F167" s="113"/>
      <c r="G167" s="122"/>
      <c r="H167" s="72"/>
      <c r="I167" s="121"/>
      <c r="J167" s="115">
        <f>'BOLETIM DE MEDIÇÃO 02'!O159-'MEMORIAL DE CALCULO 01'!K167</f>
        <v>0</v>
      </c>
      <c r="K167" s="97"/>
      <c r="L167" s="98">
        <f t="shared" si="5"/>
        <v>0</v>
      </c>
      <c r="M167" s="98">
        <f>'BOLETIM DE MEDIÇÃO 02'!G159</f>
        <v>43.01</v>
      </c>
      <c r="N167" s="102">
        <f t="shared" si="6"/>
        <v>43.01</v>
      </c>
    </row>
    <row r="168" spans="2:14" ht="14.45" hidden="1" customHeight="1" x14ac:dyDescent="0.25">
      <c r="B168" s="54">
        <v>1.1399999999999999</v>
      </c>
      <c r="C168" s="68" t="s">
        <v>436</v>
      </c>
      <c r="D168" s="56"/>
      <c r="E168" s="47"/>
      <c r="F168" s="111"/>
      <c r="G168" s="122"/>
      <c r="H168" s="78"/>
      <c r="I168" s="121"/>
      <c r="J168" s="115"/>
      <c r="K168" s="97"/>
      <c r="L168" s="98"/>
      <c r="M168" s="98"/>
      <c r="N168" s="102"/>
    </row>
    <row r="169" spans="2:14" ht="22.5" hidden="1" x14ac:dyDescent="0.25">
      <c r="B169" s="53" t="s">
        <v>437</v>
      </c>
      <c r="C169" s="62" t="s">
        <v>438</v>
      </c>
      <c r="D169" s="56" t="s">
        <v>439</v>
      </c>
      <c r="E169" s="47" t="s">
        <v>17</v>
      </c>
      <c r="F169" s="111"/>
      <c r="G169" s="122"/>
      <c r="H169" s="78"/>
      <c r="I169" s="121"/>
      <c r="J169" s="115">
        <f>'BOLETIM DE MEDIÇÃO 02'!O161-'MEMORIAL DE CALCULO 01'!K169</f>
        <v>0</v>
      </c>
      <c r="K169" s="97"/>
      <c r="L169" s="98">
        <f t="shared" si="5"/>
        <v>0</v>
      </c>
      <c r="M169" s="98">
        <f>'BOLETIM DE MEDIÇÃO 02'!G161</f>
        <v>14.07</v>
      </c>
      <c r="N169" s="102">
        <f t="shared" si="6"/>
        <v>14.07</v>
      </c>
    </row>
    <row r="170" spans="2:14" ht="33.75" hidden="1" x14ac:dyDescent="0.25">
      <c r="B170" s="53" t="s">
        <v>440</v>
      </c>
      <c r="C170" s="71">
        <v>86906</v>
      </c>
      <c r="D170" s="70" t="s">
        <v>442</v>
      </c>
      <c r="E170" s="47" t="s">
        <v>166</v>
      </c>
      <c r="F170" s="152"/>
      <c r="G170" s="122"/>
      <c r="H170" s="47"/>
      <c r="I170" s="121"/>
      <c r="J170" s="115">
        <f>'BOLETIM DE MEDIÇÃO 02'!O162-'MEMORIAL DE CALCULO 01'!K170</f>
        <v>0</v>
      </c>
      <c r="K170" s="97"/>
      <c r="L170" s="98">
        <f t="shared" si="5"/>
        <v>0</v>
      </c>
      <c r="M170" s="98">
        <f>'BOLETIM DE MEDIÇÃO 02'!G162</f>
        <v>10</v>
      </c>
      <c r="N170" s="102">
        <f t="shared" si="6"/>
        <v>10</v>
      </c>
    </row>
    <row r="171" spans="2:14" ht="33.75" hidden="1" x14ac:dyDescent="0.25">
      <c r="B171" s="53" t="s">
        <v>443</v>
      </c>
      <c r="C171" s="69">
        <v>86911</v>
      </c>
      <c r="D171" s="56" t="s">
        <v>445</v>
      </c>
      <c r="E171" s="47" t="s">
        <v>166</v>
      </c>
      <c r="F171" s="111"/>
      <c r="G171" s="122"/>
      <c r="H171" s="78"/>
      <c r="I171" s="121"/>
      <c r="J171" s="115">
        <f>'BOLETIM DE MEDIÇÃO 02'!O163-'MEMORIAL DE CALCULO 01'!K171</f>
        <v>0</v>
      </c>
      <c r="K171" s="97"/>
      <c r="L171" s="98">
        <f t="shared" si="5"/>
        <v>0</v>
      </c>
      <c r="M171" s="98">
        <f>'BOLETIM DE MEDIÇÃO 02'!G163</f>
        <v>3</v>
      </c>
      <c r="N171" s="102">
        <f t="shared" si="6"/>
        <v>3</v>
      </c>
    </row>
    <row r="172" spans="2:14" ht="22.5" hidden="1" x14ac:dyDescent="0.25">
      <c r="B172" s="53" t="s">
        <v>446</v>
      </c>
      <c r="C172" s="69">
        <v>10428</v>
      </c>
      <c r="D172" s="56" t="s">
        <v>448</v>
      </c>
      <c r="E172" s="47" t="s">
        <v>166</v>
      </c>
      <c r="F172" s="111"/>
      <c r="G172" s="122"/>
      <c r="H172" s="78"/>
      <c r="I172" s="121"/>
      <c r="J172" s="115">
        <f>'BOLETIM DE MEDIÇÃO 02'!O164-'MEMORIAL DE CALCULO 01'!K172</f>
        <v>0</v>
      </c>
      <c r="K172" s="97"/>
      <c r="L172" s="98">
        <f t="shared" si="5"/>
        <v>0</v>
      </c>
      <c r="M172" s="98">
        <f>'BOLETIM DE MEDIÇÃO 02'!G164</f>
        <v>8</v>
      </c>
      <c r="N172" s="102">
        <f t="shared" si="6"/>
        <v>8</v>
      </c>
    </row>
    <row r="173" spans="2:14" ht="45" hidden="1" x14ac:dyDescent="0.25">
      <c r="B173" s="53" t="s">
        <v>449</v>
      </c>
      <c r="C173" s="69">
        <v>86932</v>
      </c>
      <c r="D173" s="56" t="s">
        <v>451</v>
      </c>
      <c r="E173" s="47" t="s">
        <v>166</v>
      </c>
      <c r="F173" s="111"/>
      <c r="G173" s="122"/>
      <c r="H173" s="78"/>
      <c r="I173" s="121"/>
      <c r="J173" s="115">
        <f>'BOLETIM DE MEDIÇÃO 02'!O165-'MEMORIAL DE CALCULO 01'!K173</f>
        <v>0</v>
      </c>
      <c r="K173" s="97"/>
      <c r="L173" s="98">
        <f t="shared" si="5"/>
        <v>0</v>
      </c>
      <c r="M173" s="98">
        <f>'BOLETIM DE MEDIÇÃO 02'!G165</f>
        <v>9</v>
      </c>
      <c r="N173" s="102">
        <f t="shared" si="6"/>
        <v>9</v>
      </c>
    </row>
    <row r="174" spans="2:14" ht="45" hidden="1" x14ac:dyDescent="0.25">
      <c r="B174" s="53" t="s">
        <v>452</v>
      </c>
      <c r="C174" s="69">
        <v>86935</v>
      </c>
      <c r="D174" s="56" t="s">
        <v>454</v>
      </c>
      <c r="E174" s="47" t="s">
        <v>166</v>
      </c>
      <c r="F174" s="111"/>
      <c r="G174" s="122"/>
      <c r="H174" s="78"/>
      <c r="I174" s="121"/>
      <c r="J174" s="115">
        <f>'BOLETIM DE MEDIÇÃO 02'!O166-'MEMORIAL DE CALCULO 01'!K174</f>
        <v>0</v>
      </c>
      <c r="K174" s="97"/>
      <c r="L174" s="98">
        <f t="shared" si="5"/>
        <v>0</v>
      </c>
      <c r="M174" s="98">
        <f>'BOLETIM DE MEDIÇÃO 02'!G166</f>
        <v>2</v>
      </c>
      <c r="N174" s="102">
        <f t="shared" si="6"/>
        <v>2</v>
      </c>
    </row>
    <row r="175" spans="2:14" ht="33.75" hidden="1" x14ac:dyDescent="0.25">
      <c r="B175" s="53" t="s">
        <v>455</v>
      </c>
      <c r="C175" s="69">
        <v>100868</v>
      </c>
      <c r="D175" s="56" t="s">
        <v>457</v>
      </c>
      <c r="E175" s="47" t="s">
        <v>166</v>
      </c>
      <c r="F175" s="111"/>
      <c r="G175" s="122"/>
      <c r="H175" s="78"/>
      <c r="I175" s="121"/>
      <c r="J175" s="115">
        <f>'BOLETIM DE MEDIÇÃO 02'!O167-'MEMORIAL DE CALCULO 01'!K175</f>
        <v>0</v>
      </c>
      <c r="K175" s="97"/>
      <c r="L175" s="98">
        <f t="shared" si="5"/>
        <v>0</v>
      </c>
      <c r="M175" s="98">
        <f>'BOLETIM DE MEDIÇÃO 02'!G167</f>
        <v>2</v>
      </c>
      <c r="N175" s="102">
        <f t="shared" si="6"/>
        <v>2</v>
      </c>
    </row>
    <row r="176" spans="2:14" ht="56.25" hidden="1" x14ac:dyDescent="0.25">
      <c r="B176" s="53" t="s">
        <v>458</v>
      </c>
      <c r="C176" s="69">
        <v>86942</v>
      </c>
      <c r="D176" s="56" t="s">
        <v>460</v>
      </c>
      <c r="E176" s="47" t="s">
        <v>166</v>
      </c>
      <c r="F176" s="111"/>
      <c r="G176" s="122"/>
      <c r="H176" s="78"/>
      <c r="I176" s="121"/>
      <c r="J176" s="115">
        <f>'BOLETIM DE MEDIÇÃO 02'!O168-'MEMORIAL DE CALCULO 01'!K176</f>
        <v>0</v>
      </c>
      <c r="K176" s="97"/>
      <c r="L176" s="98">
        <f t="shared" si="5"/>
        <v>0</v>
      </c>
      <c r="M176" s="98">
        <f>'BOLETIM DE MEDIÇÃO 02'!G168</f>
        <v>1</v>
      </c>
      <c r="N176" s="102">
        <f t="shared" si="6"/>
        <v>1</v>
      </c>
    </row>
    <row r="177" spans="2:14" ht="56.25" hidden="1" x14ac:dyDescent="0.25">
      <c r="B177" s="53" t="s">
        <v>461</v>
      </c>
      <c r="C177" s="69">
        <v>86923</v>
      </c>
      <c r="D177" s="56" t="s">
        <v>463</v>
      </c>
      <c r="E177" s="47" t="s">
        <v>166</v>
      </c>
      <c r="F177" s="111"/>
      <c r="G177" s="122"/>
      <c r="H177" s="78"/>
      <c r="I177" s="121"/>
      <c r="J177" s="115">
        <f>'BOLETIM DE MEDIÇÃO 02'!O169-'MEMORIAL DE CALCULO 01'!K177</f>
        <v>0</v>
      </c>
      <c r="K177" s="97"/>
      <c r="L177" s="98">
        <f t="shared" si="5"/>
        <v>0</v>
      </c>
      <c r="M177" s="98">
        <f>'BOLETIM DE MEDIÇÃO 02'!G169</f>
        <v>1</v>
      </c>
      <c r="N177" s="102">
        <f t="shared" si="6"/>
        <v>1</v>
      </c>
    </row>
    <row r="178" spans="2:14" ht="45" hidden="1" x14ac:dyDescent="0.25">
      <c r="B178" s="53" t="s">
        <v>464</v>
      </c>
      <c r="C178" s="69">
        <v>95472</v>
      </c>
      <c r="D178" s="56" t="s">
        <v>466</v>
      </c>
      <c r="E178" s="47" t="s">
        <v>166</v>
      </c>
      <c r="F178" s="111"/>
      <c r="G178" s="122"/>
      <c r="H178" s="78"/>
      <c r="I178" s="121"/>
      <c r="J178" s="115">
        <f>'BOLETIM DE MEDIÇÃO 02'!O170-'MEMORIAL DE CALCULO 01'!K178</f>
        <v>0</v>
      </c>
      <c r="K178" s="97"/>
      <c r="L178" s="98">
        <f t="shared" si="5"/>
        <v>0</v>
      </c>
      <c r="M178" s="98">
        <f>'BOLETIM DE MEDIÇÃO 02'!G170</f>
        <v>1</v>
      </c>
      <c r="N178" s="102">
        <f t="shared" si="6"/>
        <v>1</v>
      </c>
    </row>
    <row r="179" spans="2:14" ht="33.75" hidden="1" x14ac:dyDescent="0.25">
      <c r="B179" s="53" t="s">
        <v>467</v>
      </c>
      <c r="C179" s="69">
        <v>102253</v>
      </c>
      <c r="D179" s="56" t="s">
        <v>469</v>
      </c>
      <c r="E179" s="47" t="s">
        <v>17</v>
      </c>
      <c r="F179" s="111"/>
      <c r="G179" s="122"/>
      <c r="H179" s="78"/>
      <c r="I179" s="121"/>
      <c r="J179" s="115">
        <f>'BOLETIM DE MEDIÇÃO 02'!O171-'MEMORIAL DE CALCULO 01'!K179</f>
        <v>0</v>
      </c>
      <c r="K179" s="97"/>
      <c r="L179" s="98">
        <f t="shared" si="5"/>
        <v>0</v>
      </c>
      <c r="M179" s="98">
        <f>'BOLETIM DE MEDIÇÃO 02'!G171</f>
        <v>33.92</v>
      </c>
      <c r="N179" s="102">
        <f t="shared" si="6"/>
        <v>33.92</v>
      </c>
    </row>
    <row r="180" spans="2:14" ht="22.5" hidden="1" x14ac:dyDescent="0.25">
      <c r="B180" s="53" t="s">
        <v>470</v>
      </c>
      <c r="C180" s="69">
        <v>100860</v>
      </c>
      <c r="D180" s="56" t="s">
        <v>472</v>
      </c>
      <c r="E180" s="47" t="s">
        <v>166</v>
      </c>
      <c r="F180" s="111"/>
      <c r="G180" s="122"/>
      <c r="H180" s="78"/>
      <c r="I180" s="121"/>
      <c r="J180" s="115">
        <f>'BOLETIM DE MEDIÇÃO 02'!O172-'MEMORIAL DE CALCULO 01'!K180</f>
        <v>0</v>
      </c>
      <c r="K180" s="97"/>
      <c r="L180" s="98">
        <f t="shared" si="5"/>
        <v>0</v>
      </c>
      <c r="M180" s="98">
        <f>'BOLETIM DE MEDIÇÃO 02'!G172</f>
        <v>4</v>
      </c>
      <c r="N180" s="102">
        <f t="shared" si="6"/>
        <v>4</v>
      </c>
    </row>
    <row r="181" spans="2:14" ht="22.5" x14ac:dyDescent="0.25">
      <c r="B181" s="53"/>
      <c r="C181" s="69"/>
      <c r="D181" s="56" t="s">
        <v>576</v>
      </c>
      <c r="E181" s="47"/>
      <c r="F181" s="111">
        <v>1</v>
      </c>
      <c r="G181" s="122"/>
      <c r="H181" s="78"/>
      <c r="I181" s="121"/>
      <c r="J181" s="115"/>
      <c r="K181" s="97"/>
      <c r="L181" s="98"/>
      <c r="M181" s="98"/>
      <c r="N181" s="102"/>
    </row>
    <row r="182" spans="2:14" ht="14.45" customHeight="1" x14ac:dyDescent="0.25">
      <c r="B182" s="54">
        <v>1.1499999999999999</v>
      </c>
      <c r="C182" s="68" t="s">
        <v>474</v>
      </c>
      <c r="D182" s="56"/>
      <c r="E182" s="47"/>
      <c r="F182" s="111"/>
      <c r="G182" s="122"/>
      <c r="H182" s="78"/>
      <c r="I182" s="121"/>
      <c r="J182" s="115"/>
      <c r="K182" s="97"/>
      <c r="L182" s="98"/>
      <c r="M182" s="98"/>
      <c r="N182" s="102"/>
    </row>
    <row r="183" spans="2:14" ht="33.75" x14ac:dyDescent="0.25">
      <c r="B183" s="53" t="s">
        <v>475</v>
      </c>
      <c r="C183" s="69">
        <v>99059</v>
      </c>
      <c r="D183" s="56" t="s">
        <v>36</v>
      </c>
      <c r="E183" s="47" t="s">
        <v>37</v>
      </c>
      <c r="F183" s="111">
        <v>1</v>
      </c>
      <c r="G183" s="122">
        <v>130.85</v>
      </c>
      <c r="H183" s="78"/>
      <c r="I183" s="121"/>
      <c r="J183" s="115">
        <f>'BOLETIM DE MEDIÇÃO 02'!O174-'MEMORIAL DE CALCULO 01'!K183</f>
        <v>0</v>
      </c>
      <c r="K183" s="97">
        <f>F183*G183</f>
        <v>130.85</v>
      </c>
      <c r="L183" s="98">
        <f t="shared" si="5"/>
        <v>130.85</v>
      </c>
      <c r="M183" s="98">
        <f>'BOLETIM DE MEDIÇÃO 02'!G174</f>
        <v>130.85</v>
      </c>
      <c r="N183" s="102">
        <f t="shared" si="6"/>
        <v>0</v>
      </c>
    </row>
    <row r="184" spans="2:14" ht="22.5" x14ac:dyDescent="0.25">
      <c r="B184" s="53" t="s">
        <v>476</v>
      </c>
      <c r="C184" s="69">
        <v>93358</v>
      </c>
      <c r="D184" s="56" t="s">
        <v>40</v>
      </c>
      <c r="E184" s="47" t="s">
        <v>41</v>
      </c>
      <c r="F184" s="111"/>
      <c r="G184" s="122"/>
      <c r="H184" s="78"/>
      <c r="I184" s="121"/>
      <c r="J184" s="115">
        <f>'BOLETIM DE MEDIÇÃO 02'!O175-'MEMORIAL DE CALCULO 01'!K184</f>
        <v>3.9520000000052846E-3</v>
      </c>
      <c r="K184" s="97">
        <f>SUM(K185:K186)</f>
        <v>32.676047999999994</v>
      </c>
      <c r="L184" s="98">
        <f t="shared" si="5"/>
        <v>32.68</v>
      </c>
      <c r="M184" s="98">
        <f>'BOLETIM DE MEDIÇÃO 02'!G175</f>
        <v>32.68</v>
      </c>
      <c r="N184" s="102">
        <f t="shared" si="6"/>
        <v>0</v>
      </c>
    </row>
    <row r="185" spans="2:14" x14ac:dyDescent="0.25">
      <c r="B185" s="53"/>
      <c r="C185" s="69"/>
      <c r="D185" s="142" t="s">
        <v>577</v>
      </c>
      <c r="E185" s="47"/>
      <c r="F185" s="111">
        <v>43</v>
      </c>
      <c r="G185" s="122">
        <v>0.6</v>
      </c>
      <c r="H185" s="78">
        <v>0.6</v>
      </c>
      <c r="I185" s="121">
        <v>1.3501000000000001</v>
      </c>
      <c r="J185" s="115"/>
      <c r="K185" s="98">
        <f>F185*(G185*H185*I185)</f>
        <v>20.899547999999999</v>
      </c>
      <c r="L185" s="98"/>
      <c r="M185" s="98"/>
      <c r="N185" s="102"/>
    </row>
    <row r="186" spans="2:14" x14ac:dyDescent="0.25">
      <c r="B186" s="53"/>
      <c r="C186" s="69"/>
      <c r="D186" s="142" t="s">
        <v>578</v>
      </c>
      <c r="E186" s="47"/>
      <c r="F186" s="111">
        <v>1</v>
      </c>
      <c r="G186" s="122">
        <v>130.85</v>
      </c>
      <c r="H186" s="78">
        <v>0.3</v>
      </c>
      <c r="I186" s="121">
        <v>0.3</v>
      </c>
      <c r="J186" s="115"/>
      <c r="K186" s="98">
        <f>F186*(G186*H186*I186)</f>
        <v>11.776499999999999</v>
      </c>
      <c r="L186" s="98"/>
      <c r="M186" s="98"/>
      <c r="N186" s="102"/>
    </row>
    <row r="187" spans="2:14" hidden="1" x14ac:dyDescent="0.25">
      <c r="B187" s="104" t="s">
        <v>477</v>
      </c>
      <c r="C187" s="105">
        <v>96995</v>
      </c>
      <c r="D187" s="106" t="s">
        <v>44</v>
      </c>
      <c r="E187" s="47" t="s">
        <v>41</v>
      </c>
      <c r="F187" s="111"/>
      <c r="G187" s="122"/>
      <c r="H187" s="78"/>
      <c r="I187" s="121"/>
      <c r="J187" s="115">
        <f>'BOLETIM DE MEDIÇÃO 02'!O176-'MEMORIAL DE CALCULO 01'!K187</f>
        <v>11.01</v>
      </c>
      <c r="K187" s="97"/>
      <c r="L187" s="98">
        <f t="shared" si="5"/>
        <v>11.01</v>
      </c>
      <c r="M187" s="98">
        <f>'BOLETIM DE MEDIÇÃO 02'!G176</f>
        <v>11.01</v>
      </c>
      <c r="N187" s="102">
        <f t="shared" si="6"/>
        <v>0</v>
      </c>
    </row>
    <row r="188" spans="2:14" ht="22.5" hidden="1" x14ac:dyDescent="0.25">
      <c r="B188" s="53" t="s">
        <v>478</v>
      </c>
      <c r="C188" s="69">
        <v>93205</v>
      </c>
      <c r="D188" s="56" t="s">
        <v>480</v>
      </c>
      <c r="E188" s="47" t="s">
        <v>37</v>
      </c>
      <c r="F188" s="111"/>
      <c r="G188" s="122"/>
      <c r="H188" s="78"/>
      <c r="I188" s="121"/>
      <c r="J188" s="115">
        <f>'BOLETIM DE MEDIÇÃO 02'!O177-'MEMORIAL DE CALCULO 01'!K188</f>
        <v>0</v>
      </c>
      <c r="K188" s="97"/>
      <c r="L188" s="98">
        <f t="shared" si="5"/>
        <v>0</v>
      </c>
      <c r="M188" s="98">
        <f>'BOLETIM DE MEDIÇÃO 02'!G177</f>
        <v>244.5</v>
      </c>
      <c r="N188" s="102">
        <f t="shared" si="6"/>
        <v>244.5</v>
      </c>
    </row>
    <row r="189" spans="2:14" hidden="1" x14ac:dyDescent="0.25">
      <c r="B189" s="53"/>
      <c r="C189" s="69"/>
      <c r="D189" s="142" t="s">
        <v>590</v>
      </c>
      <c r="E189" s="47"/>
      <c r="F189" s="111">
        <v>35</v>
      </c>
      <c r="G189" s="122">
        <v>0.6</v>
      </c>
      <c r="H189" s="78">
        <v>0.6</v>
      </c>
      <c r="I189" s="121">
        <v>0.25</v>
      </c>
      <c r="J189" s="115"/>
      <c r="K189" s="97"/>
      <c r="L189" s="98"/>
      <c r="M189" s="98"/>
      <c r="N189" s="102"/>
    </row>
    <row r="190" spans="2:14" hidden="1" x14ac:dyDescent="0.25">
      <c r="B190" s="53"/>
      <c r="C190" s="69"/>
      <c r="D190" s="142" t="s">
        <v>591</v>
      </c>
      <c r="E190" s="47"/>
      <c r="F190" s="111">
        <v>35</v>
      </c>
      <c r="G190" s="122"/>
      <c r="H190" s="78"/>
      <c r="I190" s="121"/>
      <c r="J190" s="115"/>
      <c r="K190" s="97"/>
      <c r="L190" s="98"/>
      <c r="M190" s="98"/>
      <c r="N190" s="102"/>
    </row>
    <row r="191" spans="2:14" ht="22.5" x14ac:dyDescent="0.25">
      <c r="B191" s="53" t="s">
        <v>481</v>
      </c>
      <c r="C191" s="69">
        <v>101616</v>
      </c>
      <c r="D191" s="56" t="s">
        <v>55</v>
      </c>
      <c r="E191" s="47" t="s">
        <v>17</v>
      </c>
      <c r="F191" s="111">
        <v>35</v>
      </c>
      <c r="G191" s="122">
        <v>0.6</v>
      </c>
      <c r="H191" s="78">
        <v>0.6</v>
      </c>
      <c r="I191" s="121"/>
      <c r="J191" s="115">
        <f>'BOLETIM DE MEDIÇÃO 02'!O178-'MEMORIAL DE CALCULO 01'!K191</f>
        <v>2.8800000000000008</v>
      </c>
      <c r="K191" s="97">
        <f>F191*(G191*H191)</f>
        <v>12.6</v>
      </c>
      <c r="L191" s="98">
        <f t="shared" si="5"/>
        <v>15.48</v>
      </c>
      <c r="M191" s="98">
        <f>'BOLETIM DE MEDIÇÃO 02'!G178</f>
        <v>15.48</v>
      </c>
      <c r="N191" s="102">
        <f t="shared" si="6"/>
        <v>0</v>
      </c>
    </row>
    <row r="192" spans="2:14" ht="33.75" x14ac:dyDescent="0.25">
      <c r="B192" s="53" t="s">
        <v>482</v>
      </c>
      <c r="C192" s="69">
        <v>96619</v>
      </c>
      <c r="D192" s="56" t="s">
        <v>58</v>
      </c>
      <c r="E192" s="47" t="s">
        <v>17</v>
      </c>
      <c r="F192" s="111">
        <v>35</v>
      </c>
      <c r="G192" s="122">
        <v>0.6</v>
      </c>
      <c r="H192" s="78">
        <v>0.6</v>
      </c>
      <c r="I192" s="121"/>
      <c r="J192" s="115">
        <f>'BOLETIM DE MEDIÇÃO 02'!O179-'MEMORIAL DE CALCULO 01'!K192</f>
        <v>2.8800000000000008</v>
      </c>
      <c r="K192" s="97">
        <f>F192*(G192*H192)</f>
        <v>12.6</v>
      </c>
      <c r="L192" s="98">
        <f t="shared" si="5"/>
        <v>15.48</v>
      </c>
      <c r="M192" s="98">
        <f>'BOLETIM DE MEDIÇÃO 02'!G179</f>
        <v>15.48</v>
      </c>
      <c r="N192" s="102">
        <f t="shared" si="6"/>
        <v>0</v>
      </c>
    </row>
    <row r="193" spans="1:14" ht="22.5" x14ac:dyDescent="0.25">
      <c r="B193" s="53" t="s">
        <v>483</v>
      </c>
      <c r="C193" s="71">
        <v>96545</v>
      </c>
      <c r="D193" s="70" t="s">
        <v>61</v>
      </c>
      <c r="E193" s="47" t="s">
        <v>62</v>
      </c>
      <c r="F193" s="111"/>
      <c r="G193" s="122"/>
      <c r="H193" s="47"/>
      <c r="I193" s="121"/>
      <c r="J193" s="115">
        <f>'BOLETIM DE MEDIÇÃO 02'!O180-'MEMORIAL DE CALCULO 01'!K193</f>
        <v>33.430000000000007</v>
      </c>
      <c r="K193" s="97">
        <f>G194</f>
        <v>133.69999999999999</v>
      </c>
      <c r="L193" s="98">
        <f t="shared" si="5"/>
        <v>167.13</v>
      </c>
      <c r="M193" s="98">
        <f>'BOLETIM DE MEDIÇÃO 02'!G180</f>
        <v>167.13</v>
      </c>
      <c r="N193" s="102">
        <f t="shared" si="6"/>
        <v>0</v>
      </c>
    </row>
    <row r="194" spans="1:14" x14ac:dyDescent="0.25">
      <c r="B194" s="53"/>
      <c r="C194" s="71"/>
      <c r="D194" s="141" t="s">
        <v>589</v>
      </c>
      <c r="E194" s="47"/>
      <c r="F194" s="111">
        <v>1</v>
      </c>
      <c r="G194" s="122">
        <v>133.69999999999999</v>
      </c>
      <c r="H194" s="47"/>
      <c r="I194" s="121"/>
      <c r="J194" s="115"/>
      <c r="K194" s="97"/>
      <c r="L194" s="98"/>
      <c r="M194" s="98"/>
      <c r="N194" s="102"/>
    </row>
    <row r="195" spans="1:14" ht="33.75" x14ac:dyDescent="0.25">
      <c r="B195" s="53" t="s">
        <v>484</v>
      </c>
      <c r="C195" s="71">
        <v>94966</v>
      </c>
      <c r="D195" s="70" t="s">
        <v>65</v>
      </c>
      <c r="E195" s="47" t="s">
        <v>41</v>
      </c>
      <c r="F195" s="111"/>
      <c r="G195" s="122"/>
      <c r="H195" s="47"/>
      <c r="I195" s="121"/>
      <c r="J195" s="115">
        <f>'BOLETIM DE MEDIÇÃO 02'!O181-'MEMORIAL DE CALCULO 01'!K195</f>
        <v>1.04</v>
      </c>
      <c r="K195" s="97">
        <f>SUM(K196:K197)</f>
        <v>4.5500000000000007</v>
      </c>
      <c r="L195" s="98">
        <f t="shared" si="5"/>
        <v>5.5900000000000007</v>
      </c>
      <c r="M195" s="98">
        <f>'BOLETIM DE MEDIÇÃO 02'!G181</f>
        <v>9.89</v>
      </c>
      <c r="N195" s="102">
        <f t="shared" si="6"/>
        <v>4.3</v>
      </c>
    </row>
    <row r="196" spans="1:14" x14ac:dyDescent="0.25">
      <c r="B196" s="53"/>
      <c r="C196" s="71"/>
      <c r="D196" s="141" t="s">
        <v>579</v>
      </c>
      <c r="E196" s="47"/>
      <c r="F196" s="111">
        <v>35</v>
      </c>
      <c r="G196" s="153">
        <v>0.6</v>
      </c>
      <c r="H196" s="72">
        <v>0.6</v>
      </c>
      <c r="I196" s="121">
        <v>0.25</v>
      </c>
      <c r="J196" s="115"/>
      <c r="K196" s="97">
        <f>F196*(G196*H196*I196)</f>
        <v>3.15</v>
      </c>
      <c r="L196" s="98"/>
      <c r="M196" s="98"/>
      <c r="N196" s="102"/>
    </row>
    <row r="197" spans="1:14" x14ac:dyDescent="0.25">
      <c r="B197" s="53"/>
      <c r="C197" s="71"/>
      <c r="D197" s="141" t="s">
        <v>580</v>
      </c>
      <c r="E197" s="47"/>
      <c r="F197" s="154">
        <v>35</v>
      </c>
      <c r="G197" s="155">
        <v>0.2</v>
      </c>
      <c r="H197" s="72">
        <v>0.2</v>
      </c>
      <c r="I197" s="147">
        <v>1</v>
      </c>
      <c r="J197" s="115"/>
      <c r="K197" s="97">
        <f>F197*(G197*H197*I197)</f>
        <v>1.4000000000000004</v>
      </c>
      <c r="L197" s="98"/>
      <c r="M197" s="98"/>
      <c r="N197" s="102"/>
    </row>
    <row r="198" spans="1:14" x14ac:dyDescent="0.25">
      <c r="B198" s="53"/>
      <c r="C198" s="71"/>
      <c r="D198" s="70"/>
      <c r="E198" s="47"/>
      <c r="F198" s="111"/>
      <c r="G198" s="122"/>
      <c r="H198" s="47"/>
      <c r="I198" s="121"/>
      <c r="J198" s="115"/>
      <c r="K198" s="97"/>
      <c r="L198" s="98"/>
      <c r="M198" s="98"/>
      <c r="N198" s="102"/>
    </row>
    <row r="199" spans="1:14" ht="33.75" x14ac:dyDescent="0.25">
      <c r="B199" s="53" t="s">
        <v>485</v>
      </c>
      <c r="C199" s="69">
        <v>103800</v>
      </c>
      <c r="D199" s="56" t="s">
        <v>487</v>
      </c>
      <c r="E199" s="47" t="s">
        <v>41</v>
      </c>
      <c r="F199" s="111">
        <v>1</v>
      </c>
      <c r="G199" s="122">
        <v>25</v>
      </c>
      <c r="H199" s="78">
        <v>0.3</v>
      </c>
      <c r="I199" s="121">
        <v>0.3</v>
      </c>
      <c r="J199" s="115">
        <f>'BOLETIM DE MEDIÇÃO 02'!O182-'MEMORIAL DE CALCULO 01'!K199</f>
        <v>9.5300000000000011</v>
      </c>
      <c r="K199" s="97">
        <f>F199*(G199*H199*I199)</f>
        <v>2.25</v>
      </c>
      <c r="L199" s="98">
        <f t="shared" si="5"/>
        <v>11.780000000000001</v>
      </c>
      <c r="M199" s="98">
        <f>'BOLETIM DE MEDIÇÃO 02'!G182</f>
        <v>11.78</v>
      </c>
      <c r="N199" s="102">
        <f t="shared" si="6"/>
        <v>0</v>
      </c>
    </row>
    <row r="200" spans="1:14" ht="22.5" x14ac:dyDescent="0.25">
      <c r="B200" s="53" t="s">
        <v>488</v>
      </c>
      <c r="C200" s="69">
        <v>103670</v>
      </c>
      <c r="D200" s="56" t="s">
        <v>71</v>
      </c>
      <c r="E200" s="47" t="s">
        <v>41</v>
      </c>
      <c r="F200" s="111"/>
      <c r="G200" s="122"/>
      <c r="H200" s="78"/>
      <c r="I200" s="121"/>
      <c r="J200" s="115">
        <f>'BOLETIM DE MEDIÇÃO 02'!O183-'MEMORIAL DE CALCULO 01'!K200</f>
        <v>1.04</v>
      </c>
      <c r="K200" s="97">
        <f>G201</f>
        <v>4.5500000000000007</v>
      </c>
      <c r="L200" s="98">
        <f t="shared" si="5"/>
        <v>5.5900000000000007</v>
      </c>
      <c r="M200" s="98">
        <f>'BOLETIM DE MEDIÇÃO 02'!G183</f>
        <v>9.89</v>
      </c>
      <c r="N200" s="102">
        <f t="shared" si="6"/>
        <v>4.3</v>
      </c>
    </row>
    <row r="201" spans="1:14" x14ac:dyDescent="0.25">
      <c r="B201" s="53"/>
      <c r="C201" s="69"/>
      <c r="D201" s="142" t="s">
        <v>581</v>
      </c>
      <c r="E201" s="47"/>
      <c r="F201" s="111">
        <v>1</v>
      </c>
      <c r="G201" s="236">
        <f>K195</f>
        <v>4.5500000000000007</v>
      </c>
      <c r="H201" s="237"/>
      <c r="I201" s="238"/>
      <c r="J201" s="115"/>
      <c r="K201" s="97"/>
      <c r="L201" s="98"/>
      <c r="M201" s="98"/>
      <c r="N201" s="102"/>
    </row>
    <row r="202" spans="1:14" ht="22.5" x14ac:dyDescent="0.25">
      <c r="B202" s="53" t="s">
        <v>489</v>
      </c>
      <c r="C202" s="69">
        <v>96543</v>
      </c>
      <c r="D202" s="56" t="s">
        <v>74</v>
      </c>
      <c r="E202" s="47" t="s">
        <v>62</v>
      </c>
      <c r="F202" s="111"/>
      <c r="G202" s="122" t="s">
        <v>583</v>
      </c>
      <c r="H202" s="78" t="s">
        <v>584</v>
      </c>
      <c r="I202" s="121" t="s">
        <v>585</v>
      </c>
      <c r="J202" s="115">
        <f>'BOLETIM DE MEDIÇÃO 02'!O184-'MEMORIAL DE CALCULO 01'!K202</f>
        <v>9.6342399999999984</v>
      </c>
      <c r="K202" s="97">
        <f>K203</f>
        <v>42.149799999999992</v>
      </c>
      <c r="L202" s="98">
        <f t="shared" si="5"/>
        <v>51.78403999999999</v>
      </c>
      <c r="M202" s="98">
        <f>'BOLETIM DE MEDIÇÃO 02'!G184</f>
        <v>162.02000000000001</v>
      </c>
      <c r="N202" s="102">
        <f t="shared" si="6"/>
        <v>110.23596000000002</v>
      </c>
    </row>
    <row r="203" spans="1:14" x14ac:dyDescent="0.25">
      <c r="B203" s="53"/>
      <c r="C203" s="69"/>
      <c r="D203" s="141" t="s">
        <v>582</v>
      </c>
      <c r="E203" s="47"/>
      <c r="F203" s="111">
        <v>35</v>
      </c>
      <c r="G203" s="122">
        <v>0.68</v>
      </c>
      <c r="H203" s="78">
        <v>0.1</v>
      </c>
      <c r="I203" s="121">
        <v>1.1499999999999999</v>
      </c>
      <c r="J203" s="161"/>
      <c r="K203" s="67">
        <f>(I203/H203)*G203*0.154*F203</f>
        <v>42.149799999999992</v>
      </c>
      <c r="L203" s="98"/>
      <c r="M203" s="98"/>
      <c r="N203" s="102"/>
    </row>
    <row r="204" spans="1:14" ht="19.899999999999999" customHeight="1" x14ac:dyDescent="0.25">
      <c r="B204" s="53" t="s">
        <v>490</v>
      </c>
      <c r="C204" s="71">
        <v>96546</v>
      </c>
      <c r="D204" s="70" t="s">
        <v>80</v>
      </c>
      <c r="E204" s="47" t="s">
        <v>62</v>
      </c>
      <c r="F204" s="111"/>
      <c r="G204" s="236" t="s">
        <v>586</v>
      </c>
      <c r="H204" s="239"/>
      <c r="I204" s="146" t="s">
        <v>587</v>
      </c>
      <c r="J204" s="115">
        <f>'BOLETIM DE MEDIÇÃO 02'!O185-'MEMORIAL DE CALCULO 01'!K204</f>
        <v>22.70559999999999</v>
      </c>
      <c r="K204" s="97">
        <f>K205</f>
        <v>99.337000000000003</v>
      </c>
      <c r="L204" s="98">
        <f t="shared" si="5"/>
        <v>122.04259999999999</v>
      </c>
      <c r="M204" s="98">
        <f>'BOLETIM DE MEDIÇÃO 02'!G185</f>
        <v>377.8</v>
      </c>
      <c r="N204" s="102">
        <f t="shared" si="6"/>
        <v>255.75740000000002</v>
      </c>
    </row>
    <row r="205" spans="1:14" ht="19.899999999999999" customHeight="1" x14ac:dyDescent="0.25">
      <c r="B205" s="143"/>
      <c r="C205" s="144"/>
      <c r="D205" s="141" t="s">
        <v>582</v>
      </c>
      <c r="E205" s="47"/>
      <c r="F205" s="111">
        <v>35</v>
      </c>
      <c r="G205" s="236">
        <v>4</v>
      </c>
      <c r="H205" s="239"/>
      <c r="I205" s="121">
        <v>1.1499999999999999</v>
      </c>
      <c r="J205" s="161"/>
      <c r="K205" s="67">
        <f>I205*G205*F205*0.617</f>
        <v>99.337000000000003</v>
      </c>
      <c r="L205" s="98"/>
      <c r="M205" s="98"/>
      <c r="N205" s="102"/>
    </row>
    <row r="206" spans="1:14" ht="34.5" thickBot="1" x14ac:dyDescent="0.3">
      <c r="B206" s="143" t="s">
        <v>491</v>
      </c>
      <c r="C206" s="148">
        <v>96536</v>
      </c>
      <c r="D206" s="88" t="s">
        <v>86</v>
      </c>
      <c r="E206" s="89" t="s">
        <v>17</v>
      </c>
      <c r="F206" s="156"/>
      <c r="G206" s="157"/>
      <c r="H206" s="158"/>
      <c r="I206" s="121"/>
      <c r="J206" s="115">
        <f>'BOLETIM DE MEDIÇÃO 02'!O186-'MEMORIAL DE CALCULO 01'!K206</f>
        <v>12.159999999999997</v>
      </c>
      <c r="K206" s="97">
        <f>SUM(K207:K208)</f>
        <v>53.2</v>
      </c>
      <c r="L206" s="98">
        <f t="shared" si="5"/>
        <v>65.36</v>
      </c>
      <c r="M206" s="98">
        <f>'BOLETIM DE MEDIÇÃO 02'!G186</f>
        <v>149.6</v>
      </c>
      <c r="N206" s="102">
        <f t="shared" si="6"/>
        <v>84.24</v>
      </c>
    </row>
    <row r="207" spans="1:14" x14ac:dyDescent="0.25">
      <c r="A207" s="93"/>
      <c r="B207" s="53"/>
      <c r="C207" s="71"/>
      <c r="D207" s="141" t="s">
        <v>588</v>
      </c>
      <c r="E207" s="47"/>
      <c r="F207" s="111">
        <v>35</v>
      </c>
      <c r="G207" s="122">
        <v>0.6</v>
      </c>
      <c r="H207" s="145">
        <v>0.6</v>
      </c>
      <c r="I207" s="151">
        <v>0.3</v>
      </c>
      <c r="J207" s="161"/>
      <c r="K207" s="67">
        <f>((G207*I207*2)+(H207*I207*2))*F207</f>
        <v>25.2</v>
      </c>
      <c r="L207" s="98"/>
      <c r="M207" s="98"/>
      <c r="N207" s="102"/>
    </row>
    <row r="208" spans="1:14" ht="15.75" thickBot="1" x14ac:dyDescent="0.3">
      <c r="A208" s="93"/>
      <c r="B208" s="86"/>
      <c r="C208" s="149"/>
      <c r="D208" s="150" t="s">
        <v>582</v>
      </c>
      <c r="E208" s="89"/>
      <c r="F208" s="159">
        <v>35</v>
      </c>
      <c r="G208" s="160">
        <v>0.2</v>
      </c>
      <c r="H208" s="131">
        <v>0.2</v>
      </c>
      <c r="I208" s="123">
        <v>1</v>
      </c>
      <c r="J208" s="161"/>
      <c r="K208" s="92">
        <f>((G208*I208*2)+(H208*I208*2))*F208</f>
        <v>28</v>
      </c>
      <c r="L208" s="100"/>
      <c r="M208" s="100"/>
      <c r="N208" s="103"/>
    </row>
    <row r="209" spans="2:14" ht="22.5" hidden="1" x14ac:dyDescent="0.25">
      <c r="B209" s="127" t="s">
        <v>492</v>
      </c>
      <c r="C209" s="128">
        <v>98557</v>
      </c>
      <c r="D209" s="129" t="s">
        <v>89</v>
      </c>
      <c r="E209" s="130" t="s">
        <v>17</v>
      </c>
      <c r="F209" s="116"/>
      <c r="G209" s="116"/>
      <c r="H209" s="116"/>
      <c r="I209" s="117"/>
      <c r="J209" s="117">
        <f>'BOLETIM DE MEDIÇÃO 02'!O187-'MEMORIAL DE CALCULO 01'!K209</f>
        <v>0</v>
      </c>
      <c r="K209" s="124"/>
      <c r="L209" s="125">
        <f t="shared" si="5"/>
        <v>0</v>
      </c>
      <c r="M209" s="125">
        <f>'BOLETIM DE MEDIÇÃO 02'!G187</f>
        <v>65.430000000000007</v>
      </c>
      <c r="N209" s="126">
        <f t="shared" si="6"/>
        <v>65.430000000000007</v>
      </c>
    </row>
    <row r="210" spans="2:14" ht="45" hidden="1" x14ac:dyDescent="0.25">
      <c r="B210" s="53" t="s">
        <v>493</v>
      </c>
      <c r="C210" s="69">
        <v>103356</v>
      </c>
      <c r="D210" s="56" t="s">
        <v>137</v>
      </c>
      <c r="E210" s="47" t="s">
        <v>17</v>
      </c>
      <c r="F210" s="32"/>
      <c r="G210" s="32"/>
      <c r="H210" s="32"/>
      <c r="I210" s="67"/>
      <c r="J210" s="67">
        <f>'BOLETIM DE MEDIÇÃO 02'!O188-'MEMORIAL DE CALCULO 01'!K210</f>
        <v>0</v>
      </c>
      <c r="K210" s="48"/>
      <c r="L210" s="98">
        <f t="shared" si="5"/>
        <v>0</v>
      </c>
      <c r="M210" s="98">
        <f>'BOLETIM DE MEDIÇÃO 02'!G188</f>
        <v>405.64</v>
      </c>
      <c r="N210" s="102">
        <f t="shared" si="6"/>
        <v>405.64</v>
      </c>
    </row>
    <row r="211" spans="2:14" ht="45" hidden="1" x14ac:dyDescent="0.25">
      <c r="B211" s="53" t="s">
        <v>494</v>
      </c>
      <c r="C211" s="69">
        <v>87893</v>
      </c>
      <c r="D211" s="56" t="s">
        <v>151</v>
      </c>
      <c r="E211" s="47" t="s">
        <v>17</v>
      </c>
      <c r="F211" s="32"/>
      <c r="G211" s="32"/>
      <c r="H211" s="32"/>
      <c r="I211" s="67"/>
      <c r="J211" s="67">
        <f>'BOLETIM DE MEDIÇÃO 02'!O189-'MEMORIAL DE CALCULO 01'!K211</f>
        <v>0</v>
      </c>
      <c r="K211" s="48"/>
      <c r="L211" s="98">
        <f t="shared" si="5"/>
        <v>0</v>
      </c>
      <c r="M211" s="98">
        <f>'BOLETIM DE MEDIÇÃO 02'!G189</f>
        <v>811.27</v>
      </c>
      <c r="N211" s="102">
        <f t="shared" si="6"/>
        <v>811.27</v>
      </c>
    </row>
    <row r="212" spans="2:14" ht="45" hidden="1" x14ac:dyDescent="0.25">
      <c r="B212" s="53" t="s">
        <v>495</v>
      </c>
      <c r="C212" s="69">
        <v>87548</v>
      </c>
      <c r="D212" s="56" t="s">
        <v>154</v>
      </c>
      <c r="E212" s="47" t="s">
        <v>17</v>
      </c>
      <c r="F212" s="32"/>
      <c r="G212" s="32"/>
      <c r="H212" s="32"/>
      <c r="I212" s="67"/>
      <c r="J212" s="67">
        <f>'BOLETIM DE MEDIÇÃO 02'!O190-'MEMORIAL DE CALCULO 01'!K212</f>
        <v>0</v>
      </c>
      <c r="K212" s="48"/>
      <c r="L212" s="98">
        <f t="shared" si="5"/>
        <v>0</v>
      </c>
      <c r="M212" s="98">
        <f>'BOLETIM DE MEDIÇÃO 02'!G190</f>
        <v>811.27</v>
      </c>
      <c r="N212" s="102">
        <f t="shared" si="6"/>
        <v>811.27</v>
      </c>
    </row>
    <row r="213" spans="2:14" ht="22.5" hidden="1" x14ac:dyDescent="0.25">
      <c r="B213" s="53" t="s">
        <v>496</v>
      </c>
      <c r="C213" s="69">
        <v>88489</v>
      </c>
      <c r="D213" s="56" t="s">
        <v>198</v>
      </c>
      <c r="E213" s="47" t="s">
        <v>17</v>
      </c>
      <c r="F213" s="32"/>
      <c r="G213" s="32"/>
      <c r="H213" s="32"/>
      <c r="I213" s="67"/>
      <c r="J213" s="67">
        <f>'BOLETIM DE MEDIÇÃO 02'!O191-'MEMORIAL DE CALCULO 01'!K213</f>
        <v>0</v>
      </c>
      <c r="K213" s="48"/>
      <c r="L213" s="98">
        <f t="shared" si="5"/>
        <v>0</v>
      </c>
      <c r="M213" s="98">
        <f>'BOLETIM DE MEDIÇÃO 02'!G191</f>
        <v>811.27</v>
      </c>
      <c r="N213" s="102">
        <f t="shared" si="6"/>
        <v>811.27</v>
      </c>
    </row>
    <row r="214" spans="2:14" ht="22.5" hidden="1" x14ac:dyDescent="0.25">
      <c r="B214" s="53" t="s">
        <v>497</v>
      </c>
      <c r="C214" s="69">
        <v>95305</v>
      </c>
      <c r="D214" s="56" t="s">
        <v>499</v>
      </c>
      <c r="E214" s="47" t="s">
        <v>17</v>
      </c>
      <c r="F214" s="32"/>
      <c r="G214" s="32"/>
      <c r="H214" s="32"/>
      <c r="I214" s="67"/>
      <c r="J214" s="67">
        <f>'BOLETIM DE MEDIÇÃO 02'!O192-'MEMORIAL DE CALCULO 01'!K214</f>
        <v>0</v>
      </c>
      <c r="K214" s="48"/>
      <c r="L214" s="98">
        <f t="shared" si="5"/>
        <v>0</v>
      </c>
      <c r="M214" s="98">
        <f>'BOLETIM DE MEDIÇÃO 02'!G192</f>
        <v>811.27</v>
      </c>
      <c r="N214" s="102">
        <f t="shared" si="6"/>
        <v>811.27</v>
      </c>
    </row>
    <row r="215" spans="2:14" ht="14.45" hidden="1" customHeight="1" x14ac:dyDescent="0.25">
      <c r="B215" s="54">
        <v>1.1599999999999999</v>
      </c>
      <c r="C215" s="68" t="s">
        <v>501</v>
      </c>
      <c r="D215" s="56"/>
      <c r="E215" s="47"/>
      <c r="F215" s="32"/>
      <c r="G215" s="32"/>
      <c r="H215" s="30"/>
      <c r="I215" s="67"/>
      <c r="J215" s="67"/>
      <c r="K215" s="48"/>
      <c r="L215" s="98"/>
      <c r="M215" s="98"/>
      <c r="N215" s="102"/>
    </row>
    <row r="216" spans="2:14" ht="33.75" hidden="1" x14ac:dyDescent="0.25">
      <c r="B216" s="53" t="s">
        <v>502</v>
      </c>
      <c r="C216" s="62" t="s">
        <v>503</v>
      </c>
      <c r="D216" s="56" t="s">
        <v>504</v>
      </c>
      <c r="E216" s="47" t="s">
        <v>166</v>
      </c>
      <c r="F216" s="32"/>
      <c r="G216" s="32"/>
      <c r="H216" s="32"/>
      <c r="I216" s="67"/>
      <c r="J216" s="67">
        <f>'BOLETIM DE MEDIÇÃO 02'!O194-'MEMORIAL DE CALCULO 01'!K216</f>
        <v>0</v>
      </c>
      <c r="K216" s="48"/>
      <c r="L216" s="98">
        <f t="shared" si="5"/>
        <v>0</v>
      </c>
      <c r="M216" s="98">
        <f>'BOLETIM DE MEDIÇÃO 02'!G194</f>
        <v>2</v>
      </c>
      <c r="N216" s="102">
        <f t="shared" si="6"/>
        <v>2</v>
      </c>
    </row>
    <row r="217" spans="2:14" ht="45.75" hidden="1" thickBot="1" x14ac:dyDescent="0.3">
      <c r="B217" s="86" t="s">
        <v>505</v>
      </c>
      <c r="C217" s="87" t="s">
        <v>506</v>
      </c>
      <c r="D217" s="88" t="s">
        <v>507</v>
      </c>
      <c r="E217" s="89" t="s">
        <v>166</v>
      </c>
      <c r="F217" s="90"/>
      <c r="G217" s="90"/>
      <c r="H217" s="90"/>
      <c r="I217" s="92"/>
      <c r="J217" s="84">
        <f>'BOLETIM DE MEDIÇÃO 02'!O195-'MEMORIAL DE CALCULO 01'!K217</f>
        <v>0</v>
      </c>
      <c r="K217" s="99"/>
      <c r="L217" s="100">
        <f t="shared" si="5"/>
        <v>0</v>
      </c>
      <c r="M217" s="100">
        <f>'BOLETIM DE MEDIÇÃO 02'!G195</f>
        <v>1</v>
      </c>
      <c r="N217" s="103">
        <f t="shared" si="6"/>
        <v>1</v>
      </c>
    </row>
    <row r="218" spans="2:14" x14ac:dyDescent="0.25">
      <c r="J218" s="101"/>
    </row>
    <row r="220" spans="2:14" ht="24" customHeight="1" x14ac:dyDescent="0.25"/>
  </sheetData>
  <mergeCells count="21">
    <mergeCell ref="G201:I201"/>
    <mergeCell ref="G204:H204"/>
    <mergeCell ref="G205:H205"/>
    <mergeCell ref="G10:I10"/>
    <mergeCell ref="J10:N10"/>
    <mergeCell ref="B10:B11"/>
    <mergeCell ref="C10:C11"/>
    <mergeCell ref="D10:D11"/>
    <mergeCell ref="E10:E11"/>
    <mergeCell ref="F10:F11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J8:M8"/>
  </mergeCells>
  <pageMargins left="0.511811024" right="0.511811024" top="0.78740157499999996" bottom="0.78740157499999996" header="0.31496062000000002" footer="0.31496062000000002"/>
  <pageSetup paperSize="9" scale="70" fitToHeight="0" orientation="landscape" r:id="rId1"/>
  <ignoredErrors>
    <ignoredError sqref="K203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A1D0B-7473-4B33-8EE9-8BAF6A9909D7}">
  <sheetPr>
    <pageSetUpPr fitToPage="1"/>
  </sheetPr>
  <dimension ref="A1:U451"/>
  <sheetViews>
    <sheetView view="pageBreakPreview" zoomScale="60" zoomScaleNormal="98" workbookViewId="0">
      <selection activeCell="R9" sqref="R9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12.855468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197" t="s">
        <v>599</v>
      </c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9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201"/>
    </row>
    <row r="4" spans="2:14" ht="16.5" x14ac:dyDescent="0.25">
      <c r="B4" s="206" t="s">
        <v>542</v>
      </c>
      <c r="C4" s="207"/>
      <c r="D4" s="207"/>
      <c r="E4" s="207"/>
      <c r="F4" s="207"/>
      <c r="G4" s="207"/>
      <c r="H4" s="207"/>
      <c r="I4" s="16" t="s">
        <v>544</v>
      </c>
      <c r="J4" s="208">
        <v>1240378.43</v>
      </c>
      <c r="K4" s="209"/>
      <c r="L4" s="209"/>
      <c r="M4" s="209"/>
      <c r="N4" s="203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203"/>
    </row>
    <row r="6" spans="2:14" ht="16.5" x14ac:dyDescent="0.25">
      <c r="B6" s="206" t="s">
        <v>518</v>
      </c>
      <c r="C6" s="207"/>
      <c r="D6" s="210"/>
      <c r="E6" s="211" t="s">
        <v>519</v>
      </c>
      <c r="F6" s="207"/>
      <c r="G6" s="207"/>
      <c r="H6" s="207"/>
      <c r="I6" s="212" t="s">
        <v>592</v>
      </c>
      <c r="J6" s="213"/>
      <c r="K6" s="213"/>
      <c r="L6" s="213"/>
      <c r="M6" s="213"/>
      <c r="N6" s="203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203"/>
    </row>
    <row r="8" spans="2:14" ht="17.25" thickBot="1" x14ac:dyDescent="0.3">
      <c r="B8" s="214">
        <v>45291</v>
      </c>
      <c r="C8" s="215"/>
      <c r="D8" s="23" t="s">
        <v>711</v>
      </c>
      <c r="E8" s="231">
        <f>'BOLETIM DE MEDIÇÃO 02'!E8</f>
        <v>61443.00776244999</v>
      </c>
      <c r="F8" s="232"/>
      <c r="G8" s="233"/>
      <c r="H8" s="234">
        <f>'BOLETIM DE MEDIÇÃO 02'!H8</f>
        <v>66571.964737500035</v>
      </c>
      <c r="I8" s="235"/>
      <c r="J8" s="216" t="s">
        <v>597</v>
      </c>
      <c r="K8" s="217"/>
      <c r="L8" s="217"/>
      <c r="M8" s="217"/>
      <c r="N8" s="205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218" t="s">
        <v>526</v>
      </c>
      <c r="C10" s="218" t="s">
        <v>527</v>
      </c>
      <c r="D10" s="224" t="s">
        <v>528</v>
      </c>
      <c r="E10" s="218" t="s">
        <v>529</v>
      </c>
      <c r="F10" s="227" t="s">
        <v>556</v>
      </c>
      <c r="G10" s="240" t="s">
        <v>557</v>
      </c>
      <c r="H10" s="230"/>
      <c r="I10" s="230"/>
      <c r="J10" s="220" t="s">
        <v>594</v>
      </c>
      <c r="K10" s="221"/>
      <c r="L10" s="221"/>
      <c r="M10" s="221"/>
      <c r="N10" s="223"/>
    </row>
    <row r="11" spans="2:14" ht="18" x14ac:dyDescent="0.25">
      <c r="B11" s="219"/>
      <c r="C11" s="219"/>
      <c r="D11" s="225"/>
      <c r="E11" s="219"/>
      <c r="F11" s="228"/>
      <c r="G11" s="171" t="s">
        <v>558</v>
      </c>
      <c r="H11" s="173" t="s">
        <v>559</v>
      </c>
      <c r="I11" s="175" t="s">
        <v>560</v>
      </c>
      <c r="J11" s="37" t="s">
        <v>561</v>
      </c>
      <c r="K11" s="38" t="s">
        <v>562</v>
      </c>
      <c r="L11" s="38" t="s">
        <v>563</v>
      </c>
      <c r="M11" s="39" t="s">
        <v>564</v>
      </c>
      <c r="N11" s="41" t="s">
        <v>541</v>
      </c>
    </row>
    <row r="12" spans="2:14" ht="14.45" customHeight="1" x14ac:dyDescent="0.25">
      <c r="B12" s="51">
        <v>1</v>
      </c>
      <c r="C12" s="57" t="s">
        <v>10</v>
      </c>
      <c r="D12" s="50"/>
      <c r="E12" s="42"/>
      <c r="F12" s="109"/>
      <c r="G12" s="170"/>
      <c r="H12" s="172"/>
      <c r="I12" s="174"/>
      <c r="J12" s="114"/>
      <c r="K12" s="45"/>
      <c r="L12" s="45"/>
      <c r="M12" s="45"/>
      <c r="N12" s="49"/>
    </row>
    <row r="13" spans="2:14" x14ac:dyDescent="0.25">
      <c r="B13" s="51">
        <v>1.1000000000000001</v>
      </c>
      <c r="C13" s="57" t="s">
        <v>12</v>
      </c>
      <c r="D13" s="50"/>
      <c r="E13" s="42"/>
      <c r="F13" s="109"/>
      <c r="G13" s="118"/>
      <c r="H13" s="107"/>
      <c r="I13" s="119"/>
      <c r="J13" s="114"/>
      <c r="K13" s="45"/>
      <c r="L13" s="45"/>
      <c r="M13" s="45"/>
      <c r="N13" s="49"/>
    </row>
    <row r="14" spans="2:14" ht="22.5" hidden="1" x14ac:dyDescent="0.25">
      <c r="B14" s="52" t="s">
        <v>13</v>
      </c>
      <c r="C14" s="61" t="s">
        <v>14</v>
      </c>
      <c r="D14" s="55" t="s">
        <v>15</v>
      </c>
      <c r="E14" s="67" t="s">
        <v>17</v>
      </c>
      <c r="F14" s="110">
        <v>1</v>
      </c>
      <c r="G14" s="120">
        <v>2</v>
      </c>
      <c r="H14" s="108"/>
      <c r="I14" s="121">
        <v>3</v>
      </c>
      <c r="J14" s="115">
        <f>'BOLETIM DE MEDIÇÃO 02'!O14-'MEMORIAL DE CALCULO 02'!K14</f>
        <v>0</v>
      </c>
      <c r="K14" s="97">
        <f>G14*I14*F14</f>
        <v>6</v>
      </c>
      <c r="L14" s="98">
        <f>J14+K14</f>
        <v>6</v>
      </c>
      <c r="M14" s="98">
        <f>'BOLETIM DE MEDIÇÃO 02'!G14</f>
        <v>6</v>
      </c>
      <c r="N14" s="102">
        <f>M14-L14</f>
        <v>0</v>
      </c>
    </row>
    <row r="15" spans="2:14" ht="22.5" x14ac:dyDescent="0.25">
      <c r="B15" s="52" t="s">
        <v>18</v>
      </c>
      <c r="C15" s="61">
        <v>93209</v>
      </c>
      <c r="D15" s="55" t="s">
        <v>20</v>
      </c>
      <c r="E15" s="67" t="s">
        <v>17</v>
      </c>
      <c r="F15" s="110">
        <v>1</v>
      </c>
      <c r="G15" s="120">
        <v>1</v>
      </c>
      <c r="H15" s="108">
        <v>2.75</v>
      </c>
      <c r="I15" s="121"/>
      <c r="J15" s="115">
        <f>'BOLETIM DE MEDIÇÃO 02'!O15-'MEMORIAL DE CALCULO 02'!K15</f>
        <v>2.25</v>
      </c>
      <c r="K15" s="97">
        <f>F15*G15*H15</f>
        <v>2.75</v>
      </c>
      <c r="L15" s="98">
        <f t="shared" ref="L15:L318" si="0">J15+K15</f>
        <v>5</v>
      </c>
      <c r="M15" s="98">
        <f>'BOLETIM DE MEDIÇÃO 02'!G15</f>
        <v>5</v>
      </c>
      <c r="N15" s="102">
        <f t="shared" ref="N15:N318" si="1">M15-L15</f>
        <v>0</v>
      </c>
    </row>
    <row r="16" spans="2:14" ht="33.75" x14ac:dyDescent="0.25">
      <c r="B16" s="52" t="s">
        <v>22</v>
      </c>
      <c r="C16" s="61">
        <v>93206</v>
      </c>
      <c r="D16" s="55" t="s">
        <v>23</v>
      </c>
      <c r="E16" s="67" t="s">
        <v>17</v>
      </c>
      <c r="F16" s="110">
        <v>1</v>
      </c>
      <c r="G16" s="120">
        <v>1</v>
      </c>
      <c r="H16" s="108">
        <v>2.75</v>
      </c>
      <c r="I16" s="121"/>
      <c r="J16" s="115">
        <f>'BOLETIM DE MEDIÇÃO 02'!O16-'MEMORIAL DE CALCULO 02'!K16</f>
        <v>2.25</v>
      </c>
      <c r="K16" s="97">
        <f>F16*G16*H16</f>
        <v>2.75</v>
      </c>
      <c r="L16" s="98">
        <f t="shared" si="0"/>
        <v>5</v>
      </c>
      <c r="M16" s="98">
        <f>'BOLETIM DE MEDIÇÃO 02'!G16</f>
        <v>5</v>
      </c>
      <c r="N16" s="102">
        <f t="shared" si="1"/>
        <v>0</v>
      </c>
    </row>
    <row r="17" spans="2:14" ht="22.5" x14ac:dyDescent="0.25">
      <c r="B17" s="52" t="s">
        <v>24</v>
      </c>
      <c r="C17" s="61" t="s">
        <v>25</v>
      </c>
      <c r="D17" s="55" t="s">
        <v>26</v>
      </c>
      <c r="E17" s="67" t="s">
        <v>17</v>
      </c>
      <c r="F17" s="110"/>
      <c r="G17" s="120"/>
      <c r="H17" s="108"/>
      <c r="I17" s="121"/>
      <c r="J17" s="115">
        <f>'BOLETIM DE MEDIÇÃO 02'!O17-'MEMORIAL DE CALCULO 02'!K17</f>
        <v>258.39999999999998</v>
      </c>
      <c r="K17" s="97">
        <f>K18</f>
        <v>19</v>
      </c>
      <c r="L17" s="98">
        <f t="shared" si="0"/>
        <v>277.39999999999998</v>
      </c>
      <c r="M17" s="98">
        <f>'BOLETIM DE MEDIÇÃO 02'!G17</f>
        <v>277.39999999999998</v>
      </c>
      <c r="N17" s="102">
        <f t="shared" si="1"/>
        <v>0</v>
      </c>
    </row>
    <row r="18" spans="2:14" x14ac:dyDescent="0.25">
      <c r="B18" s="52"/>
      <c r="C18" s="61"/>
      <c r="D18" s="168" t="s">
        <v>568</v>
      </c>
      <c r="E18" s="67"/>
      <c r="F18" s="110">
        <v>1</v>
      </c>
      <c r="G18" s="120">
        <v>9.5</v>
      </c>
      <c r="H18" s="108"/>
      <c r="I18" s="179">
        <v>2</v>
      </c>
      <c r="J18" s="120"/>
      <c r="K18" s="98">
        <f>F18*(G18*I18)</f>
        <v>19</v>
      </c>
      <c r="L18" s="98"/>
      <c r="M18" s="98"/>
      <c r="N18" s="102"/>
    </row>
    <row r="19" spans="2:14" ht="22.5" hidden="1" x14ac:dyDescent="0.25">
      <c r="B19" s="52" t="s">
        <v>27</v>
      </c>
      <c r="C19" s="61">
        <v>98524</v>
      </c>
      <c r="D19" s="55" t="s">
        <v>28</v>
      </c>
      <c r="E19" s="67" t="s">
        <v>17</v>
      </c>
      <c r="F19" s="110"/>
      <c r="G19" s="120"/>
      <c r="H19" s="108"/>
      <c r="I19" s="121"/>
      <c r="J19" s="115">
        <f>'BOLETIM DE MEDIÇÃO 02'!O18-'MEMORIAL DE CALCULO 02'!K19</f>
        <v>0</v>
      </c>
      <c r="K19" s="97">
        <f>K20</f>
        <v>0</v>
      </c>
      <c r="L19" s="98">
        <f t="shared" si="0"/>
        <v>0</v>
      </c>
      <c r="M19" s="98">
        <f>'BOLETIM DE MEDIÇÃO 02'!G18</f>
        <v>1430.2</v>
      </c>
      <c r="N19" s="102">
        <f t="shared" si="1"/>
        <v>1430.2</v>
      </c>
    </row>
    <row r="20" spans="2:14" hidden="1" x14ac:dyDescent="0.25">
      <c r="B20" s="52"/>
      <c r="C20" s="61"/>
      <c r="D20" s="168" t="s">
        <v>600</v>
      </c>
      <c r="E20" s="67"/>
      <c r="F20" s="110">
        <v>0</v>
      </c>
      <c r="G20" s="241">
        <v>1430.2</v>
      </c>
      <c r="H20" s="243"/>
      <c r="I20" s="244"/>
      <c r="J20" s="115"/>
      <c r="K20" s="98">
        <f>F20*G20</f>
        <v>0</v>
      </c>
      <c r="L20" s="98"/>
      <c r="M20" s="98"/>
      <c r="N20" s="102"/>
    </row>
    <row r="21" spans="2:14" ht="22.5" hidden="1" x14ac:dyDescent="0.25">
      <c r="B21" s="52" t="s">
        <v>29</v>
      </c>
      <c r="C21" s="60">
        <v>100575</v>
      </c>
      <c r="D21" s="55" t="s">
        <v>31</v>
      </c>
      <c r="E21" s="67" t="s">
        <v>17</v>
      </c>
      <c r="F21" s="110"/>
      <c r="G21" s="120"/>
      <c r="H21" s="108"/>
      <c r="I21" s="121"/>
      <c r="J21" s="115">
        <f>'BOLETIM DE MEDIÇÃO 02'!O19-'MEMORIAL DE CALCULO 02'!K21</f>
        <v>0</v>
      </c>
      <c r="K21" s="97">
        <f>K22</f>
        <v>0</v>
      </c>
      <c r="L21" s="98">
        <f t="shared" si="0"/>
        <v>0</v>
      </c>
      <c r="M21" s="98">
        <f>'BOLETIM DE MEDIÇÃO 02'!G19</f>
        <v>1430.2</v>
      </c>
      <c r="N21" s="102">
        <f t="shared" si="1"/>
        <v>1430.2</v>
      </c>
    </row>
    <row r="22" spans="2:14" hidden="1" x14ac:dyDescent="0.25">
      <c r="B22" s="52"/>
      <c r="C22" s="60"/>
      <c r="D22" s="168" t="s">
        <v>600</v>
      </c>
      <c r="E22" s="67"/>
      <c r="F22" s="110">
        <v>0</v>
      </c>
      <c r="G22" s="241">
        <v>1430.2</v>
      </c>
      <c r="H22" s="243"/>
      <c r="I22" s="244"/>
      <c r="J22" s="115"/>
      <c r="K22" s="98">
        <f t="shared" ref="K22" si="2">F22*G22</f>
        <v>0</v>
      </c>
      <c r="L22" s="98"/>
      <c r="M22" s="98"/>
      <c r="N22" s="102"/>
    </row>
    <row r="23" spans="2:14" ht="14.45" customHeight="1" x14ac:dyDescent="0.25">
      <c r="B23" s="59">
        <v>1.2</v>
      </c>
      <c r="C23" s="63" t="s">
        <v>33</v>
      </c>
      <c r="D23" s="55"/>
      <c r="E23" s="67"/>
      <c r="F23" s="110"/>
      <c r="G23" s="120"/>
      <c r="H23" s="108"/>
      <c r="I23" s="121"/>
      <c r="J23" s="115"/>
      <c r="K23" s="97"/>
      <c r="L23" s="98"/>
      <c r="M23" s="98"/>
      <c r="N23" s="102"/>
    </row>
    <row r="24" spans="2:14" ht="33.75" hidden="1" x14ac:dyDescent="0.25">
      <c r="B24" s="52" t="s">
        <v>34</v>
      </c>
      <c r="C24" s="60">
        <v>99059</v>
      </c>
      <c r="D24" s="55" t="s">
        <v>36</v>
      </c>
      <c r="E24" s="67" t="s">
        <v>37</v>
      </c>
      <c r="F24" s="110">
        <v>1</v>
      </c>
      <c r="G24" s="120">
        <v>137.5</v>
      </c>
      <c r="H24" s="108"/>
      <c r="I24" s="121"/>
      <c r="J24" s="115">
        <f>'BOLETIM DE MEDIÇÃO 02'!O21-'MEMORIAL DE CALCULO 02'!K24</f>
        <v>0</v>
      </c>
      <c r="K24" s="97">
        <f>F24*G24</f>
        <v>137.5</v>
      </c>
      <c r="L24" s="98">
        <f t="shared" si="0"/>
        <v>137.5</v>
      </c>
      <c r="M24" s="98">
        <f>'BOLETIM DE MEDIÇÃO 02'!G21</f>
        <v>137.5</v>
      </c>
      <c r="N24" s="102">
        <f t="shared" si="1"/>
        <v>0</v>
      </c>
    </row>
    <row r="25" spans="2:14" ht="22.5" x14ac:dyDescent="0.25">
      <c r="B25" s="58" t="s">
        <v>38</v>
      </c>
      <c r="C25" s="60">
        <v>93358</v>
      </c>
      <c r="D25" s="55" t="s">
        <v>40</v>
      </c>
      <c r="E25" s="67" t="s">
        <v>41</v>
      </c>
      <c r="F25" s="110"/>
      <c r="G25" s="120"/>
      <c r="H25" s="108"/>
      <c r="I25" s="121"/>
      <c r="J25" s="115">
        <f>'BOLETIM DE MEDIÇÃO 02'!O22-'MEMORIAL DE CALCULO 02'!K25</f>
        <v>69.939250000000001</v>
      </c>
      <c r="K25" s="97">
        <f>SUM(K35:K41)</f>
        <v>1.2053699999999998</v>
      </c>
      <c r="L25" s="98">
        <f t="shared" si="0"/>
        <v>71.144620000000003</v>
      </c>
      <c r="M25" s="98">
        <f>'BOLETIM DE MEDIÇÃO 02'!G22</f>
        <v>89.01</v>
      </c>
      <c r="N25" s="102">
        <f t="shared" si="1"/>
        <v>17.865380000000002</v>
      </c>
    </row>
    <row r="26" spans="2:14" x14ac:dyDescent="0.25">
      <c r="B26" s="58"/>
      <c r="C26" s="60"/>
      <c r="D26" s="180" t="s">
        <v>588</v>
      </c>
      <c r="E26" s="67"/>
      <c r="F26" s="110"/>
      <c r="G26" s="120"/>
      <c r="H26" s="108"/>
      <c r="I26" s="121"/>
      <c r="J26" s="115"/>
      <c r="K26" s="97"/>
      <c r="L26" s="98"/>
      <c r="M26" s="98"/>
      <c r="N26" s="102"/>
    </row>
    <row r="27" spans="2:14" ht="33.75" hidden="1" x14ac:dyDescent="0.25">
      <c r="B27" s="58"/>
      <c r="C27" s="60"/>
      <c r="D27" s="169" t="s">
        <v>569</v>
      </c>
      <c r="E27" s="67"/>
      <c r="F27" s="110">
        <v>0</v>
      </c>
      <c r="G27" s="120">
        <v>0.6</v>
      </c>
      <c r="H27" s="108">
        <v>0.7</v>
      </c>
      <c r="I27" s="121">
        <v>1.85</v>
      </c>
      <c r="J27" s="115"/>
      <c r="K27" s="98">
        <f>F27*(G27*H27*I27)</f>
        <v>0</v>
      </c>
      <c r="L27" s="98"/>
      <c r="M27" s="98"/>
      <c r="N27" s="102"/>
    </row>
    <row r="28" spans="2:14" ht="45" hidden="1" x14ac:dyDescent="0.25">
      <c r="B28" s="58"/>
      <c r="C28" s="60"/>
      <c r="D28" s="169" t="s">
        <v>570</v>
      </c>
      <c r="E28" s="67"/>
      <c r="F28" s="110">
        <v>0</v>
      </c>
      <c r="G28" s="120">
        <v>0.6</v>
      </c>
      <c r="H28" s="108">
        <v>0.7</v>
      </c>
      <c r="I28" s="121">
        <v>1.85</v>
      </c>
      <c r="J28" s="115"/>
      <c r="K28" s="98">
        <f t="shared" ref="K28:K33" si="3">F28*(G28*H28*I28)</f>
        <v>0</v>
      </c>
      <c r="L28" s="98"/>
      <c r="M28" s="98"/>
      <c r="N28" s="102"/>
    </row>
    <row r="29" spans="2:14" hidden="1" x14ac:dyDescent="0.25">
      <c r="B29" s="58"/>
      <c r="C29" s="60"/>
      <c r="D29" s="169" t="s">
        <v>571</v>
      </c>
      <c r="E29" s="67"/>
      <c r="F29" s="110">
        <v>0</v>
      </c>
      <c r="G29" s="120">
        <v>0.6</v>
      </c>
      <c r="H29" s="108">
        <v>0.8</v>
      </c>
      <c r="I29" s="121">
        <v>1.85</v>
      </c>
      <c r="J29" s="115"/>
      <c r="K29" s="98">
        <f t="shared" si="3"/>
        <v>0</v>
      </c>
      <c r="L29" s="98"/>
      <c r="M29" s="98"/>
      <c r="N29" s="102"/>
    </row>
    <row r="30" spans="2:14" hidden="1" x14ac:dyDescent="0.25">
      <c r="B30" s="58"/>
      <c r="C30" s="60"/>
      <c r="D30" s="169" t="s">
        <v>572</v>
      </c>
      <c r="E30" s="67"/>
      <c r="F30" s="110">
        <v>0</v>
      </c>
      <c r="G30" s="120">
        <v>0.9</v>
      </c>
      <c r="H30" s="108">
        <v>0.9</v>
      </c>
      <c r="I30" s="121">
        <v>1.85</v>
      </c>
      <c r="J30" s="115"/>
      <c r="K30" s="98">
        <f t="shared" si="3"/>
        <v>0</v>
      </c>
      <c r="L30" s="98"/>
      <c r="M30" s="98"/>
      <c r="N30" s="102"/>
    </row>
    <row r="31" spans="2:14" hidden="1" x14ac:dyDescent="0.25">
      <c r="B31" s="58"/>
      <c r="C31" s="60"/>
      <c r="D31" s="169" t="s">
        <v>573</v>
      </c>
      <c r="E31" s="67"/>
      <c r="F31" s="110">
        <v>0</v>
      </c>
      <c r="G31" s="120">
        <v>0.65</v>
      </c>
      <c r="H31" s="108">
        <v>0.65</v>
      </c>
      <c r="I31" s="121">
        <v>1.85</v>
      </c>
      <c r="J31" s="115"/>
      <c r="K31" s="98">
        <f t="shared" si="3"/>
        <v>0</v>
      </c>
      <c r="L31" s="98"/>
      <c r="M31" s="98"/>
      <c r="N31" s="102"/>
    </row>
    <row r="32" spans="2:14" hidden="1" x14ac:dyDescent="0.25">
      <c r="B32" s="58"/>
      <c r="C32" s="60"/>
      <c r="D32" s="169" t="s">
        <v>574</v>
      </c>
      <c r="E32" s="67"/>
      <c r="F32" s="110">
        <v>0</v>
      </c>
      <c r="G32" s="120">
        <v>0.65</v>
      </c>
      <c r="H32" s="108">
        <v>0.75</v>
      </c>
      <c r="I32" s="121">
        <v>1.85</v>
      </c>
      <c r="J32" s="115"/>
      <c r="K32" s="98">
        <f t="shared" si="3"/>
        <v>0</v>
      </c>
      <c r="L32" s="98"/>
      <c r="M32" s="98"/>
      <c r="N32" s="102"/>
    </row>
    <row r="33" spans="2:14" hidden="1" x14ac:dyDescent="0.25">
      <c r="B33" s="58"/>
      <c r="C33" s="60"/>
      <c r="D33" s="169" t="s">
        <v>575</v>
      </c>
      <c r="E33" s="67"/>
      <c r="F33" s="110">
        <v>0</v>
      </c>
      <c r="G33" s="120">
        <v>0.55000000000000004</v>
      </c>
      <c r="H33" s="108">
        <v>0.95</v>
      </c>
      <c r="I33" s="121">
        <v>1.85</v>
      </c>
      <c r="J33" s="115"/>
      <c r="K33" s="98">
        <f t="shared" si="3"/>
        <v>0</v>
      </c>
      <c r="L33" s="98"/>
      <c r="M33" s="98"/>
      <c r="N33" s="102"/>
    </row>
    <row r="34" spans="2:14" x14ac:dyDescent="0.25">
      <c r="B34" s="58"/>
      <c r="C34" s="60"/>
      <c r="D34" s="181" t="s">
        <v>601</v>
      </c>
      <c r="E34" s="67"/>
      <c r="F34" s="110"/>
      <c r="G34" s="120"/>
      <c r="H34" s="108"/>
      <c r="I34" s="121"/>
      <c r="J34" s="115"/>
      <c r="K34" s="98"/>
      <c r="L34" s="98"/>
      <c r="M34" s="98"/>
      <c r="N34" s="102"/>
    </row>
    <row r="35" spans="2:14" x14ac:dyDescent="0.25">
      <c r="B35" s="58"/>
      <c r="C35" s="60"/>
      <c r="D35" s="169" t="s">
        <v>602</v>
      </c>
      <c r="E35" s="67"/>
      <c r="F35" s="110">
        <v>1</v>
      </c>
      <c r="G35" s="120">
        <v>4.758</v>
      </c>
      <c r="H35" s="108">
        <v>0.15</v>
      </c>
      <c r="I35" s="121">
        <v>0.3</v>
      </c>
      <c r="J35" s="115"/>
      <c r="K35" s="98">
        <f>F35*G35*H35*I35</f>
        <v>0.21410999999999999</v>
      </c>
      <c r="L35" s="98"/>
      <c r="M35" s="98"/>
      <c r="N35" s="102"/>
    </row>
    <row r="36" spans="2:14" x14ac:dyDescent="0.25">
      <c r="B36" s="58"/>
      <c r="C36" s="60"/>
      <c r="D36" s="169" t="s">
        <v>603</v>
      </c>
      <c r="E36" s="67"/>
      <c r="F36" s="110">
        <v>1</v>
      </c>
      <c r="G36" s="120">
        <v>3.097</v>
      </c>
      <c r="H36" s="108">
        <v>0.15</v>
      </c>
      <c r="I36" s="121">
        <v>0.3</v>
      </c>
      <c r="J36" s="115"/>
      <c r="K36" s="98">
        <f t="shared" ref="K36:K41" si="4">F36*G36*H36*I36</f>
        <v>0.13936499999999999</v>
      </c>
      <c r="L36" s="98"/>
      <c r="M36" s="98"/>
      <c r="N36" s="102"/>
    </row>
    <row r="37" spans="2:14" x14ac:dyDescent="0.25">
      <c r="B37" s="58"/>
      <c r="C37" s="60"/>
      <c r="D37" s="169" t="s">
        <v>604</v>
      </c>
      <c r="E37" s="67"/>
      <c r="F37" s="110">
        <v>1</v>
      </c>
      <c r="G37" s="120">
        <v>3.0470000000000002</v>
      </c>
      <c r="H37" s="108">
        <v>0.15</v>
      </c>
      <c r="I37" s="121">
        <v>0.3</v>
      </c>
      <c r="J37" s="115"/>
      <c r="K37" s="98">
        <f t="shared" si="4"/>
        <v>0.13711499999999999</v>
      </c>
      <c r="L37" s="98"/>
      <c r="M37" s="98"/>
      <c r="N37" s="102"/>
    </row>
    <row r="38" spans="2:14" x14ac:dyDescent="0.25">
      <c r="B38" s="58"/>
      <c r="C38" s="60"/>
      <c r="D38" s="169" t="s">
        <v>605</v>
      </c>
      <c r="E38" s="67"/>
      <c r="F38" s="110">
        <v>1</v>
      </c>
      <c r="G38" s="120">
        <v>5.109</v>
      </c>
      <c r="H38" s="108">
        <v>0.15</v>
      </c>
      <c r="I38" s="121">
        <v>0.3</v>
      </c>
      <c r="J38" s="115"/>
      <c r="K38" s="98">
        <f t="shared" si="4"/>
        <v>0.22990499999999997</v>
      </c>
      <c r="L38" s="98"/>
      <c r="M38" s="98"/>
      <c r="N38" s="102"/>
    </row>
    <row r="39" spans="2:14" x14ac:dyDescent="0.25">
      <c r="B39" s="58"/>
      <c r="C39" s="60"/>
      <c r="D39" s="169" t="s">
        <v>606</v>
      </c>
      <c r="E39" s="67"/>
      <c r="F39" s="110">
        <v>1</v>
      </c>
      <c r="G39" s="120">
        <v>2.5640000000000001</v>
      </c>
      <c r="H39" s="108">
        <v>0.15</v>
      </c>
      <c r="I39" s="121">
        <v>0.3</v>
      </c>
      <c r="J39" s="115"/>
      <c r="K39" s="98">
        <f t="shared" si="4"/>
        <v>0.11538</v>
      </c>
      <c r="L39" s="98"/>
      <c r="M39" s="98"/>
      <c r="N39" s="102"/>
    </row>
    <row r="40" spans="2:14" x14ac:dyDescent="0.25">
      <c r="B40" s="58"/>
      <c r="C40" s="60"/>
      <c r="D40" s="169" t="s">
        <v>607</v>
      </c>
      <c r="E40" s="67"/>
      <c r="F40" s="110">
        <v>1</v>
      </c>
      <c r="G40" s="120">
        <v>1.6779999999999999</v>
      </c>
      <c r="H40" s="108">
        <v>0.15</v>
      </c>
      <c r="I40" s="121">
        <v>0.3</v>
      </c>
      <c r="J40" s="115"/>
      <c r="K40" s="98">
        <f t="shared" si="4"/>
        <v>7.5509999999999994E-2</v>
      </c>
      <c r="L40" s="98"/>
      <c r="M40" s="98"/>
      <c r="N40" s="102"/>
    </row>
    <row r="41" spans="2:14" x14ac:dyDescent="0.25">
      <c r="B41" s="58"/>
      <c r="C41" s="60"/>
      <c r="D41" s="169" t="s">
        <v>608</v>
      </c>
      <c r="E41" s="67"/>
      <c r="F41" s="110">
        <v>1</v>
      </c>
      <c r="G41" s="120">
        <v>6.5330000000000004</v>
      </c>
      <c r="H41" s="108">
        <v>0.15</v>
      </c>
      <c r="I41" s="121">
        <v>0.3</v>
      </c>
      <c r="J41" s="115"/>
      <c r="K41" s="98">
        <f t="shared" si="4"/>
        <v>0.293985</v>
      </c>
      <c r="L41" s="98"/>
      <c r="M41" s="98"/>
      <c r="N41" s="102"/>
    </row>
    <row r="42" spans="2:14" hidden="1" x14ac:dyDescent="0.25">
      <c r="B42" s="58"/>
      <c r="C42" s="60"/>
      <c r="D42" s="169"/>
      <c r="E42" s="67"/>
      <c r="F42" s="110"/>
      <c r="G42" s="120"/>
      <c r="H42" s="108"/>
      <c r="I42" s="121"/>
      <c r="J42" s="115"/>
      <c r="K42" s="98"/>
      <c r="L42" s="98"/>
      <c r="M42" s="98"/>
      <c r="N42" s="102"/>
    </row>
    <row r="43" spans="2:14" hidden="1" x14ac:dyDescent="0.25">
      <c r="B43" s="58"/>
      <c r="C43" s="60"/>
      <c r="D43" s="169"/>
      <c r="E43" s="67"/>
      <c r="F43" s="110"/>
      <c r="G43" s="120"/>
      <c r="H43" s="108"/>
      <c r="I43" s="121"/>
      <c r="J43" s="115"/>
      <c r="K43" s="98"/>
      <c r="L43" s="98"/>
      <c r="M43" s="98"/>
      <c r="N43" s="102"/>
    </row>
    <row r="44" spans="2:14" hidden="1" x14ac:dyDescent="0.25">
      <c r="B44" s="58"/>
      <c r="C44" s="60"/>
      <c r="D44" s="169"/>
      <c r="E44" s="67"/>
      <c r="F44" s="110"/>
      <c r="G44" s="120"/>
      <c r="H44" s="108"/>
      <c r="I44" s="121"/>
      <c r="J44" s="115"/>
      <c r="K44" s="98"/>
      <c r="L44" s="98"/>
      <c r="M44" s="98"/>
      <c r="N44" s="102"/>
    </row>
    <row r="45" spans="2:14" hidden="1" x14ac:dyDescent="0.25">
      <c r="B45" s="58"/>
      <c r="C45" s="60"/>
      <c r="D45" s="169"/>
      <c r="E45" s="67"/>
      <c r="F45" s="110"/>
      <c r="G45" s="120"/>
      <c r="H45" s="108"/>
      <c r="I45" s="121"/>
      <c r="J45" s="115"/>
      <c r="K45" s="98"/>
      <c r="L45" s="98"/>
      <c r="M45" s="98"/>
      <c r="N45" s="102"/>
    </row>
    <row r="46" spans="2:14" hidden="1" x14ac:dyDescent="0.25">
      <c r="B46" s="58"/>
      <c r="C46" s="60"/>
      <c r="D46" s="169"/>
      <c r="E46" s="67"/>
      <c r="F46" s="110"/>
      <c r="G46" s="120"/>
      <c r="H46" s="108"/>
      <c r="I46" s="121"/>
      <c r="J46" s="115"/>
      <c r="K46" s="98"/>
      <c r="L46" s="98"/>
      <c r="M46" s="98"/>
      <c r="N46" s="102"/>
    </row>
    <row r="47" spans="2:14" hidden="1" x14ac:dyDescent="0.25">
      <c r="B47" s="58"/>
      <c r="C47" s="60"/>
      <c r="D47" s="169"/>
      <c r="E47" s="67"/>
      <c r="F47" s="110"/>
      <c r="G47" s="120"/>
      <c r="H47" s="108"/>
      <c r="I47" s="121"/>
      <c r="J47" s="115"/>
      <c r="K47" s="98"/>
      <c r="L47" s="98"/>
      <c r="M47" s="98"/>
      <c r="N47" s="102"/>
    </row>
    <row r="48" spans="2:14" hidden="1" x14ac:dyDescent="0.25">
      <c r="B48" s="52" t="s">
        <v>42</v>
      </c>
      <c r="C48" s="60">
        <v>96995</v>
      </c>
      <c r="D48" s="55" t="s">
        <v>44</v>
      </c>
      <c r="E48" s="67" t="s">
        <v>41</v>
      </c>
      <c r="F48" s="110"/>
      <c r="G48" s="120"/>
      <c r="H48" s="108"/>
      <c r="I48" s="121"/>
      <c r="J48" s="115">
        <f>'BOLETIM DE MEDIÇÃO 02'!O23-'MEMORIAL DE CALCULO 02'!K48</f>
        <v>0</v>
      </c>
      <c r="K48" s="97"/>
      <c r="L48" s="98">
        <f t="shared" si="0"/>
        <v>0</v>
      </c>
      <c r="M48" s="98">
        <f>'BOLETIM DE MEDIÇÃO 02'!G23</f>
        <v>44.26</v>
      </c>
      <c r="N48" s="102">
        <f t="shared" si="1"/>
        <v>44.26</v>
      </c>
    </row>
    <row r="49" spans="2:14" ht="21" hidden="1" x14ac:dyDescent="0.25">
      <c r="B49" s="52"/>
      <c r="C49" s="60"/>
      <c r="D49" s="182" t="s">
        <v>576</v>
      </c>
      <c r="E49" s="47"/>
      <c r="F49" s="111"/>
      <c r="G49" s="122"/>
      <c r="H49" s="78"/>
      <c r="I49" s="121"/>
      <c r="J49" s="115"/>
      <c r="K49" s="97"/>
      <c r="L49" s="98"/>
      <c r="M49" s="98"/>
      <c r="N49" s="102"/>
    </row>
    <row r="50" spans="2:14" hidden="1" x14ac:dyDescent="0.25">
      <c r="B50" s="52"/>
      <c r="C50" s="60"/>
      <c r="D50" s="141" t="s">
        <v>609</v>
      </c>
      <c r="E50" s="47"/>
      <c r="F50" s="111">
        <v>1</v>
      </c>
      <c r="G50" s="236">
        <f>L25</f>
        <v>71.144620000000003</v>
      </c>
      <c r="H50" s="237"/>
      <c r="I50" s="238"/>
      <c r="J50" s="115"/>
      <c r="K50" s="97"/>
      <c r="L50" s="98"/>
      <c r="M50" s="98"/>
      <c r="N50" s="102"/>
    </row>
    <row r="51" spans="2:14" hidden="1" x14ac:dyDescent="0.25">
      <c r="B51" s="52"/>
      <c r="C51" s="60"/>
      <c r="D51" s="141" t="s">
        <v>610</v>
      </c>
      <c r="E51" s="47"/>
      <c r="F51" s="111">
        <v>1</v>
      </c>
      <c r="G51" s="236"/>
      <c r="H51" s="237"/>
      <c r="I51" s="238"/>
      <c r="J51" s="115"/>
      <c r="K51" s="97"/>
      <c r="L51" s="98"/>
      <c r="M51" s="98"/>
      <c r="N51" s="102"/>
    </row>
    <row r="52" spans="2:14" ht="22.5" hidden="1" x14ac:dyDescent="0.25">
      <c r="B52" s="52" t="s">
        <v>45</v>
      </c>
      <c r="C52" s="60">
        <v>94319</v>
      </c>
      <c r="D52" s="55" t="s">
        <v>47</v>
      </c>
      <c r="E52" s="67" t="s">
        <v>41</v>
      </c>
      <c r="F52" s="110"/>
      <c r="G52" s="120"/>
      <c r="H52" s="108"/>
      <c r="I52" s="121"/>
      <c r="J52" s="115">
        <f>'BOLETIM DE MEDIÇÃO 02'!O24-'MEMORIAL DE CALCULO 02'!K52</f>
        <v>0</v>
      </c>
      <c r="K52" s="97"/>
      <c r="L52" s="98">
        <f t="shared" si="0"/>
        <v>0</v>
      </c>
      <c r="M52" s="98">
        <f>'BOLETIM DE MEDIÇÃO 02'!G24</f>
        <v>93.63</v>
      </c>
      <c r="N52" s="102">
        <f t="shared" si="1"/>
        <v>93.63</v>
      </c>
    </row>
    <row r="53" spans="2:14" x14ac:dyDescent="0.25">
      <c r="B53" s="59" t="s">
        <v>48</v>
      </c>
      <c r="C53" s="63" t="s">
        <v>49</v>
      </c>
      <c r="D53" s="55"/>
      <c r="E53" s="67"/>
      <c r="F53" s="110"/>
      <c r="G53" s="120"/>
      <c r="H53" s="108"/>
      <c r="I53" s="121"/>
      <c r="J53" s="115"/>
      <c r="K53" s="97"/>
      <c r="L53" s="98"/>
      <c r="M53" s="98"/>
      <c r="N53" s="102"/>
    </row>
    <row r="54" spans="2:14" ht="45" x14ac:dyDescent="0.25">
      <c r="B54" s="52" t="s">
        <v>50</v>
      </c>
      <c r="C54" s="61" t="s">
        <v>51</v>
      </c>
      <c r="D54" s="55" t="s">
        <v>52</v>
      </c>
      <c r="E54" s="67" t="s">
        <v>41</v>
      </c>
      <c r="F54" s="110"/>
      <c r="G54" s="245" t="s">
        <v>653</v>
      </c>
      <c r="H54" s="247"/>
      <c r="I54" s="248"/>
      <c r="J54" s="115">
        <f>'BOLETIM DE MEDIÇÃO 02'!O26-'MEMORIAL DE CALCULO 02'!K54</f>
        <v>0</v>
      </c>
      <c r="K54" s="97">
        <f>SUM(K56:K71)</f>
        <v>7.3434100000000004</v>
      </c>
      <c r="L54" s="98">
        <f t="shared" si="0"/>
        <v>7.3434100000000004</v>
      </c>
      <c r="M54" s="98">
        <f>'BOLETIM DE MEDIÇÃO 02'!G26</f>
        <v>13.99</v>
      </c>
      <c r="N54" s="102">
        <f t="shared" si="1"/>
        <v>6.6465899999999998</v>
      </c>
    </row>
    <row r="55" spans="2:14" ht="45" x14ac:dyDescent="0.25">
      <c r="B55" s="52"/>
      <c r="C55" s="61"/>
      <c r="D55" s="180" t="s">
        <v>611</v>
      </c>
      <c r="E55" s="67"/>
      <c r="F55" s="110"/>
      <c r="G55" s="185" t="s">
        <v>654</v>
      </c>
      <c r="H55" s="108" t="s">
        <v>650</v>
      </c>
      <c r="I55" s="146" t="s">
        <v>655</v>
      </c>
      <c r="J55" s="115"/>
      <c r="K55" s="97"/>
      <c r="L55" s="98"/>
      <c r="M55" s="98"/>
      <c r="N55" s="102"/>
    </row>
    <row r="56" spans="2:14" x14ac:dyDescent="0.25">
      <c r="B56" s="52"/>
      <c r="C56" s="61"/>
      <c r="D56" s="169" t="s">
        <v>657</v>
      </c>
      <c r="E56" s="67"/>
      <c r="F56" s="110"/>
      <c r="G56" s="187">
        <v>4.758</v>
      </c>
      <c r="H56" s="108">
        <v>0.2</v>
      </c>
      <c r="I56" s="121" t="s">
        <v>661</v>
      </c>
      <c r="J56" s="115"/>
      <c r="K56" s="98">
        <f>(0.62*G56)*H56</f>
        <v>0.58999199999999996</v>
      </c>
      <c r="L56" s="98"/>
      <c r="M56" s="98"/>
      <c r="N56" s="102"/>
    </row>
    <row r="57" spans="2:14" x14ac:dyDescent="0.25">
      <c r="B57" s="52"/>
      <c r="C57" s="61"/>
      <c r="D57" s="169" t="s">
        <v>658</v>
      </c>
      <c r="E57" s="67"/>
      <c r="F57" s="110"/>
      <c r="G57" s="187">
        <v>3.097</v>
      </c>
      <c r="H57" s="108">
        <v>0.2</v>
      </c>
      <c r="I57" s="121" t="s">
        <v>656</v>
      </c>
      <c r="J57" s="115"/>
      <c r="K57" s="98">
        <f>(((0.62+0.35)/2)*G57)*H57</f>
        <v>0.30040899999999998</v>
      </c>
      <c r="L57" s="98"/>
      <c r="M57" s="98"/>
      <c r="N57" s="102"/>
    </row>
    <row r="58" spans="2:14" x14ac:dyDescent="0.25">
      <c r="B58" s="52"/>
      <c r="C58" s="61"/>
      <c r="D58" s="169" t="s">
        <v>659</v>
      </c>
      <c r="E58" s="67"/>
      <c r="F58" s="110"/>
      <c r="G58" s="187">
        <v>3.0470000000000002</v>
      </c>
      <c r="H58" s="108">
        <v>0.2</v>
      </c>
      <c r="I58" s="121" t="s">
        <v>656</v>
      </c>
      <c r="J58" s="115"/>
      <c r="K58" s="98">
        <f>(((0.62+0.35)/2)*G58)*H58</f>
        <v>0.29555900000000002</v>
      </c>
      <c r="L58" s="98"/>
      <c r="M58" s="98"/>
      <c r="N58" s="102"/>
    </row>
    <row r="59" spans="2:14" x14ac:dyDescent="0.25">
      <c r="B59" s="52"/>
      <c r="C59" s="61"/>
      <c r="D59" s="169" t="s">
        <v>660</v>
      </c>
      <c r="E59" s="67"/>
      <c r="F59" s="110"/>
      <c r="G59" s="187">
        <v>5.109</v>
      </c>
      <c r="H59" s="108">
        <v>0.2</v>
      </c>
      <c r="I59" s="121" t="s">
        <v>661</v>
      </c>
      <c r="J59" s="115"/>
      <c r="K59" s="98">
        <f>(((0.62+0.35)/2)*G59)*H59</f>
        <v>0.49557300000000004</v>
      </c>
      <c r="L59" s="98"/>
      <c r="M59" s="98"/>
      <c r="N59" s="102"/>
    </row>
    <row r="60" spans="2:14" x14ac:dyDescent="0.25">
      <c r="B60" s="52"/>
      <c r="C60" s="61"/>
      <c r="D60" s="169" t="s">
        <v>662</v>
      </c>
      <c r="E60" s="67"/>
      <c r="F60" s="110"/>
      <c r="G60" s="187">
        <v>2.5640000000000001</v>
      </c>
      <c r="H60" s="108">
        <v>0.2</v>
      </c>
      <c r="I60" s="121" t="s">
        <v>665</v>
      </c>
      <c r="J60" s="115"/>
      <c r="K60" s="98">
        <f>(0.35*G60)*H60</f>
        <v>0.17948</v>
      </c>
      <c r="L60" s="98"/>
      <c r="M60" s="98"/>
      <c r="N60" s="102"/>
    </row>
    <row r="61" spans="2:14" x14ac:dyDescent="0.25">
      <c r="B61" s="52"/>
      <c r="C61" s="61"/>
      <c r="D61" s="169" t="s">
        <v>663</v>
      </c>
      <c r="E61" s="67"/>
      <c r="F61" s="110"/>
      <c r="G61" s="187">
        <v>1.6779999999999999</v>
      </c>
      <c r="H61" s="108">
        <v>0.2</v>
      </c>
      <c r="I61" s="121" t="s">
        <v>665</v>
      </c>
      <c r="J61" s="115"/>
      <c r="K61" s="98">
        <f>(0.35*G61)*H61</f>
        <v>0.11745999999999999</v>
      </c>
      <c r="L61" s="98"/>
      <c r="M61" s="98"/>
      <c r="N61" s="102"/>
    </row>
    <row r="62" spans="2:14" x14ac:dyDescent="0.25">
      <c r="B62" s="52"/>
      <c r="C62" s="61"/>
      <c r="D62" s="169" t="s">
        <v>664</v>
      </c>
      <c r="E62" s="67"/>
      <c r="F62" s="110"/>
      <c r="G62" s="187">
        <v>6.5330000000000004</v>
      </c>
      <c r="H62" s="108">
        <v>0.2</v>
      </c>
      <c r="I62" s="121" t="s">
        <v>666</v>
      </c>
      <c r="J62" s="115"/>
      <c r="K62" s="98">
        <f>(((0.41+0.58)/2)*G62)*H62</f>
        <v>0.64676700000000009</v>
      </c>
      <c r="L62" s="98"/>
      <c r="M62" s="98"/>
      <c r="N62" s="102"/>
    </row>
    <row r="63" spans="2:14" x14ac:dyDescent="0.25">
      <c r="B63" s="52"/>
      <c r="C63" s="61"/>
      <c r="D63" s="169" t="s">
        <v>667</v>
      </c>
      <c r="E63" s="67"/>
      <c r="F63" s="110"/>
      <c r="G63" s="120">
        <v>12.68</v>
      </c>
      <c r="H63" s="108">
        <v>0.2</v>
      </c>
      <c r="I63" s="121" t="s">
        <v>669</v>
      </c>
      <c r="J63" s="115"/>
      <c r="K63" s="98">
        <f>(((0.56+0.52)/2)*G63)*H63</f>
        <v>1.36944</v>
      </c>
      <c r="L63" s="98"/>
      <c r="M63" s="98"/>
      <c r="N63" s="102"/>
    </row>
    <row r="64" spans="2:14" x14ac:dyDescent="0.25">
      <c r="B64" s="52"/>
      <c r="C64" s="61"/>
      <c r="D64" s="169" t="s">
        <v>668</v>
      </c>
      <c r="E64" s="67"/>
      <c r="F64" s="110"/>
      <c r="G64" s="120">
        <v>1.85</v>
      </c>
      <c r="H64" s="108">
        <v>0.2</v>
      </c>
      <c r="I64" s="121" t="s">
        <v>670</v>
      </c>
      <c r="J64" s="115"/>
      <c r="K64" s="98">
        <f>(((0.52+0.48)/2)*G64)*H64</f>
        <v>0.18500000000000003</v>
      </c>
      <c r="L64" s="98"/>
      <c r="M64" s="98"/>
      <c r="N64" s="102"/>
    </row>
    <row r="65" spans="2:14" x14ac:dyDescent="0.25">
      <c r="B65" s="52"/>
      <c r="C65" s="61"/>
      <c r="D65" s="169" t="s">
        <v>672</v>
      </c>
      <c r="E65" s="67"/>
      <c r="F65" s="110"/>
      <c r="G65" s="120">
        <v>9.4600000000000009</v>
      </c>
      <c r="H65" s="108">
        <v>0.2</v>
      </c>
      <c r="I65" s="121" t="s">
        <v>671</v>
      </c>
      <c r="J65" s="115"/>
      <c r="K65" s="98">
        <f>(((0.48+0.55)/2)*G65)*H65</f>
        <v>0.97438000000000025</v>
      </c>
      <c r="L65" s="98"/>
      <c r="M65" s="98"/>
      <c r="N65" s="102"/>
    </row>
    <row r="66" spans="2:14" x14ac:dyDescent="0.25">
      <c r="B66" s="52"/>
      <c r="C66" s="61"/>
      <c r="D66" s="169" t="s">
        <v>674</v>
      </c>
      <c r="E66" s="67"/>
      <c r="F66" s="110"/>
      <c r="G66" s="120">
        <v>2.33</v>
      </c>
      <c r="H66" s="108">
        <v>0.2</v>
      </c>
      <c r="I66" s="121" t="s">
        <v>673</v>
      </c>
      <c r="J66" s="115"/>
      <c r="K66" s="98">
        <f>(0.55*G66)*H66</f>
        <v>0.25630000000000003</v>
      </c>
      <c r="L66" s="98"/>
      <c r="M66" s="98"/>
      <c r="N66" s="102"/>
    </row>
    <row r="67" spans="2:14" x14ac:dyDescent="0.25">
      <c r="B67" s="52"/>
      <c r="C67" s="61"/>
      <c r="D67" s="169" t="s">
        <v>675</v>
      </c>
      <c r="E67" s="67"/>
      <c r="F67" s="110"/>
      <c r="G67" s="120">
        <v>9.7899999999999991</v>
      </c>
      <c r="H67" s="108">
        <v>0.2</v>
      </c>
      <c r="I67" s="121" t="s">
        <v>676</v>
      </c>
      <c r="J67" s="115"/>
      <c r="K67" s="98">
        <f>(((0.55+0.52)/2)*G67)*H67</f>
        <v>1.0475299999999999</v>
      </c>
      <c r="L67" s="98"/>
      <c r="M67" s="98"/>
      <c r="N67" s="102"/>
    </row>
    <row r="68" spans="2:14" x14ac:dyDescent="0.25">
      <c r="B68" s="52"/>
      <c r="C68" s="61"/>
      <c r="D68" s="169" t="s">
        <v>678</v>
      </c>
      <c r="E68" s="67"/>
      <c r="F68" s="110"/>
      <c r="G68" s="120">
        <v>2.38</v>
      </c>
      <c r="H68" s="108">
        <v>0.2</v>
      </c>
      <c r="I68" s="121" t="s">
        <v>661</v>
      </c>
      <c r="J68" s="115"/>
      <c r="K68" s="98">
        <f>(0.55*G68)*H68</f>
        <v>0.26179999999999998</v>
      </c>
      <c r="L68" s="98"/>
      <c r="M68" s="98"/>
      <c r="N68" s="102"/>
    </row>
    <row r="69" spans="2:14" x14ac:dyDescent="0.25">
      <c r="B69" s="52"/>
      <c r="C69" s="61"/>
      <c r="D69" s="169" t="s">
        <v>679</v>
      </c>
      <c r="E69" s="67"/>
      <c r="F69" s="110"/>
      <c r="G69" s="120">
        <v>2.65</v>
      </c>
      <c r="H69" s="108">
        <v>0.2</v>
      </c>
      <c r="I69" s="121" t="s">
        <v>661</v>
      </c>
      <c r="J69" s="115"/>
      <c r="K69" s="98">
        <f>(0.62*G69)*H69</f>
        <v>0.3286</v>
      </c>
      <c r="L69" s="98"/>
      <c r="M69" s="98"/>
      <c r="N69" s="102"/>
    </row>
    <row r="70" spans="2:14" x14ac:dyDescent="0.25">
      <c r="B70" s="52"/>
      <c r="C70" s="61"/>
      <c r="D70" s="169" t="s">
        <v>677</v>
      </c>
      <c r="E70" s="67"/>
      <c r="F70" s="110"/>
      <c r="G70" s="120">
        <v>2.38</v>
      </c>
      <c r="H70" s="108">
        <v>0.2</v>
      </c>
      <c r="I70" s="121" t="s">
        <v>661</v>
      </c>
      <c r="J70" s="115"/>
      <c r="K70" s="98">
        <f>(0.62*G70)*H70</f>
        <v>0.29511999999999999</v>
      </c>
      <c r="L70" s="98"/>
      <c r="M70" s="98"/>
      <c r="N70" s="102"/>
    </row>
    <row r="71" spans="2:14" x14ac:dyDescent="0.25">
      <c r="B71" s="52"/>
      <c r="C71" s="61"/>
      <c r="D71" s="169"/>
      <c r="E71" s="67"/>
      <c r="F71" s="110"/>
      <c r="G71" s="120"/>
      <c r="H71" s="108"/>
      <c r="I71" s="121"/>
      <c r="J71" s="115"/>
      <c r="K71" s="98"/>
      <c r="L71" s="98"/>
      <c r="M71" s="98"/>
      <c r="N71" s="102"/>
    </row>
    <row r="72" spans="2:14" ht="22.5" x14ac:dyDescent="0.25">
      <c r="B72" s="52" t="s">
        <v>53</v>
      </c>
      <c r="C72" s="60">
        <v>101616</v>
      </c>
      <c r="D72" s="55" t="s">
        <v>55</v>
      </c>
      <c r="E72" s="67" t="s">
        <v>17</v>
      </c>
      <c r="F72" s="110"/>
      <c r="G72" s="120"/>
      <c r="H72" s="108"/>
      <c r="I72" s="121"/>
      <c r="J72" s="115">
        <f>'BOLETIM DE MEDIÇÃO 02'!O27-'MEMORIAL DE CALCULO 02'!K72</f>
        <v>4.9999999999954525E-3</v>
      </c>
      <c r="K72" s="97">
        <f>SUM(K74:K80)</f>
        <v>37.805000000000007</v>
      </c>
      <c r="L72" s="98">
        <f t="shared" si="0"/>
        <v>37.81</v>
      </c>
      <c r="M72" s="98">
        <f>'BOLETIM DE MEDIÇÃO 02'!G27</f>
        <v>37.81</v>
      </c>
      <c r="N72" s="102">
        <f t="shared" si="1"/>
        <v>0</v>
      </c>
    </row>
    <row r="73" spans="2:14" x14ac:dyDescent="0.25">
      <c r="B73" s="52"/>
      <c r="C73" s="60"/>
      <c r="D73" s="180" t="s">
        <v>588</v>
      </c>
      <c r="E73" s="67"/>
      <c r="F73" s="110"/>
      <c r="G73" s="120"/>
      <c r="H73" s="108"/>
      <c r="I73" s="121"/>
      <c r="J73" s="115"/>
      <c r="K73" s="97"/>
      <c r="L73" s="98"/>
      <c r="M73" s="98"/>
      <c r="N73" s="102"/>
    </row>
    <row r="74" spans="2:14" ht="33.75" x14ac:dyDescent="0.25">
      <c r="B74" s="52"/>
      <c r="C74" s="60"/>
      <c r="D74" s="169" t="s">
        <v>569</v>
      </c>
      <c r="E74" s="67"/>
      <c r="F74" s="110">
        <v>32</v>
      </c>
      <c r="G74" s="120">
        <v>0.6</v>
      </c>
      <c r="H74" s="108">
        <v>0.7</v>
      </c>
      <c r="I74" s="184"/>
      <c r="J74" s="115"/>
      <c r="K74" s="98">
        <f>F74*(G74*H74)</f>
        <v>13.44</v>
      </c>
      <c r="L74" s="98"/>
      <c r="M74" s="98"/>
      <c r="N74" s="102"/>
    </row>
    <row r="75" spans="2:14" ht="45" x14ac:dyDescent="0.25">
      <c r="B75" s="52"/>
      <c r="C75" s="60"/>
      <c r="D75" s="169" t="s">
        <v>570</v>
      </c>
      <c r="E75" s="67"/>
      <c r="F75" s="110">
        <v>40</v>
      </c>
      <c r="G75" s="120">
        <v>0.6</v>
      </c>
      <c r="H75" s="108">
        <v>0.7</v>
      </c>
      <c r="I75" s="184"/>
      <c r="J75" s="115"/>
      <c r="K75" s="98">
        <f t="shared" ref="K75:K80" si="5">F75*(G75*H75)</f>
        <v>16.8</v>
      </c>
      <c r="L75" s="98"/>
      <c r="M75" s="98"/>
      <c r="N75" s="102"/>
    </row>
    <row r="76" spans="2:14" x14ac:dyDescent="0.25">
      <c r="B76" s="52"/>
      <c r="C76" s="60"/>
      <c r="D76" s="169" t="s">
        <v>571</v>
      </c>
      <c r="E76" s="67"/>
      <c r="F76" s="110">
        <v>1</v>
      </c>
      <c r="G76" s="120">
        <v>0.6</v>
      </c>
      <c r="H76" s="108">
        <v>0.8</v>
      </c>
      <c r="I76" s="184"/>
      <c r="J76" s="115"/>
      <c r="K76" s="98">
        <f t="shared" si="5"/>
        <v>0.48</v>
      </c>
      <c r="L76" s="98"/>
      <c r="M76" s="98"/>
      <c r="N76" s="102"/>
    </row>
    <row r="77" spans="2:14" x14ac:dyDescent="0.25">
      <c r="B77" s="52"/>
      <c r="C77" s="60"/>
      <c r="D77" s="169" t="s">
        <v>572</v>
      </c>
      <c r="E77" s="67"/>
      <c r="F77" s="110">
        <v>2</v>
      </c>
      <c r="G77" s="120">
        <v>0.9</v>
      </c>
      <c r="H77" s="108">
        <v>0.9</v>
      </c>
      <c r="I77" s="184"/>
      <c r="J77" s="115"/>
      <c r="K77" s="98">
        <f t="shared" si="5"/>
        <v>1.62</v>
      </c>
      <c r="L77" s="98"/>
      <c r="M77" s="98"/>
      <c r="N77" s="102"/>
    </row>
    <row r="78" spans="2:14" x14ac:dyDescent="0.25">
      <c r="B78" s="52"/>
      <c r="C78" s="60"/>
      <c r="D78" s="169" t="s">
        <v>573</v>
      </c>
      <c r="E78" s="67"/>
      <c r="F78" s="110">
        <v>7</v>
      </c>
      <c r="G78" s="120">
        <v>0.65</v>
      </c>
      <c r="H78" s="108">
        <v>0.65</v>
      </c>
      <c r="I78" s="184"/>
      <c r="J78" s="115"/>
      <c r="K78" s="98">
        <f t="shared" si="5"/>
        <v>2.9575000000000005</v>
      </c>
      <c r="L78" s="98"/>
      <c r="M78" s="98"/>
      <c r="N78" s="102"/>
    </row>
    <row r="79" spans="2:14" x14ac:dyDescent="0.25">
      <c r="B79" s="52"/>
      <c r="C79" s="60"/>
      <c r="D79" s="169" t="s">
        <v>574</v>
      </c>
      <c r="E79" s="67"/>
      <c r="F79" s="110">
        <v>3</v>
      </c>
      <c r="G79" s="120">
        <v>0.65</v>
      </c>
      <c r="H79" s="108">
        <v>0.75</v>
      </c>
      <c r="I79" s="184"/>
      <c r="J79" s="115"/>
      <c r="K79" s="98">
        <f t="shared" si="5"/>
        <v>1.4625000000000001</v>
      </c>
      <c r="L79" s="98"/>
      <c r="M79" s="98"/>
      <c r="N79" s="102"/>
    </row>
    <row r="80" spans="2:14" x14ac:dyDescent="0.25">
      <c r="B80" s="52"/>
      <c r="C80" s="60"/>
      <c r="D80" s="169" t="s">
        <v>575</v>
      </c>
      <c r="E80" s="67"/>
      <c r="F80" s="110">
        <v>2</v>
      </c>
      <c r="G80" s="120">
        <v>0.55000000000000004</v>
      </c>
      <c r="H80" s="108">
        <v>0.95</v>
      </c>
      <c r="I80" s="184"/>
      <c r="J80" s="115"/>
      <c r="K80" s="98">
        <f t="shared" si="5"/>
        <v>1.0449999999999999</v>
      </c>
      <c r="L80" s="98"/>
      <c r="M80" s="98"/>
      <c r="N80" s="102"/>
    </row>
    <row r="81" spans="2:14" ht="33.75" x14ac:dyDescent="0.25">
      <c r="B81" s="52" t="s">
        <v>56</v>
      </c>
      <c r="C81" s="60">
        <v>96619</v>
      </c>
      <c r="D81" s="64" t="s">
        <v>58</v>
      </c>
      <c r="E81" s="67" t="s">
        <v>17</v>
      </c>
      <c r="F81" s="110"/>
      <c r="G81" s="120"/>
      <c r="H81" s="108"/>
      <c r="I81" s="121"/>
      <c r="J81" s="115">
        <f>'BOLETIM DE MEDIÇÃO 02'!O28-'MEMORIAL DE CALCULO 02'!K81</f>
        <v>4.9999999999954525E-3</v>
      </c>
      <c r="K81" s="97">
        <f>SUM(K83:K89)</f>
        <v>37.805000000000007</v>
      </c>
      <c r="L81" s="98">
        <f t="shared" si="0"/>
        <v>37.81</v>
      </c>
      <c r="M81" s="98">
        <f>'BOLETIM DE MEDIÇÃO 02'!G28</f>
        <v>77.41</v>
      </c>
      <c r="N81" s="102">
        <f t="shared" si="1"/>
        <v>39.599999999999994</v>
      </c>
    </row>
    <row r="82" spans="2:14" x14ac:dyDescent="0.25">
      <c r="B82" s="52"/>
      <c r="C82" s="60"/>
      <c r="D82" s="180" t="s">
        <v>588</v>
      </c>
      <c r="E82" s="67"/>
      <c r="F82" s="110"/>
      <c r="G82" s="120"/>
      <c r="H82" s="108"/>
      <c r="I82" s="121"/>
      <c r="J82" s="115"/>
      <c r="K82" s="97"/>
      <c r="L82" s="98"/>
      <c r="M82" s="98"/>
      <c r="N82" s="102"/>
    </row>
    <row r="83" spans="2:14" ht="33.75" x14ac:dyDescent="0.25">
      <c r="B83" s="52"/>
      <c r="C83" s="60"/>
      <c r="D83" s="169" t="s">
        <v>569</v>
      </c>
      <c r="E83" s="67"/>
      <c r="F83" s="110">
        <v>32</v>
      </c>
      <c r="G83" s="120">
        <v>0.6</v>
      </c>
      <c r="H83" s="108">
        <v>0.7</v>
      </c>
      <c r="I83" s="121"/>
      <c r="J83" s="115"/>
      <c r="K83" s="98">
        <f>F83*(G83*H83)</f>
        <v>13.44</v>
      </c>
      <c r="L83" s="98"/>
      <c r="M83" s="98"/>
      <c r="N83" s="102"/>
    </row>
    <row r="84" spans="2:14" ht="45" x14ac:dyDescent="0.25">
      <c r="B84" s="52"/>
      <c r="C84" s="60"/>
      <c r="D84" s="169" t="s">
        <v>570</v>
      </c>
      <c r="E84" s="67"/>
      <c r="F84" s="110">
        <v>40</v>
      </c>
      <c r="G84" s="120">
        <v>0.6</v>
      </c>
      <c r="H84" s="108">
        <v>0.7</v>
      </c>
      <c r="I84" s="121"/>
      <c r="J84" s="115"/>
      <c r="K84" s="98">
        <f t="shared" ref="K84:K89" si="6">F84*(G84*H84)</f>
        <v>16.8</v>
      </c>
      <c r="L84" s="98"/>
      <c r="M84" s="98"/>
      <c r="N84" s="102"/>
    </row>
    <row r="85" spans="2:14" x14ac:dyDescent="0.25">
      <c r="B85" s="52"/>
      <c r="C85" s="60"/>
      <c r="D85" s="169" t="s">
        <v>571</v>
      </c>
      <c r="E85" s="67"/>
      <c r="F85" s="110">
        <v>1</v>
      </c>
      <c r="G85" s="120">
        <v>0.6</v>
      </c>
      <c r="H85" s="108">
        <v>0.8</v>
      </c>
      <c r="I85" s="121"/>
      <c r="J85" s="115"/>
      <c r="K85" s="98">
        <f t="shared" si="6"/>
        <v>0.48</v>
      </c>
      <c r="L85" s="98"/>
      <c r="M85" s="98"/>
      <c r="N85" s="102"/>
    </row>
    <row r="86" spans="2:14" x14ac:dyDescent="0.25">
      <c r="B86" s="52"/>
      <c r="C86" s="60"/>
      <c r="D86" s="169" t="s">
        <v>572</v>
      </c>
      <c r="E86" s="67"/>
      <c r="F86" s="110">
        <v>2</v>
      </c>
      <c r="G86" s="120">
        <v>0.9</v>
      </c>
      <c r="H86" s="108">
        <v>0.9</v>
      </c>
      <c r="I86" s="121"/>
      <c r="J86" s="115"/>
      <c r="K86" s="98">
        <f t="shared" si="6"/>
        <v>1.62</v>
      </c>
      <c r="L86" s="98"/>
      <c r="M86" s="98"/>
      <c r="N86" s="102"/>
    </row>
    <row r="87" spans="2:14" x14ac:dyDescent="0.25">
      <c r="B87" s="52"/>
      <c r="C87" s="60"/>
      <c r="D87" s="169" t="s">
        <v>573</v>
      </c>
      <c r="E87" s="67"/>
      <c r="F87" s="110">
        <v>7</v>
      </c>
      <c r="G87" s="120">
        <v>0.65</v>
      </c>
      <c r="H87" s="108">
        <v>0.65</v>
      </c>
      <c r="I87" s="121"/>
      <c r="J87" s="115"/>
      <c r="K87" s="98">
        <f t="shared" si="6"/>
        <v>2.9575000000000005</v>
      </c>
      <c r="L87" s="98"/>
      <c r="M87" s="98"/>
      <c r="N87" s="102"/>
    </row>
    <row r="88" spans="2:14" x14ac:dyDescent="0.25">
      <c r="B88" s="52"/>
      <c r="C88" s="60"/>
      <c r="D88" s="169" t="s">
        <v>574</v>
      </c>
      <c r="E88" s="67"/>
      <c r="F88" s="110">
        <v>3</v>
      </c>
      <c r="G88" s="120">
        <v>0.65</v>
      </c>
      <c r="H88" s="108">
        <v>0.75</v>
      </c>
      <c r="I88" s="121"/>
      <c r="J88" s="115"/>
      <c r="K88" s="98">
        <f t="shared" si="6"/>
        <v>1.4625000000000001</v>
      </c>
      <c r="L88" s="98"/>
      <c r="M88" s="98"/>
      <c r="N88" s="102"/>
    </row>
    <row r="89" spans="2:14" x14ac:dyDescent="0.25">
      <c r="B89" s="52"/>
      <c r="C89" s="60"/>
      <c r="D89" s="169" t="s">
        <v>575</v>
      </c>
      <c r="E89" s="67"/>
      <c r="F89" s="110">
        <v>2</v>
      </c>
      <c r="G89" s="120">
        <v>0.55000000000000004</v>
      </c>
      <c r="H89" s="108">
        <v>0.95</v>
      </c>
      <c r="I89" s="121"/>
      <c r="J89" s="115"/>
      <c r="K89" s="98">
        <f t="shared" si="6"/>
        <v>1.0449999999999999</v>
      </c>
      <c r="L89" s="98"/>
      <c r="M89" s="98"/>
      <c r="N89" s="102"/>
    </row>
    <row r="90" spans="2:14" ht="22.5" x14ac:dyDescent="0.25">
      <c r="B90" s="52" t="s">
        <v>59</v>
      </c>
      <c r="C90" s="60">
        <v>96545</v>
      </c>
      <c r="D90" s="55" t="s">
        <v>61</v>
      </c>
      <c r="E90" s="67" t="s">
        <v>62</v>
      </c>
      <c r="F90" s="110"/>
      <c r="G90" s="120"/>
      <c r="H90" s="108"/>
      <c r="I90" s="121"/>
      <c r="J90" s="115">
        <f>'BOLETIM DE MEDIÇÃO 02'!O29-'MEMORIAL DE CALCULO 02'!K90</f>
        <v>0</v>
      </c>
      <c r="K90" s="97">
        <f>SUM(K92:K98)</f>
        <v>44.520449999999997</v>
      </c>
      <c r="L90" s="98">
        <f>J90+K90</f>
        <v>44.520449999999997</v>
      </c>
      <c r="M90" s="98">
        <f>'BOLETIM DE MEDIÇÃO 02'!G29</f>
        <v>537.29999999999995</v>
      </c>
      <c r="N90" s="102">
        <f t="shared" si="1"/>
        <v>492.77954999999997</v>
      </c>
    </row>
    <row r="91" spans="2:14" ht="33.75" x14ac:dyDescent="0.25">
      <c r="B91" s="52"/>
      <c r="C91" s="60"/>
      <c r="D91" s="180" t="s">
        <v>611</v>
      </c>
      <c r="E91" s="67"/>
      <c r="F91" s="110"/>
      <c r="G91" s="245" t="s">
        <v>613</v>
      </c>
      <c r="H91" s="246"/>
      <c r="I91" s="146" t="s">
        <v>612</v>
      </c>
      <c r="J91" s="115"/>
      <c r="K91" s="97"/>
      <c r="L91" s="98"/>
      <c r="M91" s="98"/>
      <c r="N91" s="102"/>
    </row>
    <row r="92" spans="2:14" x14ac:dyDescent="0.25">
      <c r="B92" s="52"/>
      <c r="C92" s="60"/>
      <c r="D92" s="169" t="s">
        <v>602</v>
      </c>
      <c r="E92" s="67"/>
      <c r="F92" s="110">
        <v>1</v>
      </c>
      <c r="G92" s="241">
        <f xml:space="preserve"> (2*1.31) + (2*1.51) + (2*4.98)</f>
        <v>15.600000000000001</v>
      </c>
      <c r="H92" s="242"/>
      <c r="I92" s="183">
        <v>0.39500000000000002</v>
      </c>
      <c r="J92" s="98"/>
      <c r="K92" s="115">
        <f t="shared" ref="K92:K98" si="7">F92*G92*I92</f>
        <v>6.1620000000000008</v>
      </c>
      <c r="L92" s="98"/>
      <c r="M92" s="98"/>
      <c r="N92" s="102"/>
    </row>
    <row r="93" spans="2:14" x14ac:dyDescent="0.25">
      <c r="B93" s="52"/>
      <c r="C93" s="60"/>
      <c r="D93" s="169" t="s">
        <v>603</v>
      </c>
      <c r="E93" s="67"/>
      <c r="F93" s="110">
        <v>1</v>
      </c>
      <c r="G93" s="241">
        <f xml:space="preserve"> (3*3.37) + (1.37) + (2*3.47)</f>
        <v>18.420000000000002</v>
      </c>
      <c r="H93" s="242"/>
      <c r="I93" s="183">
        <v>0.39500000000000002</v>
      </c>
      <c r="J93" s="98"/>
      <c r="K93" s="115">
        <f t="shared" si="7"/>
        <v>7.2759000000000009</v>
      </c>
      <c r="L93" s="98"/>
      <c r="M93" s="98"/>
      <c r="N93" s="102"/>
    </row>
    <row r="94" spans="2:14" x14ac:dyDescent="0.25">
      <c r="B94" s="52"/>
      <c r="C94" s="60"/>
      <c r="D94" s="169" t="s">
        <v>604</v>
      </c>
      <c r="E94" s="67"/>
      <c r="F94" s="110">
        <v>1</v>
      </c>
      <c r="G94" s="241">
        <f xml:space="preserve"> (1.87) + (2*3.62)</f>
        <v>9.11</v>
      </c>
      <c r="H94" s="242"/>
      <c r="I94" s="183">
        <v>0.39500000000000002</v>
      </c>
      <c r="J94" s="98"/>
      <c r="K94" s="115">
        <f t="shared" si="7"/>
        <v>3.5984500000000001</v>
      </c>
      <c r="L94" s="98"/>
      <c r="M94" s="98"/>
      <c r="N94" s="102"/>
    </row>
    <row r="95" spans="2:14" x14ac:dyDescent="0.25">
      <c r="B95" s="52"/>
      <c r="C95" s="60"/>
      <c r="D95" s="169" t="s">
        <v>605</v>
      </c>
      <c r="E95" s="67"/>
      <c r="F95" s="110">
        <v>1</v>
      </c>
      <c r="G95" s="241">
        <f xml:space="preserve"> (4*0.88) + (2*3.36) + (2*5.03)</f>
        <v>20.3</v>
      </c>
      <c r="H95" s="242"/>
      <c r="I95" s="183">
        <v>0.39500000000000002</v>
      </c>
      <c r="J95" s="98"/>
      <c r="K95" s="115">
        <f t="shared" si="7"/>
        <v>8.0185000000000013</v>
      </c>
      <c r="L95" s="98"/>
      <c r="M95" s="98"/>
      <c r="N95" s="102"/>
    </row>
    <row r="96" spans="2:14" x14ac:dyDescent="0.25">
      <c r="B96" s="52"/>
      <c r="C96" s="60"/>
      <c r="D96" s="169" t="s">
        <v>606</v>
      </c>
      <c r="E96" s="67"/>
      <c r="F96" s="110">
        <v>1</v>
      </c>
      <c r="G96" s="241">
        <f xml:space="preserve"> (2*3.18) + (2*3.18)</f>
        <v>12.72</v>
      </c>
      <c r="H96" s="242"/>
      <c r="I96" s="183">
        <v>0.39500000000000002</v>
      </c>
      <c r="J96" s="98"/>
      <c r="K96" s="115">
        <f t="shared" si="7"/>
        <v>5.0244000000000009</v>
      </c>
      <c r="L96" s="98"/>
      <c r="M96" s="98"/>
      <c r="N96" s="102"/>
    </row>
    <row r="97" spans="2:14" x14ac:dyDescent="0.25">
      <c r="B97" s="52"/>
      <c r="C97" s="60"/>
      <c r="D97" s="169" t="s">
        <v>607</v>
      </c>
      <c r="E97" s="67"/>
      <c r="F97" s="110">
        <v>1</v>
      </c>
      <c r="G97" s="241">
        <f xml:space="preserve"> (4*2.15)</f>
        <v>8.6</v>
      </c>
      <c r="H97" s="242"/>
      <c r="I97" s="183">
        <v>0.39500000000000002</v>
      </c>
      <c r="J97" s="98"/>
      <c r="K97" s="115">
        <f t="shared" si="7"/>
        <v>3.3969999999999998</v>
      </c>
      <c r="L97" s="98"/>
      <c r="M97" s="98"/>
      <c r="N97" s="102"/>
    </row>
    <row r="98" spans="2:14" x14ac:dyDescent="0.25">
      <c r="B98" s="52"/>
      <c r="C98" s="60"/>
      <c r="D98" s="169" t="s">
        <v>608</v>
      </c>
      <c r="E98" s="67"/>
      <c r="F98" s="110">
        <v>1</v>
      </c>
      <c r="G98" s="241">
        <f xml:space="preserve"> (4*6.99)</f>
        <v>27.96</v>
      </c>
      <c r="H98" s="242"/>
      <c r="I98" s="183">
        <v>0.39500000000000002</v>
      </c>
      <c r="J98" s="98"/>
      <c r="K98" s="115">
        <f t="shared" si="7"/>
        <v>11.0442</v>
      </c>
      <c r="L98" s="98"/>
      <c r="M98" s="98"/>
      <c r="N98" s="102"/>
    </row>
    <row r="99" spans="2:14" ht="33.75" x14ac:dyDescent="0.25">
      <c r="B99" s="52" t="s">
        <v>63</v>
      </c>
      <c r="C99" s="60">
        <v>94966</v>
      </c>
      <c r="D99" s="55" t="s">
        <v>65</v>
      </c>
      <c r="E99" s="67" t="s">
        <v>41</v>
      </c>
      <c r="F99" s="110"/>
      <c r="G99" s="120"/>
      <c r="H99" s="108"/>
      <c r="I99" s="121"/>
      <c r="J99" s="115">
        <f>'BOLETIM DE MEDIÇÃO 02'!O30-'MEMORIAL DE CALCULO 02'!K99</f>
        <v>0</v>
      </c>
      <c r="K99" s="97">
        <f>SUM(K101:K147)</f>
        <v>8.4130549999999982</v>
      </c>
      <c r="L99" s="98">
        <f t="shared" si="0"/>
        <v>8.4130549999999982</v>
      </c>
      <c r="M99" s="98">
        <f>'BOLETIM DE MEDIÇÃO 02'!G30</f>
        <v>21.16</v>
      </c>
      <c r="N99" s="102">
        <f t="shared" si="1"/>
        <v>12.746945000000002</v>
      </c>
    </row>
    <row r="100" spans="2:14" x14ac:dyDescent="0.25">
      <c r="B100" s="52"/>
      <c r="C100" s="60"/>
      <c r="D100" s="188" t="s">
        <v>588</v>
      </c>
      <c r="E100" s="67"/>
      <c r="F100" s="110"/>
      <c r="G100" s="241"/>
      <c r="H100" s="243"/>
      <c r="I100" s="244"/>
      <c r="J100" s="115"/>
      <c r="K100" s="98"/>
      <c r="L100" s="98"/>
      <c r="M100" s="98"/>
      <c r="N100" s="102"/>
    </row>
    <row r="101" spans="2:14" ht="33.75" x14ac:dyDescent="0.25">
      <c r="B101" s="52"/>
      <c r="C101" s="60"/>
      <c r="D101" s="169" t="s">
        <v>569</v>
      </c>
      <c r="E101" s="67"/>
      <c r="F101" s="110">
        <v>32</v>
      </c>
      <c r="G101" s="120">
        <v>0.6</v>
      </c>
      <c r="H101" s="108">
        <v>0.7</v>
      </c>
      <c r="I101" s="121">
        <v>0.25</v>
      </c>
      <c r="J101" s="115"/>
      <c r="K101" s="98">
        <f>F101*(G101*H101*I101)</f>
        <v>3.36</v>
      </c>
      <c r="L101" s="98"/>
      <c r="M101" s="98"/>
      <c r="N101" s="102"/>
    </row>
    <row r="102" spans="2:14" ht="45" x14ac:dyDescent="0.25">
      <c r="B102" s="52"/>
      <c r="C102" s="60"/>
      <c r="D102" s="169" t="s">
        <v>570</v>
      </c>
      <c r="E102" s="67"/>
      <c r="F102" s="110">
        <v>41</v>
      </c>
      <c r="G102" s="120">
        <v>0.6</v>
      </c>
      <c r="H102" s="108">
        <v>0.7</v>
      </c>
      <c r="I102" s="121">
        <v>0.25</v>
      </c>
      <c r="J102" s="115"/>
      <c r="K102" s="98">
        <f t="shared" ref="K102:K107" si="8">F102*(G102*H102*I102)</f>
        <v>4.3049999999999997</v>
      </c>
      <c r="L102" s="98"/>
      <c r="M102" s="98"/>
      <c r="N102" s="102"/>
    </row>
    <row r="103" spans="2:14" x14ac:dyDescent="0.25">
      <c r="B103" s="52"/>
      <c r="C103" s="60"/>
      <c r="D103" s="169" t="s">
        <v>571</v>
      </c>
      <c r="E103" s="67"/>
      <c r="F103" s="110">
        <v>1</v>
      </c>
      <c r="G103" s="120">
        <v>0.6</v>
      </c>
      <c r="H103" s="108">
        <v>0.8</v>
      </c>
      <c r="I103" s="121">
        <v>0.25</v>
      </c>
      <c r="J103" s="115"/>
      <c r="K103" s="98">
        <f t="shared" si="8"/>
        <v>0.12</v>
      </c>
      <c r="L103" s="98"/>
      <c r="M103" s="98"/>
      <c r="N103" s="102"/>
    </row>
    <row r="104" spans="2:14" x14ac:dyDescent="0.25">
      <c r="B104" s="52"/>
      <c r="C104" s="60"/>
      <c r="D104" s="169" t="s">
        <v>572</v>
      </c>
      <c r="E104" s="67"/>
      <c r="F104" s="110">
        <v>2</v>
      </c>
      <c r="G104" s="120">
        <v>0.9</v>
      </c>
      <c r="H104" s="108">
        <v>0.9</v>
      </c>
      <c r="I104" s="121">
        <v>0.25</v>
      </c>
      <c r="J104" s="115"/>
      <c r="K104" s="98">
        <f t="shared" si="8"/>
        <v>0.40500000000000003</v>
      </c>
      <c r="L104" s="98"/>
      <c r="M104" s="98"/>
      <c r="N104" s="102"/>
    </row>
    <row r="105" spans="2:14" x14ac:dyDescent="0.25">
      <c r="B105" s="52"/>
      <c r="C105" s="60"/>
      <c r="D105" s="169" t="s">
        <v>573</v>
      </c>
      <c r="E105" s="67"/>
      <c r="F105" s="110">
        <v>7</v>
      </c>
      <c r="G105" s="120">
        <v>0.65</v>
      </c>
      <c r="H105" s="108">
        <v>0.65</v>
      </c>
      <c r="I105" s="121">
        <v>0.25</v>
      </c>
      <c r="J105" s="115"/>
      <c r="K105" s="98">
        <f t="shared" si="8"/>
        <v>0.73937500000000012</v>
      </c>
      <c r="L105" s="98"/>
      <c r="M105" s="98"/>
      <c r="N105" s="102"/>
    </row>
    <row r="106" spans="2:14" x14ac:dyDescent="0.25">
      <c r="B106" s="52"/>
      <c r="C106" s="60"/>
      <c r="D106" s="169" t="s">
        <v>574</v>
      </c>
      <c r="E106" s="67"/>
      <c r="F106" s="110">
        <v>3</v>
      </c>
      <c r="G106" s="120">
        <v>0.65</v>
      </c>
      <c r="H106" s="108">
        <v>0.75</v>
      </c>
      <c r="I106" s="121">
        <v>0.25</v>
      </c>
      <c r="J106" s="115"/>
      <c r="K106" s="98">
        <f t="shared" si="8"/>
        <v>0.36562500000000003</v>
      </c>
      <c r="L106" s="98"/>
      <c r="M106" s="98"/>
      <c r="N106" s="102"/>
    </row>
    <row r="107" spans="2:14" x14ac:dyDescent="0.25">
      <c r="B107" s="52"/>
      <c r="C107" s="60"/>
      <c r="D107" s="169" t="s">
        <v>575</v>
      </c>
      <c r="E107" s="67"/>
      <c r="F107" s="110">
        <v>2</v>
      </c>
      <c r="G107" s="120">
        <v>0.55000000000000004</v>
      </c>
      <c r="H107" s="108">
        <v>0.95</v>
      </c>
      <c r="I107" s="121">
        <v>0.25</v>
      </c>
      <c r="J107" s="115"/>
      <c r="K107" s="98">
        <f t="shared" si="8"/>
        <v>0.26124999999999998</v>
      </c>
      <c r="L107" s="98"/>
      <c r="M107" s="98"/>
      <c r="N107" s="102"/>
    </row>
    <row r="108" spans="2:14" ht="22.9" customHeight="1" x14ac:dyDescent="0.25">
      <c r="B108" s="52"/>
      <c r="C108" s="60"/>
      <c r="D108" s="180" t="s">
        <v>647</v>
      </c>
      <c r="E108" s="67"/>
      <c r="F108" s="110"/>
      <c r="G108" s="245" t="s">
        <v>680</v>
      </c>
      <c r="H108" s="246"/>
      <c r="I108" s="121" t="s">
        <v>652</v>
      </c>
      <c r="J108" s="115"/>
      <c r="K108" s="98"/>
      <c r="L108" s="98"/>
      <c r="M108" s="98"/>
      <c r="N108" s="102"/>
    </row>
    <row r="109" spans="2:14" x14ac:dyDescent="0.25">
      <c r="B109" s="52"/>
      <c r="C109" s="60"/>
      <c r="D109" s="169" t="s">
        <v>615</v>
      </c>
      <c r="E109" s="67"/>
      <c r="F109" s="110">
        <v>1</v>
      </c>
      <c r="G109" s="241" t="s">
        <v>681</v>
      </c>
      <c r="H109" s="242"/>
      <c r="I109" s="121">
        <v>1.85</v>
      </c>
      <c r="J109" s="115"/>
      <c r="K109" s="98">
        <f xml:space="preserve"> (0.15*0.25)*I109*2</f>
        <v>0.13875000000000001</v>
      </c>
      <c r="L109" s="98"/>
      <c r="M109" s="98"/>
      <c r="N109" s="102"/>
    </row>
    <row r="110" spans="2:14" x14ac:dyDescent="0.25">
      <c r="B110" s="52"/>
      <c r="C110" s="60"/>
      <c r="D110" s="169" t="s">
        <v>634</v>
      </c>
      <c r="E110" s="67"/>
      <c r="F110" s="110">
        <v>1</v>
      </c>
      <c r="G110" s="241" t="s">
        <v>682</v>
      </c>
      <c r="H110" s="242"/>
      <c r="I110" s="121">
        <v>1.87</v>
      </c>
      <c r="J110" s="115"/>
      <c r="K110" s="98">
        <f xml:space="preserve"> ((0.2*0.25)*I110) + ((0.15*0.3)*I110)</f>
        <v>0.17765000000000003</v>
      </c>
      <c r="L110" s="98"/>
      <c r="M110" s="98"/>
      <c r="N110" s="102"/>
    </row>
    <row r="111" spans="2:14" ht="21" customHeight="1" x14ac:dyDescent="0.25">
      <c r="B111" s="52"/>
      <c r="C111" s="60"/>
      <c r="D111" s="169" t="s">
        <v>630</v>
      </c>
      <c r="E111" s="67"/>
      <c r="F111" s="110">
        <v>1</v>
      </c>
      <c r="G111" s="241" t="s">
        <v>683</v>
      </c>
      <c r="H111" s="242"/>
      <c r="I111" s="121">
        <v>1.9</v>
      </c>
      <c r="J111" s="115"/>
      <c r="K111" s="98">
        <f xml:space="preserve"> ((0.2*0.25)*3*I111) + ((0.2*0.2)*I111) + ((0.15*0.2)*I111)</f>
        <v>0.41800000000000004</v>
      </c>
      <c r="L111" s="98"/>
      <c r="M111" s="98"/>
      <c r="N111" s="102"/>
    </row>
    <row r="112" spans="2:14" x14ac:dyDescent="0.25">
      <c r="B112" s="52"/>
      <c r="C112" s="60"/>
      <c r="D112" s="169" t="s">
        <v>631</v>
      </c>
      <c r="E112" s="67"/>
      <c r="F112" s="110">
        <v>1</v>
      </c>
      <c r="G112" s="241" t="s">
        <v>685</v>
      </c>
      <c r="H112" s="242"/>
      <c r="I112" s="121">
        <v>1.92</v>
      </c>
      <c r="J112" s="115"/>
      <c r="K112" s="98">
        <f xml:space="preserve"> ((0.2*0.25)*I112) + ((0.15*0.25)*I112*2)</f>
        <v>0.24</v>
      </c>
      <c r="L112" s="98"/>
      <c r="M112" s="98"/>
      <c r="N112" s="102"/>
    </row>
    <row r="113" spans="2:14" x14ac:dyDescent="0.25">
      <c r="B113" s="52"/>
      <c r="C113" s="60"/>
      <c r="D113" s="169" t="s">
        <v>616</v>
      </c>
      <c r="E113" s="67"/>
      <c r="F113" s="110">
        <v>1</v>
      </c>
      <c r="G113" s="241" t="s">
        <v>684</v>
      </c>
      <c r="H113" s="242"/>
      <c r="I113" s="102">
        <v>1.94</v>
      </c>
      <c r="J113" s="115"/>
      <c r="K113" s="98">
        <f xml:space="preserve"> ((0.15*0.3)*I113*3)</f>
        <v>0.26189999999999997</v>
      </c>
      <c r="L113" s="98"/>
      <c r="M113" s="98"/>
      <c r="N113" s="102"/>
    </row>
    <row r="114" spans="2:14" ht="22.5" x14ac:dyDescent="0.25">
      <c r="B114" s="52"/>
      <c r="C114" s="60"/>
      <c r="D114" s="169" t="s">
        <v>617</v>
      </c>
      <c r="E114" s="67"/>
      <c r="F114" s="110">
        <v>1</v>
      </c>
      <c r="G114" s="241" t="s">
        <v>686</v>
      </c>
      <c r="H114" s="242"/>
      <c r="I114" s="102">
        <v>1.96</v>
      </c>
      <c r="J114" s="115"/>
      <c r="K114" s="98">
        <f xml:space="preserve"> ((0.2*0.25)*I114*3) + ((0.15*0.25)*I114*2)</f>
        <v>0.44100000000000006</v>
      </c>
      <c r="L114" s="98"/>
      <c r="M114" s="98"/>
      <c r="N114" s="102"/>
    </row>
    <row r="115" spans="2:14" ht="22.5" x14ac:dyDescent="0.25">
      <c r="B115" s="52"/>
      <c r="C115" s="60"/>
      <c r="D115" s="169" t="s">
        <v>618</v>
      </c>
      <c r="E115" s="67"/>
      <c r="F115" s="110">
        <v>1</v>
      </c>
      <c r="G115" s="245" t="s">
        <v>687</v>
      </c>
      <c r="H115" s="246"/>
      <c r="I115" s="102">
        <v>1.95</v>
      </c>
      <c r="J115" s="115"/>
      <c r="K115" s="98">
        <f xml:space="preserve"> ((0.2*0.25)*I115*3) + ((0.15*0.25)*I115*2) + ((0.2*0.3)*I115)</f>
        <v>0.55574999999999997</v>
      </c>
      <c r="L115" s="98"/>
      <c r="M115" s="98"/>
      <c r="N115" s="102"/>
    </row>
    <row r="116" spans="2:14" x14ac:dyDescent="0.25">
      <c r="B116" s="52"/>
      <c r="C116" s="60"/>
      <c r="D116" s="169" t="s">
        <v>619</v>
      </c>
      <c r="E116" s="67"/>
      <c r="F116" s="110">
        <v>1</v>
      </c>
      <c r="G116" s="241" t="s">
        <v>688</v>
      </c>
      <c r="H116" s="242"/>
      <c r="I116" s="102">
        <v>1.97</v>
      </c>
      <c r="J116" s="115"/>
      <c r="K116" s="98">
        <f xml:space="preserve"> ((0.2 * 0.25)*I116*2) + ((0.15*0.25)*I116*1)</f>
        <v>0.27087499999999998</v>
      </c>
      <c r="L116" s="98"/>
      <c r="M116" s="98"/>
      <c r="N116" s="102"/>
    </row>
    <row r="117" spans="2:14" x14ac:dyDescent="0.25">
      <c r="B117" s="52"/>
      <c r="C117" s="60"/>
      <c r="D117" s="169" t="s">
        <v>632</v>
      </c>
      <c r="E117" s="67"/>
      <c r="F117" s="110">
        <v>1</v>
      </c>
      <c r="G117" s="241" t="s">
        <v>689</v>
      </c>
      <c r="H117" s="242"/>
      <c r="I117" s="102">
        <v>1.9</v>
      </c>
      <c r="J117" s="115"/>
      <c r="K117" s="98">
        <f xml:space="preserve"> ((0.15 * 0.25)*I117*3)</f>
        <v>0.21375</v>
      </c>
      <c r="L117" s="98"/>
      <c r="M117" s="98"/>
      <c r="N117" s="102"/>
    </row>
    <row r="118" spans="2:14" ht="22.15" customHeight="1" x14ac:dyDescent="0.25">
      <c r="B118" s="52"/>
      <c r="C118" s="60"/>
      <c r="D118" s="169" t="s">
        <v>633</v>
      </c>
      <c r="E118" s="67"/>
      <c r="F118" s="110">
        <v>1</v>
      </c>
      <c r="G118" s="245" t="s">
        <v>690</v>
      </c>
      <c r="H118" s="246"/>
      <c r="I118" s="102">
        <v>1.86</v>
      </c>
      <c r="J118" s="115"/>
      <c r="K118" s="98">
        <f xml:space="preserve"> ((0.2*0.25)*I118) + ((0.15*0.25)*I118) + ((0.2*0.35)*I118)</f>
        <v>0.29294999999999999</v>
      </c>
      <c r="L118" s="98"/>
      <c r="M118" s="98"/>
      <c r="N118" s="102"/>
    </row>
    <row r="119" spans="2:14" x14ac:dyDescent="0.25">
      <c r="B119" s="52"/>
      <c r="C119" s="60"/>
      <c r="D119" s="169" t="s">
        <v>635</v>
      </c>
      <c r="E119" s="67"/>
      <c r="F119" s="110">
        <v>1</v>
      </c>
      <c r="G119" s="241" t="s">
        <v>691</v>
      </c>
      <c r="H119" s="242"/>
      <c r="I119" s="102">
        <v>1.87</v>
      </c>
      <c r="J119" s="115"/>
      <c r="K119" s="98">
        <f xml:space="preserve"> ((0.2*0.25)*I119) + ((0.15*0.3)*2*I119)</f>
        <v>0.26180000000000003</v>
      </c>
      <c r="L119" s="98"/>
      <c r="M119" s="98"/>
      <c r="N119" s="102"/>
    </row>
    <row r="120" spans="2:14" ht="27" customHeight="1" x14ac:dyDescent="0.25">
      <c r="B120" s="52"/>
      <c r="C120" s="60"/>
      <c r="D120" s="169" t="s">
        <v>620</v>
      </c>
      <c r="E120" s="67"/>
      <c r="F120" s="110">
        <v>1</v>
      </c>
      <c r="G120" s="245" t="s">
        <v>692</v>
      </c>
      <c r="H120" s="246"/>
      <c r="I120" s="102">
        <v>1.9</v>
      </c>
      <c r="J120" s="115"/>
      <c r="K120" s="98">
        <f xml:space="preserve"> ((0.2*0.3)*I120) + ((0.15*0.3)*I120) +  ((0.15*0.25)*I120) + ((0.15*0.35)*I120)</f>
        <v>0.3705</v>
      </c>
      <c r="L120" s="98"/>
      <c r="M120" s="98"/>
      <c r="N120" s="102"/>
    </row>
    <row r="121" spans="2:14" x14ac:dyDescent="0.25">
      <c r="B121" s="52"/>
      <c r="C121" s="60"/>
      <c r="D121" s="169" t="s">
        <v>621</v>
      </c>
      <c r="E121" s="67"/>
      <c r="F121" s="110">
        <v>1</v>
      </c>
      <c r="G121" s="241" t="s">
        <v>693</v>
      </c>
      <c r="H121" s="242"/>
      <c r="I121" s="102">
        <v>1.91</v>
      </c>
      <c r="J121" s="115"/>
      <c r="K121" s="98">
        <f>((0.15*0.25)*I121) +  ((0.2*0.3)*I121)</f>
        <v>0.18622499999999997</v>
      </c>
      <c r="L121" s="98"/>
      <c r="M121" s="98"/>
      <c r="N121" s="102"/>
    </row>
    <row r="122" spans="2:14" ht="22.5" x14ac:dyDescent="0.25">
      <c r="B122" s="52"/>
      <c r="C122" s="60"/>
      <c r="D122" s="169" t="s">
        <v>622</v>
      </c>
      <c r="E122" s="67"/>
      <c r="F122" s="110">
        <v>1</v>
      </c>
      <c r="G122" s="241" t="s">
        <v>694</v>
      </c>
      <c r="H122" s="242"/>
      <c r="I122" s="102">
        <v>1.94</v>
      </c>
      <c r="J122" s="115"/>
      <c r="K122" s="98">
        <f>((0.15*0.25)*5*I122) +  ((0.25*0.25)*I122)</f>
        <v>0.48499999999999999</v>
      </c>
      <c r="L122" s="98"/>
      <c r="M122" s="98"/>
      <c r="N122" s="102"/>
    </row>
    <row r="123" spans="2:14" ht="25.15" customHeight="1" x14ac:dyDescent="0.25">
      <c r="B123" s="52"/>
      <c r="C123" s="60"/>
      <c r="D123" s="169" t="s">
        <v>623</v>
      </c>
      <c r="E123" s="67"/>
      <c r="F123" s="110">
        <v>1</v>
      </c>
      <c r="G123" s="245" t="s">
        <v>695</v>
      </c>
      <c r="H123" s="246"/>
      <c r="I123" s="102">
        <v>1.93</v>
      </c>
      <c r="J123" s="115"/>
      <c r="K123" s="98">
        <f xml:space="preserve"> ((0.2*0.25)*I123) + ((0.15*0.25)*I123) + ((0.25*0.25)*I123)</f>
        <v>0.28949999999999998</v>
      </c>
      <c r="L123" s="98"/>
      <c r="M123" s="98"/>
      <c r="N123" s="102"/>
    </row>
    <row r="124" spans="2:14" x14ac:dyDescent="0.25">
      <c r="B124" s="52"/>
      <c r="C124" s="60"/>
      <c r="D124" s="169" t="s">
        <v>636</v>
      </c>
      <c r="E124" s="67"/>
      <c r="F124" s="110">
        <v>1</v>
      </c>
      <c r="G124" s="241" t="s">
        <v>696</v>
      </c>
      <c r="H124" s="242"/>
      <c r="I124" s="102">
        <v>1.92</v>
      </c>
      <c r="J124" s="115"/>
      <c r="K124" s="98">
        <f xml:space="preserve"> ((0.15*0.25)*2*I124) + ((0.25*0.25)*I124)</f>
        <v>0.26400000000000001</v>
      </c>
      <c r="L124" s="98"/>
      <c r="M124" s="98"/>
      <c r="N124" s="102"/>
    </row>
    <row r="125" spans="2:14" x14ac:dyDescent="0.25">
      <c r="B125" s="52"/>
      <c r="C125" s="60"/>
      <c r="D125" s="169" t="s">
        <v>624</v>
      </c>
      <c r="E125" s="67"/>
      <c r="F125" s="110">
        <v>1</v>
      </c>
      <c r="G125" s="241" t="s">
        <v>697</v>
      </c>
      <c r="H125" s="242"/>
      <c r="I125" s="102">
        <v>1.87</v>
      </c>
      <c r="J125" s="115"/>
      <c r="K125" s="98">
        <f xml:space="preserve"> ((0.15*0.25)*2*I125) + ((0.2*0.25)*2*I125)</f>
        <v>0.32725000000000004</v>
      </c>
      <c r="L125" s="98"/>
      <c r="M125" s="98"/>
      <c r="N125" s="102"/>
    </row>
    <row r="126" spans="2:14" x14ac:dyDescent="0.25">
      <c r="B126" s="52"/>
      <c r="C126" s="60"/>
      <c r="D126" s="169" t="s">
        <v>625</v>
      </c>
      <c r="E126" s="67"/>
      <c r="F126" s="110">
        <v>1</v>
      </c>
      <c r="G126" s="241" t="s">
        <v>698</v>
      </c>
      <c r="H126" s="242"/>
      <c r="I126" s="102">
        <v>1.88</v>
      </c>
      <c r="J126" s="115"/>
      <c r="K126" s="98">
        <f xml:space="preserve"> ((0.15*0.25)*3*I126) + ((0.2*0.25)*I126)</f>
        <v>0.30549999999999999</v>
      </c>
      <c r="L126" s="98"/>
      <c r="M126" s="98"/>
      <c r="N126" s="102"/>
    </row>
    <row r="127" spans="2:14" x14ac:dyDescent="0.25">
      <c r="B127" s="52"/>
      <c r="C127" s="60"/>
      <c r="D127" s="169" t="s">
        <v>626</v>
      </c>
      <c r="E127" s="67"/>
      <c r="F127" s="110">
        <v>1</v>
      </c>
      <c r="G127" s="241" t="s">
        <v>699</v>
      </c>
      <c r="H127" s="242"/>
      <c r="I127" s="102">
        <v>1.9</v>
      </c>
      <c r="J127" s="115"/>
      <c r="K127" s="98">
        <f xml:space="preserve"> ((0.2*0.25)*3*I127) + ((0.25*0.25)*I127)</f>
        <v>0.40375000000000005</v>
      </c>
      <c r="L127" s="98"/>
      <c r="M127" s="98"/>
      <c r="N127" s="102"/>
    </row>
    <row r="128" spans="2:14" x14ac:dyDescent="0.25">
      <c r="B128" s="52"/>
      <c r="C128" s="60"/>
      <c r="D128" s="169" t="s">
        <v>638</v>
      </c>
      <c r="E128" s="67"/>
      <c r="F128" s="110">
        <v>1</v>
      </c>
      <c r="G128" s="241" t="s">
        <v>700</v>
      </c>
      <c r="H128" s="242"/>
      <c r="I128" s="102">
        <v>1.9</v>
      </c>
      <c r="J128" s="115"/>
      <c r="K128" s="98">
        <f xml:space="preserve"> ((0.2*0.2)*I128)</f>
        <v>7.6000000000000012E-2</v>
      </c>
      <c r="L128" s="98"/>
      <c r="M128" s="98"/>
      <c r="N128" s="102"/>
    </row>
    <row r="129" spans="2:14" x14ac:dyDescent="0.25">
      <c r="B129" s="52"/>
      <c r="C129" s="60"/>
      <c r="D129" s="169" t="s">
        <v>637</v>
      </c>
      <c r="E129" s="67"/>
      <c r="F129" s="110">
        <v>1</v>
      </c>
      <c r="G129" s="241" t="s">
        <v>701</v>
      </c>
      <c r="H129" s="242"/>
      <c r="I129" s="102">
        <v>1.97</v>
      </c>
      <c r="J129" s="115"/>
      <c r="K129" s="98">
        <f xml:space="preserve"> ((0.2*0.25)*I129) + ((0.15*0.25)*I129)</f>
        <v>0.172375</v>
      </c>
      <c r="L129" s="98"/>
      <c r="M129" s="98"/>
      <c r="N129" s="102"/>
    </row>
    <row r="130" spans="2:14" x14ac:dyDescent="0.25">
      <c r="B130" s="52"/>
      <c r="C130" s="60"/>
      <c r="D130" s="169" t="s">
        <v>639</v>
      </c>
      <c r="E130" s="67"/>
      <c r="F130" s="110">
        <v>1</v>
      </c>
      <c r="G130" s="241" t="s">
        <v>702</v>
      </c>
      <c r="H130" s="242"/>
      <c r="I130" s="102">
        <v>2</v>
      </c>
      <c r="J130" s="115"/>
      <c r="K130" s="98">
        <f>((0.2*0.25)*I130) + ((0.15*0.25)*2*I130)</f>
        <v>0.25</v>
      </c>
      <c r="L130" s="98"/>
      <c r="M130" s="98"/>
      <c r="N130" s="102"/>
    </row>
    <row r="131" spans="2:14" ht="22.5" x14ac:dyDescent="0.25">
      <c r="B131" s="52"/>
      <c r="C131" s="60"/>
      <c r="D131" s="169" t="s">
        <v>627</v>
      </c>
      <c r="E131" s="67"/>
      <c r="F131" s="110">
        <v>1</v>
      </c>
      <c r="G131" s="245" t="s">
        <v>703</v>
      </c>
      <c r="H131" s="246"/>
      <c r="I131" s="102">
        <v>2.0099999999999998</v>
      </c>
      <c r="J131" s="115"/>
      <c r="K131" s="98">
        <f>((0.2*0.3)*I131) + ((0.15*0.25)*5*I131)  + ((0.25*0.25)*I131)</f>
        <v>0.62309999999999999</v>
      </c>
      <c r="L131" s="98"/>
      <c r="M131" s="98"/>
      <c r="N131" s="102"/>
    </row>
    <row r="132" spans="2:14" x14ac:dyDescent="0.25">
      <c r="B132" s="52"/>
      <c r="C132" s="60"/>
      <c r="D132" s="169" t="s">
        <v>640</v>
      </c>
      <c r="E132" s="67"/>
      <c r="F132" s="110">
        <v>1</v>
      </c>
      <c r="G132" s="241" t="s">
        <v>705</v>
      </c>
      <c r="H132" s="242"/>
      <c r="I132" s="102">
        <v>1.86</v>
      </c>
      <c r="J132" s="115"/>
      <c r="K132" s="98">
        <f xml:space="preserve"> ((0.15*0.3)*I132)</f>
        <v>8.3699999999999997E-2</v>
      </c>
      <c r="L132" s="98"/>
      <c r="M132" s="98"/>
      <c r="N132" s="102"/>
    </row>
    <row r="133" spans="2:14" x14ac:dyDescent="0.25">
      <c r="B133" s="52"/>
      <c r="C133" s="60"/>
      <c r="D133" s="169" t="s">
        <v>641</v>
      </c>
      <c r="E133" s="67"/>
      <c r="F133" s="110">
        <v>1</v>
      </c>
      <c r="G133" s="241" t="s">
        <v>704</v>
      </c>
      <c r="H133" s="242"/>
      <c r="I133" s="102">
        <v>1.87</v>
      </c>
      <c r="J133" s="115"/>
      <c r="K133" s="98">
        <f xml:space="preserve"> ((0.15*0.3)*I133)</f>
        <v>8.4150000000000003E-2</v>
      </c>
      <c r="L133" s="98"/>
      <c r="M133" s="98"/>
      <c r="N133" s="102"/>
    </row>
    <row r="134" spans="2:14" x14ac:dyDescent="0.25">
      <c r="B134" s="52"/>
      <c r="C134" s="60"/>
      <c r="D134" s="169" t="s">
        <v>642</v>
      </c>
      <c r="E134" s="67"/>
      <c r="F134" s="110">
        <v>1</v>
      </c>
      <c r="G134" s="241" t="s">
        <v>704</v>
      </c>
      <c r="H134" s="242"/>
      <c r="I134" s="102">
        <v>1.89</v>
      </c>
      <c r="J134" s="115"/>
      <c r="K134" s="98">
        <f xml:space="preserve"> ((0.15*0.5)*I134)</f>
        <v>0.14174999999999999</v>
      </c>
      <c r="L134" s="98"/>
      <c r="M134" s="98"/>
      <c r="N134" s="102"/>
    </row>
    <row r="135" spans="2:14" x14ac:dyDescent="0.25">
      <c r="B135" s="52"/>
      <c r="C135" s="60"/>
      <c r="D135" s="169" t="s">
        <v>643</v>
      </c>
      <c r="E135" s="67"/>
      <c r="F135" s="110">
        <v>1</v>
      </c>
      <c r="G135" s="241" t="s">
        <v>706</v>
      </c>
      <c r="H135" s="242"/>
      <c r="I135" s="102">
        <v>1.9</v>
      </c>
      <c r="J135" s="115"/>
      <c r="K135" s="98">
        <f xml:space="preserve"> ((0.15*0.25)*I135)</f>
        <v>7.1249999999999994E-2</v>
      </c>
      <c r="L135" s="98"/>
      <c r="M135" s="98"/>
      <c r="N135" s="102"/>
    </row>
    <row r="136" spans="2:14" x14ac:dyDescent="0.25">
      <c r="B136" s="52"/>
      <c r="C136" s="60"/>
      <c r="D136" s="169" t="s">
        <v>644</v>
      </c>
      <c r="E136" s="67"/>
      <c r="F136" s="110">
        <v>1</v>
      </c>
      <c r="G136" s="241" t="s">
        <v>705</v>
      </c>
      <c r="H136" s="242"/>
      <c r="I136" s="102">
        <v>1.92</v>
      </c>
      <c r="J136" s="115"/>
      <c r="K136" s="98">
        <f t="shared" ref="K136" si="9" xml:space="preserve"> ((0.15*0.3)*I136)</f>
        <v>8.6399999999999991E-2</v>
      </c>
      <c r="L136" s="98"/>
      <c r="M136" s="98"/>
      <c r="N136" s="102"/>
    </row>
    <row r="137" spans="2:14" x14ac:dyDescent="0.25">
      <c r="B137" s="52"/>
      <c r="C137" s="60"/>
      <c r="D137" s="169" t="s">
        <v>645</v>
      </c>
      <c r="E137" s="67"/>
      <c r="F137" s="110">
        <v>1</v>
      </c>
      <c r="G137" s="241" t="s">
        <v>706</v>
      </c>
      <c r="H137" s="242"/>
      <c r="I137" s="102">
        <v>1.9</v>
      </c>
      <c r="J137" s="115"/>
      <c r="K137" s="98">
        <f xml:space="preserve"> ((0.15*0.25)*I137)</f>
        <v>7.1249999999999994E-2</v>
      </c>
      <c r="L137" s="98"/>
      <c r="M137" s="98"/>
      <c r="N137" s="102"/>
    </row>
    <row r="138" spans="2:14" x14ac:dyDescent="0.25">
      <c r="B138" s="52"/>
      <c r="C138" s="60"/>
      <c r="D138" s="169" t="s">
        <v>646</v>
      </c>
      <c r="E138" s="67"/>
      <c r="F138" s="110">
        <v>1</v>
      </c>
      <c r="G138" s="241" t="s">
        <v>705</v>
      </c>
      <c r="H138" s="242"/>
      <c r="I138" s="102">
        <v>1.98</v>
      </c>
      <c r="J138" s="115"/>
      <c r="K138" s="98">
        <f t="shared" ref="K138" si="10" xml:space="preserve"> ((0.15*0.3)*I138)</f>
        <v>8.9099999999999999E-2</v>
      </c>
      <c r="L138" s="98"/>
      <c r="M138" s="98"/>
      <c r="N138" s="102"/>
    </row>
    <row r="139" spans="2:14" x14ac:dyDescent="0.25">
      <c r="B139" s="52"/>
      <c r="C139" s="60"/>
      <c r="D139" s="169" t="s">
        <v>708</v>
      </c>
      <c r="E139" s="67"/>
      <c r="F139" s="110">
        <v>1</v>
      </c>
      <c r="G139" s="241">
        <v>9.6</v>
      </c>
      <c r="H139" s="243"/>
      <c r="I139" s="244"/>
      <c r="J139" s="115"/>
      <c r="K139" s="98">
        <f>F139*G139*-1</f>
        <v>-9.6</v>
      </c>
      <c r="L139" s="98"/>
      <c r="M139" s="98"/>
      <c r="N139" s="102"/>
    </row>
    <row r="140" spans="2:14" x14ac:dyDescent="0.25">
      <c r="B140" s="52"/>
      <c r="C140" s="60"/>
      <c r="D140" s="180" t="s">
        <v>611</v>
      </c>
      <c r="E140" s="67"/>
      <c r="F140" s="110"/>
      <c r="G140" s="120"/>
      <c r="H140" s="108"/>
      <c r="I140" s="121"/>
      <c r="J140" s="115"/>
      <c r="K140" s="97"/>
      <c r="L140" s="98"/>
      <c r="M140" s="98"/>
      <c r="N140" s="102"/>
    </row>
    <row r="141" spans="2:14" x14ac:dyDescent="0.25">
      <c r="B141" s="52"/>
      <c r="C141" s="60"/>
      <c r="D141" s="169" t="s">
        <v>602</v>
      </c>
      <c r="E141" s="67"/>
      <c r="F141" s="110">
        <v>1</v>
      </c>
      <c r="G141" s="120">
        <v>4.758</v>
      </c>
      <c r="H141" s="108">
        <v>0.15</v>
      </c>
      <c r="I141" s="121">
        <v>0.2</v>
      </c>
      <c r="J141" s="115"/>
      <c r="K141" s="98">
        <f>F141*(G141*H141*I141)</f>
        <v>0.14274000000000001</v>
      </c>
      <c r="L141" s="98"/>
      <c r="M141" s="98"/>
      <c r="N141" s="102"/>
    </row>
    <row r="142" spans="2:14" x14ac:dyDescent="0.25">
      <c r="B142" s="52"/>
      <c r="C142" s="60"/>
      <c r="D142" s="169" t="s">
        <v>603</v>
      </c>
      <c r="E142" s="67"/>
      <c r="F142" s="110">
        <v>1</v>
      </c>
      <c r="G142" s="120">
        <v>3.097</v>
      </c>
      <c r="H142" s="108">
        <v>0.15</v>
      </c>
      <c r="I142" s="121">
        <v>0.2</v>
      </c>
      <c r="J142" s="115"/>
      <c r="K142" s="98">
        <f t="shared" ref="K142:K147" si="11">F142*(G142*H142*I142)</f>
        <v>9.2909999999999993E-2</v>
      </c>
      <c r="L142" s="98"/>
      <c r="M142" s="98"/>
      <c r="N142" s="102"/>
    </row>
    <row r="143" spans="2:14" x14ac:dyDescent="0.25">
      <c r="B143" s="52"/>
      <c r="C143" s="60"/>
      <c r="D143" s="169" t="s">
        <v>604</v>
      </c>
      <c r="E143" s="67"/>
      <c r="F143" s="110">
        <v>1</v>
      </c>
      <c r="G143" s="120">
        <v>3.0470000000000002</v>
      </c>
      <c r="H143" s="108">
        <v>0.15</v>
      </c>
      <c r="I143" s="121">
        <v>0.2</v>
      </c>
      <c r="J143" s="115"/>
      <c r="K143" s="98">
        <f t="shared" si="11"/>
        <v>9.1410000000000005E-2</v>
      </c>
      <c r="L143" s="98"/>
      <c r="M143" s="98"/>
      <c r="N143" s="102"/>
    </row>
    <row r="144" spans="2:14" x14ac:dyDescent="0.25">
      <c r="B144" s="52"/>
      <c r="C144" s="60"/>
      <c r="D144" s="169" t="s">
        <v>605</v>
      </c>
      <c r="E144" s="67"/>
      <c r="F144" s="110">
        <v>1</v>
      </c>
      <c r="G144" s="120">
        <v>5.109</v>
      </c>
      <c r="H144" s="108">
        <v>0.15</v>
      </c>
      <c r="I144" s="121">
        <v>0.2</v>
      </c>
      <c r="J144" s="115"/>
      <c r="K144" s="98">
        <f t="shared" si="11"/>
        <v>0.15327000000000002</v>
      </c>
      <c r="L144" s="98"/>
      <c r="M144" s="98"/>
      <c r="N144" s="102"/>
    </row>
    <row r="145" spans="2:21" x14ac:dyDescent="0.25">
      <c r="B145" s="52"/>
      <c r="C145" s="60"/>
      <c r="D145" s="169" t="s">
        <v>606</v>
      </c>
      <c r="E145" s="67"/>
      <c r="F145" s="110">
        <v>1</v>
      </c>
      <c r="G145" s="120">
        <v>2.5640000000000001</v>
      </c>
      <c r="H145" s="108">
        <v>0.15</v>
      </c>
      <c r="I145" s="121">
        <v>0.2</v>
      </c>
      <c r="J145" s="115"/>
      <c r="K145" s="98">
        <f t="shared" si="11"/>
        <v>7.6920000000000002E-2</v>
      </c>
      <c r="L145" s="98"/>
      <c r="M145" s="98"/>
      <c r="N145" s="102"/>
    </row>
    <row r="146" spans="2:21" x14ac:dyDescent="0.25">
      <c r="B146" s="52"/>
      <c r="C146" s="60"/>
      <c r="D146" s="169" t="s">
        <v>607</v>
      </c>
      <c r="E146" s="67"/>
      <c r="F146" s="110">
        <v>1</v>
      </c>
      <c r="G146" s="120">
        <v>1.6779999999999999</v>
      </c>
      <c r="H146" s="108">
        <v>0.15</v>
      </c>
      <c r="I146" s="121">
        <v>0.2</v>
      </c>
      <c r="J146" s="115"/>
      <c r="K146" s="98">
        <f t="shared" si="11"/>
        <v>5.0339999999999996E-2</v>
      </c>
      <c r="L146" s="98"/>
      <c r="M146" s="98"/>
      <c r="N146" s="102"/>
    </row>
    <row r="147" spans="2:21" x14ac:dyDescent="0.25">
      <c r="B147" s="52"/>
      <c r="C147" s="60"/>
      <c r="D147" s="169" t="s">
        <v>608</v>
      </c>
      <c r="E147" s="67"/>
      <c r="F147" s="110">
        <v>1</v>
      </c>
      <c r="G147" s="120">
        <v>6.5330000000000004</v>
      </c>
      <c r="H147" s="108">
        <v>0.15</v>
      </c>
      <c r="I147" s="121">
        <v>0.2</v>
      </c>
      <c r="J147" s="115"/>
      <c r="K147" s="98">
        <f t="shared" si="11"/>
        <v>0.19599</v>
      </c>
      <c r="L147" s="98"/>
      <c r="M147" s="98"/>
      <c r="N147" s="102"/>
    </row>
    <row r="148" spans="2:21" ht="33.75" x14ac:dyDescent="0.25">
      <c r="B148" s="52" t="s">
        <v>66</v>
      </c>
      <c r="C148" s="60">
        <v>94964</v>
      </c>
      <c r="D148" s="55" t="s">
        <v>68</v>
      </c>
      <c r="E148" s="67" t="s">
        <v>41</v>
      </c>
      <c r="F148" s="110"/>
      <c r="G148" s="120"/>
      <c r="H148" s="108"/>
      <c r="I148" s="121"/>
      <c r="J148" s="115">
        <f>'BOLETIM DE MEDIÇÃO 02'!O31-'MEMORIAL DE CALCULO 02'!K148</f>
        <v>-9.6</v>
      </c>
      <c r="K148" s="97">
        <f>G150</f>
        <v>9.6</v>
      </c>
      <c r="L148" s="98">
        <f t="shared" si="0"/>
        <v>0</v>
      </c>
      <c r="M148" s="98">
        <f>'BOLETIM DE MEDIÇÃO 02'!G31</f>
        <v>9.6</v>
      </c>
      <c r="N148" s="102">
        <f t="shared" si="1"/>
        <v>9.6</v>
      </c>
    </row>
    <row r="149" spans="2:21" x14ac:dyDescent="0.25">
      <c r="B149" s="52"/>
      <c r="C149" s="60"/>
      <c r="D149" s="188" t="s">
        <v>588</v>
      </c>
      <c r="E149" s="67"/>
      <c r="F149" s="110"/>
      <c r="G149" s="241"/>
      <c r="H149" s="243"/>
      <c r="I149" s="244"/>
      <c r="J149" s="115"/>
      <c r="K149" s="98"/>
      <c r="L149" s="98"/>
      <c r="M149" s="98"/>
      <c r="N149" s="102"/>
    </row>
    <row r="150" spans="2:21" x14ac:dyDescent="0.25">
      <c r="B150" s="52"/>
      <c r="C150" s="60"/>
      <c r="D150" s="169" t="s">
        <v>590</v>
      </c>
      <c r="E150" s="67"/>
      <c r="F150" s="110"/>
      <c r="G150" s="241">
        <v>9.6</v>
      </c>
      <c r="H150" s="243"/>
      <c r="I150" s="244"/>
      <c r="J150" s="115"/>
      <c r="K150" s="98"/>
      <c r="L150" s="98"/>
      <c r="M150" s="98"/>
      <c r="N150" s="102"/>
      <c r="S150" s="189"/>
      <c r="T150" s="189"/>
      <c r="U150" s="190"/>
    </row>
    <row r="151" spans="2:21" ht="22.5" x14ac:dyDescent="0.25">
      <c r="B151" s="52" t="s">
        <v>69</v>
      </c>
      <c r="C151" s="60">
        <v>103670</v>
      </c>
      <c r="D151" s="55" t="s">
        <v>71</v>
      </c>
      <c r="E151" s="67" t="s">
        <v>41</v>
      </c>
      <c r="F151" s="110"/>
      <c r="G151" s="120"/>
      <c r="H151" s="108"/>
      <c r="I151" s="121"/>
      <c r="J151" s="115">
        <f>'BOLETIM DE MEDIÇÃO 02'!O32-'MEMORIAL DE CALCULO 02'!K151</f>
        <v>0</v>
      </c>
      <c r="K151" s="97">
        <f>K148+K99</f>
        <v>18.013054999999998</v>
      </c>
      <c r="L151" s="98">
        <f t="shared" si="0"/>
        <v>18.013054999999998</v>
      </c>
      <c r="M151" s="98">
        <f>'BOLETIM DE MEDIÇÃO 02'!G32</f>
        <v>30.76</v>
      </c>
      <c r="N151" s="102">
        <f t="shared" si="1"/>
        <v>12.746945000000004</v>
      </c>
    </row>
    <row r="152" spans="2:21" x14ac:dyDescent="0.25">
      <c r="B152" s="52"/>
      <c r="C152" s="60"/>
      <c r="D152" s="168" t="s">
        <v>614</v>
      </c>
      <c r="E152" s="67"/>
      <c r="F152" s="110">
        <v>1</v>
      </c>
      <c r="G152" s="241">
        <f>K148</f>
        <v>9.6</v>
      </c>
      <c r="H152" s="243"/>
      <c r="I152" s="244"/>
      <c r="J152" s="115"/>
      <c r="K152" s="98">
        <f>F152*G152</f>
        <v>9.6</v>
      </c>
      <c r="L152" s="98"/>
      <c r="M152" s="98"/>
      <c r="N152" s="102"/>
    </row>
    <row r="153" spans="2:21" ht="22.5" x14ac:dyDescent="0.25">
      <c r="B153" s="52" t="s">
        <v>72</v>
      </c>
      <c r="C153" s="60">
        <v>96543</v>
      </c>
      <c r="D153" s="55" t="s">
        <v>74</v>
      </c>
      <c r="E153" s="67" t="s">
        <v>62</v>
      </c>
      <c r="F153" s="110"/>
      <c r="G153" s="120"/>
      <c r="H153" s="108"/>
      <c r="I153" s="121"/>
      <c r="J153" s="115">
        <f>'BOLETIM DE MEDIÇÃO 02'!O33-'MEMORIAL DE CALCULO 02'!K153</f>
        <v>0</v>
      </c>
      <c r="K153" s="97">
        <f>SUM(K155:K192)</f>
        <v>194.26804319999999</v>
      </c>
      <c r="L153" s="98">
        <f t="shared" si="0"/>
        <v>194.26804319999999</v>
      </c>
      <c r="M153" s="98">
        <f>'BOLETIM DE MEDIÇÃO 02'!G33</f>
        <v>404.4</v>
      </c>
      <c r="N153" s="102">
        <f t="shared" si="1"/>
        <v>210.13195679999998</v>
      </c>
    </row>
    <row r="154" spans="2:21" ht="33.75" x14ac:dyDescent="0.25">
      <c r="B154" s="52"/>
      <c r="C154" s="60"/>
      <c r="D154" s="180" t="s">
        <v>647</v>
      </c>
      <c r="E154" s="67"/>
      <c r="F154" s="110"/>
      <c r="G154" s="245" t="s">
        <v>648</v>
      </c>
      <c r="H154" s="246"/>
      <c r="I154" s="146" t="s">
        <v>612</v>
      </c>
      <c r="J154" s="115"/>
      <c r="K154" s="98"/>
      <c r="L154" s="98"/>
      <c r="M154" s="98"/>
      <c r="N154" s="102"/>
    </row>
    <row r="155" spans="2:21" x14ac:dyDescent="0.25">
      <c r="B155" s="52"/>
      <c r="C155" s="60"/>
      <c r="D155" s="169" t="s">
        <v>615</v>
      </c>
      <c r="E155" s="67"/>
      <c r="F155" s="121">
        <v>1</v>
      </c>
      <c r="G155" s="241">
        <f xml:space="preserve"> ((0.59*(1.85/0.1)) * 2)</f>
        <v>21.83</v>
      </c>
      <c r="H155" s="242"/>
      <c r="I155" s="183">
        <v>0.154</v>
      </c>
      <c r="J155" s="115"/>
      <c r="K155" s="98">
        <f>F155*G155*I155</f>
        <v>3.3618199999999998</v>
      </c>
      <c r="L155" s="98"/>
      <c r="M155" s="98"/>
      <c r="N155" s="102"/>
    </row>
    <row r="156" spans="2:21" x14ac:dyDescent="0.25">
      <c r="B156" s="52"/>
      <c r="C156" s="60"/>
      <c r="D156" s="169" t="s">
        <v>634</v>
      </c>
      <c r="E156" s="67"/>
      <c r="F156" s="121">
        <v>1</v>
      </c>
      <c r="G156" s="241">
        <f>(0.69*(1.87/0.1)) + (0.79*(1.87/0.1))</f>
        <v>27.675999999999998</v>
      </c>
      <c r="H156" s="242"/>
      <c r="I156" s="183">
        <v>0.154</v>
      </c>
      <c r="J156" s="115"/>
      <c r="K156" s="98">
        <f t="shared" ref="K156:K184" si="12">F156*G156*I156</f>
        <v>4.2621039999999999</v>
      </c>
      <c r="L156" s="98"/>
      <c r="M156" s="98"/>
      <c r="N156" s="102"/>
    </row>
    <row r="157" spans="2:21" ht="18" customHeight="1" x14ac:dyDescent="0.25">
      <c r="B157" s="52"/>
      <c r="C157" s="60"/>
      <c r="D157" s="169" t="s">
        <v>630</v>
      </c>
      <c r="E157" s="67"/>
      <c r="F157" s="121">
        <v>1</v>
      </c>
      <c r="G157" s="241">
        <f>((0.69*(1.9/0.1))*3) + ((0.59*(1.87/0.1))*2)</f>
        <v>61.395999999999987</v>
      </c>
      <c r="H157" s="242"/>
      <c r="I157" s="183">
        <v>0.154</v>
      </c>
      <c r="J157" s="115"/>
      <c r="K157" s="98">
        <f t="shared" si="12"/>
        <v>9.4549839999999978</v>
      </c>
      <c r="L157" s="98"/>
      <c r="M157" s="98"/>
      <c r="N157" s="102"/>
    </row>
    <row r="158" spans="2:21" x14ac:dyDescent="0.25">
      <c r="B158" s="52"/>
      <c r="C158" s="60"/>
      <c r="D158" s="169" t="s">
        <v>631</v>
      </c>
      <c r="E158" s="67"/>
      <c r="F158" s="121">
        <v>1</v>
      </c>
      <c r="G158" s="241">
        <f>((0.69*(1.92/0.1))*1) + ((0.59*(1.92/0.1))*2)</f>
        <v>35.903999999999996</v>
      </c>
      <c r="H158" s="242"/>
      <c r="I158" s="183">
        <v>0.154</v>
      </c>
      <c r="J158" s="115"/>
      <c r="K158" s="98">
        <f t="shared" si="12"/>
        <v>5.529215999999999</v>
      </c>
      <c r="L158" s="98"/>
      <c r="M158" s="98"/>
      <c r="N158" s="102"/>
    </row>
    <row r="159" spans="2:21" x14ac:dyDescent="0.25">
      <c r="B159" s="52"/>
      <c r="C159" s="60"/>
      <c r="D159" s="169" t="s">
        <v>616</v>
      </c>
      <c r="E159" s="67"/>
      <c r="F159" s="121">
        <v>1</v>
      </c>
      <c r="G159" s="241">
        <f>((0.79*(1.94/0.1))*3)</f>
        <v>45.977999999999994</v>
      </c>
      <c r="H159" s="242"/>
      <c r="I159" s="183">
        <v>0.154</v>
      </c>
      <c r="J159" s="115"/>
      <c r="K159" s="98">
        <f t="shared" si="12"/>
        <v>7.0806119999999995</v>
      </c>
      <c r="L159" s="98"/>
      <c r="M159" s="98"/>
      <c r="N159" s="102"/>
    </row>
    <row r="160" spans="2:21" ht="17.45" customHeight="1" x14ac:dyDescent="0.25">
      <c r="B160" s="52"/>
      <c r="C160" s="60"/>
      <c r="D160" s="169" t="s">
        <v>617</v>
      </c>
      <c r="E160" s="67"/>
      <c r="F160" s="121">
        <v>1</v>
      </c>
      <c r="G160" s="241">
        <f>((0.69*(1.96/0.1))*3) + ((0.59*(1.96/0.1))*2)</f>
        <v>63.699999999999989</v>
      </c>
      <c r="H160" s="242"/>
      <c r="I160" s="183">
        <v>0.154</v>
      </c>
      <c r="J160" s="115"/>
      <c r="K160" s="98">
        <f t="shared" si="12"/>
        <v>9.8097999999999974</v>
      </c>
      <c r="L160" s="98"/>
      <c r="M160" s="98"/>
      <c r="N160" s="102"/>
    </row>
    <row r="161" spans="2:14" ht="22.5" x14ac:dyDescent="0.25">
      <c r="B161" s="52"/>
      <c r="C161" s="60"/>
      <c r="D161" s="169" t="s">
        <v>618</v>
      </c>
      <c r="E161" s="67"/>
      <c r="F161" s="121">
        <v>1</v>
      </c>
      <c r="G161" s="241">
        <f>((0.59*(1.95/0.1))*2) + ((0.69*(1.95/0.1))*3) +((0.79*(1.95/0.1))*1)</f>
        <v>78.78</v>
      </c>
      <c r="H161" s="242"/>
      <c r="I161" s="183">
        <v>0.154</v>
      </c>
      <c r="J161" s="115"/>
      <c r="K161" s="98">
        <f t="shared" si="12"/>
        <v>12.13212</v>
      </c>
      <c r="L161" s="98"/>
      <c r="M161" s="98"/>
      <c r="N161" s="102"/>
    </row>
    <row r="162" spans="2:14" x14ac:dyDescent="0.25">
      <c r="B162" s="52"/>
      <c r="C162" s="60"/>
      <c r="D162" s="169" t="s">
        <v>619</v>
      </c>
      <c r="E162" s="67"/>
      <c r="F162" s="121">
        <v>1</v>
      </c>
      <c r="G162" s="241">
        <f>((0.59*(1.97/0.1))*1)  +((0.79*(1.97/0.1))*2)</f>
        <v>42.749000000000002</v>
      </c>
      <c r="H162" s="242"/>
      <c r="I162" s="183">
        <v>0.154</v>
      </c>
      <c r="J162" s="115"/>
      <c r="K162" s="98">
        <f t="shared" si="12"/>
        <v>6.5833460000000006</v>
      </c>
      <c r="L162" s="98"/>
      <c r="M162" s="98"/>
      <c r="N162" s="102"/>
    </row>
    <row r="163" spans="2:14" x14ac:dyDescent="0.25">
      <c r="B163" s="52"/>
      <c r="C163" s="60"/>
      <c r="D163" s="169" t="s">
        <v>632</v>
      </c>
      <c r="E163" s="67"/>
      <c r="F163" s="121">
        <v>1</v>
      </c>
      <c r="G163" s="241">
        <f>((0.59*(1.9/0.1))*3)</f>
        <v>33.629999999999995</v>
      </c>
      <c r="H163" s="242"/>
      <c r="I163" s="183">
        <v>0.154</v>
      </c>
      <c r="J163" s="115"/>
      <c r="K163" s="98">
        <f t="shared" si="12"/>
        <v>5.1790199999999995</v>
      </c>
      <c r="L163" s="98"/>
      <c r="M163" s="98"/>
      <c r="N163" s="102"/>
    </row>
    <row r="164" spans="2:14" x14ac:dyDescent="0.25">
      <c r="B164" s="52"/>
      <c r="C164" s="60"/>
      <c r="D164" s="169" t="s">
        <v>633</v>
      </c>
      <c r="E164" s="67"/>
      <c r="F164" s="121">
        <v>1</v>
      </c>
      <c r="G164" s="241">
        <f>((0.69*(1.86/0.1))*1) + ((0.69*(1.86/0.1))*1) + ((0.89*(1.86/0.1))*1)</f>
        <v>42.222000000000001</v>
      </c>
      <c r="H164" s="242"/>
      <c r="I164" s="183">
        <v>0.154</v>
      </c>
      <c r="J164" s="115"/>
      <c r="K164" s="98">
        <f t="shared" si="12"/>
        <v>6.5021880000000003</v>
      </c>
      <c r="L164" s="98"/>
      <c r="M164" s="98"/>
      <c r="N164" s="102"/>
    </row>
    <row r="165" spans="2:14" x14ac:dyDescent="0.25">
      <c r="B165" s="52"/>
      <c r="C165" s="60"/>
      <c r="D165" s="169" t="s">
        <v>635</v>
      </c>
      <c r="E165" s="67"/>
      <c r="F165" s="121">
        <v>1</v>
      </c>
      <c r="G165" s="241">
        <f>((0.69*(1.87/0.1))*3)</f>
        <v>38.708999999999996</v>
      </c>
      <c r="H165" s="242"/>
      <c r="I165" s="183">
        <v>0.154</v>
      </c>
      <c r="J165" s="115"/>
      <c r="K165" s="98">
        <f t="shared" si="12"/>
        <v>5.9611859999999997</v>
      </c>
      <c r="L165" s="98"/>
      <c r="M165" s="98"/>
      <c r="N165" s="102"/>
    </row>
    <row r="166" spans="2:14" x14ac:dyDescent="0.25">
      <c r="B166" s="52"/>
      <c r="C166" s="60"/>
      <c r="D166" s="169" t="s">
        <v>620</v>
      </c>
      <c r="E166" s="67"/>
      <c r="F166" s="121">
        <v>1</v>
      </c>
      <c r="G166" s="241">
        <f>((0.69*(1.9/0.1))*1) + ((0.79*(1.9/0.1))*2) + ((0.59*(1.9/0.1))*1)</f>
        <v>54.339999999999989</v>
      </c>
      <c r="H166" s="242"/>
      <c r="I166" s="183">
        <v>0.154</v>
      </c>
      <c r="J166" s="115"/>
      <c r="K166" s="98">
        <f t="shared" si="12"/>
        <v>8.3683599999999974</v>
      </c>
      <c r="L166" s="98"/>
      <c r="M166" s="98"/>
      <c r="N166" s="102"/>
    </row>
    <row r="167" spans="2:14" x14ac:dyDescent="0.25">
      <c r="B167" s="52"/>
      <c r="C167" s="60"/>
      <c r="D167" s="169" t="s">
        <v>621</v>
      </c>
      <c r="E167" s="67"/>
      <c r="F167" s="121">
        <v>1</v>
      </c>
      <c r="G167" s="241">
        <f>((0.79*(1.91/0.1))*1) +((0.59*(1.91/0.1))*1)</f>
        <v>26.357999999999997</v>
      </c>
      <c r="H167" s="242"/>
      <c r="I167" s="183">
        <v>0.154</v>
      </c>
      <c r="J167" s="115"/>
      <c r="K167" s="98">
        <f t="shared" si="12"/>
        <v>4.0591319999999991</v>
      </c>
      <c r="L167" s="98"/>
      <c r="M167" s="98"/>
      <c r="N167" s="102"/>
    </row>
    <row r="168" spans="2:14" ht="22.5" x14ac:dyDescent="0.25">
      <c r="B168" s="52"/>
      <c r="C168" s="60"/>
      <c r="D168" s="169" t="s">
        <v>622</v>
      </c>
      <c r="E168" s="67"/>
      <c r="F168" s="121">
        <v>1</v>
      </c>
      <c r="G168" s="241">
        <f>((0.79*(1.94/0.1))*1) +((0.59*(1.94/0.1))*5)</f>
        <v>72.555999999999983</v>
      </c>
      <c r="H168" s="242"/>
      <c r="I168" s="183">
        <v>0.154</v>
      </c>
      <c r="J168" s="115"/>
      <c r="K168" s="98">
        <f t="shared" si="12"/>
        <v>11.173623999999997</v>
      </c>
      <c r="L168" s="98"/>
      <c r="M168" s="98"/>
      <c r="N168" s="102"/>
    </row>
    <row r="169" spans="2:14" x14ac:dyDescent="0.25">
      <c r="B169" s="52"/>
      <c r="C169" s="60"/>
      <c r="D169" s="169" t="s">
        <v>623</v>
      </c>
      <c r="E169" s="67"/>
      <c r="F169" s="121">
        <v>1</v>
      </c>
      <c r="G169" s="241">
        <f>((0.69*(1.92/0.1))*2) + ((0.69*(1.92/0.1))*1)</f>
        <v>39.744</v>
      </c>
      <c r="H169" s="242"/>
      <c r="I169" s="183">
        <v>0.154</v>
      </c>
      <c r="J169" s="115"/>
      <c r="K169" s="98">
        <f t="shared" si="12"/>
        <v>6.1205759999999998</v>
      </c>
      <c r="L169" s="98"/>
      <c r="M169" s="98"/>
      <c r="N169" s="102"/>
    </row>
    <row r="170" spans="2:14" x14ac:dyDescent="0.25">
      <c r="B170" s="52"/>
      <c r="C170" s="60"/>
      <c r="D170" s="169" t="s">
        <v>636</v>
      </c>
      <c r="E170" s="67"/>
      <c r="F170" s="121">
        <v>1</v>
      </c>
      <c r="G170" s="241">
        <f>((0.59*(1.93/0.1))*2) + ((0.79*(1.93/0.1))*1)</f>
        <v>38.020999999999994</v>
      </c>
      <c r="H170" s="242"/>
      <c r="I170" s="183">
        <v>0.154</v>
      </c>
      <c r="J170" s="115"/>
      <c r="K170" s="98">
        <f t="shared" si="12"/>
        <v>5.8552339999999994</v>
      </c>
      <c r="L170" s="98"/>
      <c r="M170" s="98"/>
      <c r="N170" s="102"/>
    </row>
    <row r="171" spans="2:14" x14ac:dyDescent="0.25">
      <c r="B171" s="52"/>
      <c r="C171" s="60"/>
      <c r="D171" s="169" t="s">
        <v>624</v>
      </c>
      <c r="E171" s="67"/>
      <c r="F171" s="121">
        <v>1</v>
      </c>
      <c r="G171" s="241">
        <f>((0.59*(1.87/0.1))*2) + ((0.69*(1.87/0.1))*2)</f>
        <v>47.872</v>
      </c>
      <c r="H171" s="242"/>
      <c r="I171" s="183">
        <v>0.154</v>
      </c>
      <c r="J171" s="115"/>
      <c r="K171" s="98">
        <f t="shared" si="12"/>
        <v>7.3722880000000002</v>
      </c>
      <c r="L171" s="98"/>
      <c r="M171" s="98"/>
      <c r="N171" s="102"/>
    </row>
    <row r="172" spans="2:14" x14ac:dyDescent="0.25">
      <c r="B172" s="52"/>
      <c r="C172" s="60"/>
      <c r="D172" s="169" t="s">
        <v>625</v>
      </c>
      <c r="E172" s="67"/>
      <c r="F172" s="121">
        <v>1</v>
      </c>
      <c r="G172" s="241">
        <f>((0.59*(1.88/0.1))*3) + ((0.69*(1.88/0.1))*1)</f>
        <v>46.24799999999999</v>
      </c>
      <c r="H172" s="242"/>
      <c r="I172" s="183">
        <v>0.154</v>
      </c>
      <c r="J172" s="115"/>
      <c r="K172" s="98">
        <f t="shared" si="12"/>
        <v>7.1221919999999983</v>
      </c>
      <c r="L172" s="98"/>
      <c r="M172" s="98"/>
      <c r="N172" s="102"/>
    </row>
    <row r="173" spans="2:14" x14ac:dyDescent="0.25">
      <c r="B173" s="52"/>
      <c r="C173" s="60"/>
      <c r="D173" s="169" t="s">
        <v>626</v>
      </c>
      <c r="E173" s="67"/>
      <c r="F173" s="121">
        <v>1</v>
      </c>
      <c r="G173" s="241">
        <f>((0.79*(1.9/0.1))*1) + ((0.69*(1.9/0.1))*3)</f>
        <v>54.339999999999982</v>
      </c>
      <c r="H173" s="242"/>
      <c r="I173" s="183">
        <v>0.154</v>
      </c>
      <c r="J173" s="115"/>
      <c r="K173" s="98">
        <f t="shared" si="12"/>
        <v>8.3683599999999974</v>
      </c>
      <c r="L173" s="98"/>
      <c r="M173" s="98"/>
      <c r="N173" s="102"/>
    </row>
    <row r="174" spans="2:14" x14ac:dyDescent="0.25">
      <c r="B174" s="52"/>
      <c r="C174" s="60"/>
      <c r="D174" s="169" t="s">
        <v>638</v>
      </c>
      <c r="E174" s="67"/>
      <c r="F174" s="121">
        <v>1</v>
      </c>
      <c r="G174" s="241">
        <f>((0.59*(1.9/0.1))*1)</f>
        <v>11.209999999999997</v>
      </c>
      <c r="H174" s="242"/>
      <c r="I174" s="183">
        <v>0.154</v>
      </c>
      <c r="J174" s="115"/>
      <c r="K174" s="98">
        <f t="shared" si="12"/>
        <v>1.7263399999999995</v>
      </c>
      <c r="L174" s="98"/>
      <c r="M174" s="98"/>
      <c r="N174" s="102"/>
    </row>
    <row r="175" spans="2:14" x14ac:dyDescent="0.25">
      <c r="B175" s="52"/>
      <c r="C175" s="60"/>
      <c r="D175" s="169" t="s">
        <v>637</v>
      </c>
      <c r="E175" s="67"/>
      <c r="F175" s="121">
        <v>1</v>
      </c>
      <c r="G175" s="241">
        <f>((0.69*(1.87/0.1))*1) + ((0.59*(1.87/0.1))*1)</f>
        <v>23.936</v>
      </c>
      <c r="H175" s="242"/>
      <c r="I175" s="183">
        <v>0.154</v>
      </c>
      <c r="J175" s="115"/>
      <c r="K175" s="98">
        <f t="shared" si="12"/>
        <v>3.6861440000000001</v>
      </c>
      <c r="L175" s="98"/>
      <c r="M175" s="98"/>
      <c r="N175" s="102"/>
    </row>
    <row r="176" spans="2:14" x14ac:dyDescent="0.25">
      <c r="B176" s="52"/>
      <c r="C176" s="60"/>
      <c r="D176" s="169" t="s">
        <v>639</v>
      </c>
      <c r="E176" s="67"/>
      <c r="F176" s="121">
        <v>1</v>
      </c>
      <c r="G176" s="241">
        <f>((0.69*(2/0.1))*1) + ((0.59*(2/0.1))*2)</f>
        <v>37.4</v>
      </c>
      <c r="H176" s="242"/>
      <c r="I176" s="183">
        <v>0.154</v>
      </c>
      <c r="J176" s="115"/>
      <c r="K176" s="98">
        <f t="shared" si="12"/>
        <v>5.7595999999999998</v>
      </c>
      <c r="L176" s="98"/>
      <c r="M176" s="98"/>
      <c r="N176" s="102"/>
    </row>
    <row r="177" spans="2:14" ht="22.5" x14ac:dyDescent="0.25">
      <c r="B177" s="52"/>
      <c r="C177" s="60"/>
      <c r="D177" s="169" t="s">
        <v>627</v>
      </c>
      <c r="E177" s="67"/>
      <c r="F177" s="121">
        <v>1</v>
      </c>
      <c r="G177" s="241">
        <f>((0.69*(2.01/0.1))*1) + ((0.59*(2.01/0.1))*5) + ((0.79*(2.01/0.1))*1)</f>
        <v>89.042999999999992</v>
      </c>
      <c r="H177" s="242"/>
      <c r="I177" s="183">
        <v>0.154</v>
      </c>
      <c r="J177" s="115"/>
      <c r="K177" s="98">
        <f t="shared" si="12"/>
        <v>13.712621999999998</v>
      </c>
      <c r="L177" s="98"/>
      <c r="M177" s="98"/>
      <c r="N177" s="102"/>
    </row>
    <row r="178" spans="2:14" x14ac:dyDescent="0.25">
      <c r="B178" s="52"/>
      <c r="C178" s="60"/>
      <c r="D178" s="169" t="s">
        <v>640</v>
      </c>
      <c r="E178" s="67"/>
      <c r="F178" s="121">
        <v>1</v>
      </c>
      <c r="G178" s="241">
        <f>(((1.39+0.47+0.47))*(1.86/0.15))</f>
        <v>28.892000000000003</v>
      </c>
      <c r="H178" s="242"/>
      <c r="I178" s="183">
        <v>0.154</v>
      </c>
      <c r="J178" s="115"/>
      <c r="K178" s="98">
        <f>F178*G178*I178</f>
        <v>4.4493680000000007</v>
      </c>
      <c r="L178" s="98"/>
      <c r="M178" s="98"/>
      <c r="N178" s="102"/>
    </row>
    <row r="179" spans="2:14" x14ac:dyDescent="0.25">
      <c r="B179" s="52"/>
      <c r="C179" s="60"/>
      <c r="D179" s="169" t="s">
        <v>641</v>
      </c>
      <c r="E179" s="67"/>
      <c r="F179" s="121">
        <v>1</v>
      </c>
      <c r="G179" s="241">
        <f>(((1.09+0.022))*(1.87/0.15))</f>
        <v>13.862933333333336</v>
      </c>
      <c r="H179" s="242"/>
      <c r="I179" s="183">
        <v>0.154</v>
      </c>
      <c r="J179" s="115"/>
      <c r="K179" s="98">
        <f>F179*G179*I179</f>
        <v>2.1348917333333337</v>
      </c>
      <c r="L179" s="98"/>
      <c r="M179" s="98"/>
      <c r="N179" s="102"/>
    </row>
    <row r="180" spans="2:14" x14ac:dyDescent="0.25">
      <c r="B180" s="52"/>
      <c r="C180" s="60"/>
      <c r="D180" s="169" t="s">
        <v>642</v>
      </c>
      <c r="E180" s="67"/>
      <c r="F180" s="121">
        <v>1</v>
      </c>
      <c r="G180" s="241">
        <f>(((1.09+0.022))*(1.89/0.15))</f>
        <v>14.011200000000001</v>
      </c>
      <c r="H180" s="242"/>
      <c r="I180" s="183">
        <v>0.154</v>
      </c>
      <c r="J180" s="115"/>
      <c r="K180" s="98">
        <f t="shared" si="12"/>
        <v>2.1577248</v>
      </c>
      <c r="L180" s="98"/>
      <c r="M180" s="98"/>
      <c r="N180" s="102"/>
    </row>
    <row r="181" spans="2:14" x14ac:dyDescent="0.25">
      <c r="B181" s="52"/>
      <c r="C181" s="60"/>
      <c r="D181" s="169" t="s">
        <v>643</v>
      </c>
      <c r="E181" s="67"/>
      <c r="F181" s="121">
        <v>1</v>
      </c>
      <c r="G181" s="241">
        <f>(((0.59))*(1.9/0.15))</f>
        <v>7.4733333333333327</v>
      </c>
      <c r="H181" s="242"/>
      <c r="I181" s="183">
        <v>0.154</v>
      </c>
      <c r="J181" s="115"/>
      <c r="K181" s="98">
        <f t="shared" si="12"/>
        <v>1.1508933333333333</v>
      </c>
      <c r="L181" s="98"/>
      <c r="M181" s="98"/>
      <c r="N181" s="102"/>
    </row>
    <row r="182" spans="2:14" x14ac:dyDescent="0.25">
      <c r="B182" s="52"/>
      <c r="C182" s="60"/>
      <c r="D182" s="169" t="s">
        <v>644</v>
      </c>
      <c r="E182" s="67"/>
      <c r="F182" s="121">
        <v>1</v>
      </c>
      <c r="G182" s="241">
        <f>(((0.59))*(1.92/0.15))</f>
        <v>7.5519999999999996</v>
      </c>
      <c r="H182" s="242"/>
      <c r="I182" s="183">
        <v>0.154</v>
      </c>
      <c r="J182" s="115"/>
      <c r="K182" s="98">
        <f t="shared" si="12"/>
        <v>1.1630079999999998</v>
      </c>
      <c r="L182" s="98"/>
      <c r="M182" s="98"/>
      <c r="N182" s="102"/>
    </row>
    <row r="183" spans="2:14" x14ac:dyDescent="0.25">
      <c r="B183" s="52"/>
      <c r="C183" s="60"/>
      <c r="D183" s="169" t="s">
        <v>645</v>
      </c>
      <c r="E183" s="67"/>
      <c r="F183" s="121">
        <v>1</v>
      </c>
      <c r="G183" s="241">
        <f>(((0.59))*(1.9/0.15))</f>
        <v>7.4733333333333327</v>
      </c>
      <c r="H183" s="242"/>
      <c r="I183" s="183">
        <v>0.154</v>
      </c>
      <c r="J183" s="115"/>
      <c r="K183" s="98">
        <f t="shared" si="12"/>
        <v>1.1508933333333333</v>
      </c>
      <c r="L183" s="98"/>
      <c r="M183" s="98"/>
      <c r="N183" s="102"/>
    </row>
    <row r="184" spans="2:14" x14ac:dyDescent="0.25">
      <c r="B184" s="52"/>
      <c r="C184" s="60"/>
      <c r="D184" s="169" t="s">
        <v>646</v>
      </c>
      <c r="E184" s="67"/>
      <c r="F184" s="121">
        <v>1</v>
      </c>
      <c r="G184" s="241">
        <f>(((0.69))*(1.98/0.15))</f>
        <v>9.1080000000000005</v>
      </c>
      <c r="H184" s="242"/>
      <c r="I184" s="183">
        <v>0.154</v>
      </c>
      <c r="J184" s="115"/>
      <c r="K184" s="98">
        <f t="shared" si="12"/>
        <v>1.4026320000000001</v>
      </c>
      <c r="L184" s="98"/>
      <c r="M184" s="98"/>
      <c r="N184" s="102"/>
    </row>
    <row r="185" spans="2:14" ht="33.75" x14ac:dyDescent="0.25">
      <c r="B185" s="52"/>
      <c r="C185" s="60"/>
      <c r="D185" s="180" t="s">
        <v>611</v>
      </c>
      <c r="E185" s="67"/>
      <c r="F185" s="110"/>
      <c r="G185" s="245" t="s">
        <v>613</v>
      </c>
      <c r="H185" s="246"/>
      <c r="I185" s="146" t="s">
        <v>612</v>
      </c>
      <c r="J185" s="115"/>
      <c r="K185" s="97"/>
      <c r="L185" s="98"/>
      <c r="M185" s="98"/>
      <c r="N185" s="102"/>
    </row>
    <row r="186" spans="2:14" x14ac:dyDescent="0.25">
      <c r="B186" s="52"/>
      <c r="C186" s="60"/>
      <c r="D186" s="169" t="s">
        <v>602</v>
      </c>
      <c r="E186" s="67"/>
      <c r="F186" s="110">
        <v>1</v>
      </c>
      <c r="G186" s="241">
        <f xml:space="preserve"> (2*2.51) + (40*0.59)</f>
        <v>28.619999999999997</v>
      </c>
      <c r="H186" s="242"/>
      <c r="I186" s="183">
        <v>0.154</v>
      </c>
      <c r="J186" s="115"/>
      <c r="K186" s="98">
        <f>F186*G186*I186</f>
        <v>4.4074799999999996</v>
      </c>
      <c r="L186" s="98"/>
      <c r="M186" s="98"/>
      <c r="N186" s="102"/>
    </row>
    <row r="187" spans="2:14" x14ac:dyDescent="0.25">
      <c r="B187" s="52"/>
      <c r="C187" s="60"/>
      <c r="D187" s="169" t="s">
        <v>603</v>
      </c>
      <c r="E187" s="67"/>
      <c r="F187" s="110">
        <v>1</v>
      </c>
      <c r="G187" s="241">
        <f xml:space="preserve"> (19*0.79)</f>
        <v>15.010000000000002</v>
      </c>
      <c r="H187" s="242"/>
      <c r="I187" s="183">
        <v>0.154</v>
      </c>
      <c r="J187" s="115"/>
      <c r="K187" s="98">
        <f t="shared" ref="K187:K192" si="13">F187*G187*I187</f>
        <v>2.3115400000000004</v>
      </c>
      <c r="L187" s="98"/>
      <c r="M187" s="98"/>
      <c r="N187" s="102"/>
    </row>
    <row r="188" spans="2:14" x14ac:dyDescent="0.25">
      <c r="B188" s="52"/>
      <c r="C188" s="60"/>
      <c r="D188" s="169" t="s">
        <v>604</v>
      </c>
      <c r="E188" s="67"/>
      <c r="F188" s="110">
        <v>1</v>
      </c>
      <c r="G188" s="241">
        <f xml:space="preserve"> (21*0.79)</f>
        <v>16.59</v>
      </c>
      <c r="H188" s="242"/>
      <c r="I188" s="183">
        <v>0.154</v>
      </c>
      <c r="J188" s="115"/>
      <c r="K188" s="98">
        <f t="shared" si="13"/>
        <v>2.5548600000000001</v>
      </c>
      <c r="L188" s="98"/>
      <c r="M188" s="98"/>
      <c r="N188" s="102"/>
    </row>
    <row r="189" spans="2:14" x14ac:dyDescent="0.25">
      <c r="B189" s="52"/>
      <c r="C189" s="60"/>
      <c r="D189" s="169" t="s">
        <v>605</v>
      </c>
      <c r="E189" s="67"/>
      <c r="F189" s="110">
        <v>1</v>
      </c>
      <c r="G189" s="241">
        <f xml:space="preserve"> (2*3.86) + (29*0.79)</f>
        <v>30.63</v>
      </c>
      <c r="H189" s="242"/>
      <c r="I189" s="183">
        <v>0.154</v>
      </c>
      <c r="J189" s="115"/>
      <c r="K189" s="98">
        <f t="shared" si="13"/>
        <v>4.7170199999999998</v>
      </c>
      <c r="L189" s="98"/>
      <c r="M189" s="98"/>
      <c r="N189" s="102"/>
    </row>
    <row r="190" spans="2:14" x14ac:dyDescent="0.25">
      <c r="B190" s="52"/>
      <c r="C190" s="60"/>
      <c r="D190" s="169" t="s">
        <v>606</v>
      </c>
      <c r="E190" s="67"/>
      <c r="F190" s="110">
        <v>1</v>
      </c>
      <c r="G190" s="241">
        <f xml:space="preserve"> (22*0.59)</f>
        <v>12.979999999999999</v>
      </c>
      <c r="H190" s="242"/>
      <c r="I190" s="183">
        <v>0.154</v>
      </c>
      <c r="J190" s="115"/>
      <c r="K190" s="98">
        <f t="shared" si="13"/>
        <v>1.9989199999999998</v>
      </c>
      <c r="L190" s="98"/>
      <c r="M190" s="98"/>
      <c r="N190" s="102"/>
    </row>
    <row r="191" spans="2:14" x14ac:dyDescent="0.25">
      <c r="B191" s="52"/>
      <c r="C191" s="60"/>
      <c r="D191" s="169" t="s">
        <v>607</v>
      </c>
      <c r="E191" s="67"/>
      <c r="F191" s="110">
        <v>1</v>
      </c>
      <c r="G191" s="241">
        <f xml:space="preserve"> (14*0.059)</f>
        <v>0.82599999999999996</v>
      </c>
      <c r="H191" s="242"/>
      <c r="I191" s="183">
        <v>0.154</v>
      </c>
      <c r="J191" s="115"/>
      <c r="K191" s="98">
        <f t="shared" si="13"/>
        <v>0.12720399999999998</v>
      </c>
      <c r="L191" s="98"/>
      <c r="M191" s="98"/>
      <c r="N191" s="102"/>
    </row>
    <row r="192" spans="2:14" x14ac:dyDescent="0.25">
      <c r="B192" s="52"/>
      <c r="C192" s="60"/>
      <c r="D192" s="169" t="s">
        <v>608</v>
      </c>
      <c r="E192" s="67"/>
      <c r="F192" s="110">
        <v>1</v>
      </c>
      <c r="G192" s="241">
        <f xml:space="preserve"> (59*0.59)</f>
        <v>34.809999999999995</v>
      </c>
      <c r="H192" s="242"/>
      <c r="I192" s="183">
        <v>0.154</v>
      </c>
      <c r="J192" s="115"/>
      <c r="K192" s="98">
        <f t="shared" si="13"/>
        <v>5.360739999999999</v>
      </c>
      <c r="L192" s="98"/>
      <c r="M192" s="98"/>
      <c r="N192" s="102"/>
    </row>
    <row r="193" spans="2:14" ht="33.75" x14ac:dyDescent="0.25">
      <c r="B193" s="52" t="s">
        <v>75</v>
      </c>
      <c r="C193" s="60">
        <v>96544</v>
      </c>
      <c r="D193" s="55" t="s">
        <v>77</v>
      </c>
      <c r="E193" s="67" t="s">
        <v>62</v>
      </c>
      <c r="F193" s="110"/>
      <c r="G193" s="120"/>
      <c r="H193" s="108"/>
      <c r="I193" s="121"/>
      <c r="J193" s="115">
        <f>'BOLETIM DE MEDIÇÃO 02'!O34-'MEMORIAL DE CALCULO 02'!K193</f>
        <v>0</v>
      </c>
      <c r="K193" s="97">
        <f>SUM(K194)</f>
        <v>295</v>
      </c>
      <c r="L193" s="98">
        <f t="shared" si="0"/>
        <v>295</v>
      </c>
      <c r="M193" s="98">
        <f>'BOLETIM DE MEDIÇÃO 02'!G34</f>
        <v>295</v>
      </c>
      <c r="N193" s="102">
        <f t="shared" si="1"/>
        <v>0</v>
      </c>
    </row>
    <row r="194" spans="2:14" x14ac:dyDescent="0.25">
      <c r="B194" s="52"/>
      <c r="C194" s="60"/>
      <c r="D194" s="168" t="s">
        <v>588</v>
      </c>
      <c r="E194" s="67"/>
      <c r="F194" s="110">
        <v>1</v>
      </c>
      <c r="G194" s="241">
        <v>295</v>
      </c>
      <c r="H194" s="243"/>
      <c r="I194" s="244"/>
      <c r="J194" s="115"/>
      <c r="K194" s="98">
        <f>F194*G194</f>
        <v>295</v>
      </c>
      <c r="L194" s="98"/>
      <c r="M194" s="98"/>
      <c r="N194" s="102"/>
    </row>
    <row r="195" spans="2:14" ht="33.75" x14ac:dyDescent="0.25">
      <c r="B195" s="52" t="s">
        <v>78</v>
      </c>
      <c r="C195" s="60">
        <v>96546</v>
      </c>
      <c r="D195" s="55" t="s">
        <v>80</v>
      </c>
      <c r="E195" s="67" t="s">
        <v>62</v>
      </c>
      <c r="F195" s="110"/>
      <c r="G195" s="120"/>
      <c r="H195" s="108"/>
      <c r="I195" s="121"/>
      <c r="J195" s="115">
        <v>0</v>
      </c>
      <c r="K195" s="97">
        <f>SUM(K198:K220)</f>
        <v>552.38776000000007</v>
      </c>
      <c r="L195" s="98">
        <f t="shared" si="0"/>
        <v>552.38776000000007</v>
      </c>
      <c r="M195" s="98">
        <f>'BOLETIM DE MEDIÇÃO 02'!G35</f>
        <v>534.1</v>
      </c>
      <c r="N195" s="102">
        <f t="shared" si="1"/>
        <v>-18.287760000000048</v>
      </c>
    </row>
    <row r="196" spans="2:14" x14ac:dyDescent="0.25">
      <c r="B196" s="52"/>
      <c r="C196" s="60"/>
      <c r="D196" s="55" t="s">
        <v>588</v>
      </c>
      <c r="E196" s="67"/>
      <c r="F196" s="110"/>
      <c r="G196" s="120"/>
      <c r="H196" s="108"/>
      <c r="I196" s="121"/>
      <c r="J196" s="115"/>
      <c r="K196" s="97"/>
      <c r="L196" s="98"/>
      <c r="M196" s="98"/>
      <c r="N196" s="102"/>
    </row>
    <row r="197" spans="2:14" ht="72" customHeight="1" x14ac:dyDescent="0.25">
      <c r="B197" s="52"/>
      <c r="C197" s="60"/>
      <c r="D197" s="180" t="s">
        <v>628</v>
      </c>
      <c r="E197" s="67"/>
      <c r="F197" s="110"/>
      <c r="G197" s="245" t="s">
        <v>629</v>
      </c>
      <c r="H197" s="246"/>
      <c r="I197" s="146" t="s">
        <v>612</v>
      </c>
      <c r="J197" s="115"/>
      <c r="K197" s="97"/>
      <c r="L197" s="98"/>
      <c r="M197" s="98"/>
      <c r="N197" s="102"/>
    </row>
    <row r="198" spans="2:14" x14ac:dyDescent="0.25">
      <c r="B198" s="52"/>
      <c r="C198" s="60"/>
      <c r="D198" s="169" t="s">
        <v>615</v>
      </c>
      <c r="E198" s="67"/>
      <c r="F198" s="110">
        <v>1</v>
      </c>
      <c r="G198" s="241">
        <f xml:space="preserve"> (4*(0.2+0.25+1.85+0.33)) * 2</f>
        <v>21.040000000000003</v>
      </c>
      <c r="H198" s="242"/>
      <c r="I198" s="183">
        <v>0.61699999999999999</v>
      </c>
      <c r="J198" s="115"/>
      <c r="K198" s="98">
        <f>F198*G198*I198</f>
        <v>12.981680000000001</v>
      </c>
      <c r="L198" s="98"/>
      <c r="M198" s="98"/>
      <c r="N198" s="102"/>
    </row>
    <row r="199" spans="2:14" x14ac:dyDescent="0.25">
      <c r="B199" s="52"/>
      <c r="C199" s="60"/>
      <c r="D199" s="169" t="s">
        <v>634</v>
      </c>
      <c r="E199" s="67"/>
      <c r="F199" s="110">
        <v>1</v>
      </c>
      <c r="G199" s="241">
        <f xml:space="preserve"> ((4*(0.2+0.25+1.87+0.33)) * 2)</f>
        <v>21.200000000000003</v>
      </c>
      <c r="H199" s="242"/>
      <c r="I199" s="183">
        <v>0.61699999999999999</v>
      </c>
      <c r="J199" s="115"/>
      <c r="K199" s="98">
        <f t="shared" ref="K199:K229" si="14">F199*G199*I199</f>
        <v>13.080400000000001</v>
      </c>
      <c r="L199" s="98"/>
      <c r="M199" s="98"/>
      <c r="N199" s="102"/>
    </row>
    <row r="200" spans="2:14" ht="19.899999999999999" customHeight="1" x14ac:dyDescent="0.25">
      <c r="B200" s="52"/>
      <c r="C200" s="60"/>
      <c r="D200" s="169" t="s">
        <v>630</v>
      </c>
      <c r="E200" s="67"/>
      <c r="F200" s="110">
        <v>1</v>
      </c>
      <c r="G200" s="241">
        <f xml:space="preserve"> (4*(0.2+0.25+1.9+0.33)) * 5</f>
        <v>53.6</v>
      </c>
      <c r="H200" s="242"/>
      <c r="I200" s="183">
        <v>0.61699999999999999</v>
      </c>
      <c r="J200" s="115"/>
      <c r="K200" s="98">
        <f t="shared" si="14"/>
        <v>33.071199999999997</v>
      </c>
      <c r="L200" s="98"/>
      <c r="M200" s="98"/>
      <c r="N200" s="102"/>
    </row>
    <row r="201" spans="2:14" x14ac:dyDescent="0.25">
      <c r="B201" s="52"/>
      <c r="C201" s="60"/>
      <c r="D201" s="169" t="s">
        <v>631</v>
      </c>
      <c r="E201" s="67"/>
      <c r="F201" s="110">
        <v>1</v>
      </c>
      <c r="G201" s="241">
        <f xml:space="preserve"> (4*(0.2+0.25+1.92+0.33)) *3</f>
        <v>32.400000000000006</v>
      </c>
      <c r="H201" s="242"/>
      <c r="I201" s="183">
        <v>0.61699999999999999</v>
      </c>
      <c r="J201" s="115"/>
      <c r="K201" s="98">
        <f t="shared" si="14"/>
        <v>19.990800000000004</v>
      </c>
      <c r="L201" s="98"/>
      <c r="M201" s="98"/>
      <c r="N201" s="102"/>
    </row>
    <row r="202" spans="2:14" x14ac:dyDescent="0.25">
      <c r="B202" s="52"/>
      <c r="C202" s="60"/>
      <c r="D202" s="169" t="s">
        <v>616</v>
      </c>
      <c r="E202" s="67"/>
      <c r="F202" s="110">
        <v>1</v>
      </c>
      <c r="G202" s="241">
        <f xml:space="preserve"> (4*(0.2+0.25+1.94+0.33)) * 3</f>
        <v>32.64</v>
      </c>
      <c r="H202" s="242"/>
      <c r="I202" s="183">
        <v>0.61699999999999999</v>
      </c>
      <c r="J202" s="115"/>
      <c r="K202" s="98">
        <f t="shared" si="14"/>
        <v>20.13888</v>
      </c>
      <c r="L202" s="98"/>
      <c r="M202" s="98"/>
      <c r="N202" s="102"/>
    </row>
    <row r="203" spans="2:14" ht="21" customHeight="1" x14ac:dyDescent="0.25">
      <c r="B203" s="52"/>
      <c r="C203" s="60"/>
      <c r="D203" s="169" t="s">
        <v>617</v>
      </c>
      <c r="E203" s="67"/>
      <c r="F203" s="110">
        <v>1</v>
      </c>
      <c r="G203" s="241">
        <f xml:space="preserve"> (4*(0.2+0.25+1.96+0.33)) * 5</f>
        <v>54.800000000000004</v>
      </c>
      <c r="H203" s="242"/>
      <c r="I203" s="183">
        <v>0.61699999999999999</v>
      </c>
      <c r="J203" s="115"/>
      <c r="K203" s="98">
        <f t="shared" si="14"/>
        <v>33.811600000000006</v>
      </c>
      <c r="L203" s="98"/>
      <c r="M203" s="98"/>
      <c r="N203" s="102"/>
    </row>
    <row r="204" spans="2:14" ht="22.9" customHeight="1" x14ac:dyDescent="0.25">
      <c r="B204" s="52"/>
      <c r="C204" s="60"/>
      <c r="D204" s="169" t="s">
        <v>618</v>
      </c>
      <c r="E204" s="67"/>
      <c r="F204" s="110">
        <v>1</v>
      </c>
      <c r="G204" s="241">
        <f xml:space="preserve"> (4*(0.2+0.25+1.95+0.33)) * 6</f>
        <v>65.52</v>
      </c>
      <c r="H204" s="242"/>
      <c r="I204" s="183">
        <v>0.61699999999999999</v>
      </c>
      <c r="J204" s="115"/>
      <c r="K204" s="98">
        <f t="shared" si="14"/>
        <v>40.425839999999994</v>
      </c>
      <c r="L204" s="98"/>
      <c r="M204" s="98"/>
      <c r="N204" s="102"/>
    </row>
    <row r="205" spans="2:14" x14ac:dyDescent="0.25">
      <c r="B205" s="52"/>
      <c r="C205" s="60"/>
      <c r="D205" s="169" t="s">
        <v>619</v>
      </c>
      <c r="E205" s="67"/>
      <c r="F205" s="110">
        <v>1</v>
      </c>
      <c r="G205" s="241">
        <f xml:space="preserve"> (4*(0.2+0.25+1.97+0.33)) * 3</f>
        <v>33</v>
      </c>
      <c r="H205" s="242"/>
      <c r="I205" s="183">
        <v>0.61699999999999999</v>
      </c>
      <c r="J205" s="115"/>
      <c r="K205" s="98">
        <f t="shared" si="14"/>
        <v>20.361000000000001</v>
      </c>
      <c r="L205" s="98"/>
      <c r="M205" s="98"/>
      <c r="N205" s="102"/>
    </row>
    <row r="206" spans="2:14" x14ac:dyDescent="0.25">
      <c r="B206" s="52"/>
      <c r="C206" s="60"/>
      <c r="D206" s="169" t="s">
        <v>632</v>
      </c>
      <c r="E206" s="67"/>
      <c r="F206" s="110">
        <v>1</v>
      </c>
      <c r="G206" s="241">
        <f xml:space="preserve"> (4*(0.2+0.25+1.9+0.33)) * 3</f>
        <v>32.160000000000004</v>
      </c>
      <c r="H206" s="242"/>
      <c r="I206" s="183">
        <v>0.61699999999999999</v>
      </c>
      <c r="J206" s="115"/>
      <c r="K206" s="98">
        <f t="shared" si="14"/>
        <v>19.842720000000003</v>
      </c>
      <c r="L206" s="98"/>
      <c r="M206" s="98"/>
      <c r="N206" s="102"/>
    </row>
    <row r="207" spans="2:14" x14ac:dyDescent="0.25">
      <c r="B207" s="52"/>
      <c r="C207" s="60"/>
      <c r="D207" s="169" t="s">
        <v>633</v>
      </c>
      <c r="E207" s="67"/>
      <c r="F207" s="110">
        <v>1</v>
      </c>
      <c r="G207" s="241">
        <f xml:space="preserve"> ((4*(0.2+0.25+1.86+0.33)) * 3)</f>
        <v>31.68</v>
      </c>
      <c r="H207" s="242"/>
      <c r="I207" s="183">
        <v>0.61699999999999999</v>
      </c>
      <c r="J207" s="115"/>
      <c r="K207" s="98">
        <f t="shared" si="14"/>
        <v>19.546559999999999</v>
      </c>
      <c r="L207" s="98"/>
      <c r="M207" s="98"/>
      <c r="N207" s="102"/>
    </row>
    <row r="208" spans="2:14" x14ac:dyDescent="0.25">
      <c r="B208" s="52"/>
      <c r="C208" s="60"/>
      <c r="D208" s="169" t="s">
        <v>635</v>
      </c>
      <c r="E208" s="67"/>
      <c r="F208" s="110">
        <v>1</v>
      </c>
      <c r="G208" s="241">
        <f xml:space="preserve"> ((4*(0.2+0.25+1.87+0.33)) * 3)</f>
        <v>31.800000000000004</v>
      </c>
      <c r="H208" s="242"/>
      <c r="I208" s="183">
        <v>0.61699999999999999</v>
      </c>
      <c r="J208" s="115"/>
      <c r="K208" s="98">
        <f t="shared" si="14"/>
        <v>19.620600000000003</v>
      </c>
      <c r="L208" s="98"/>
      <c r="M208" s="98"/>
      <c r="N208" s="102"/>
    </row>
    <row r="209" spans="2:14" x14ac:dyDescent="0.25">
      <c r="B209" s="52"/>
      <c r="C209" s="60"/>
      <c r="D209" s="169" t="s">
        <v>620</v>
      </c>
      <c r="E209" s="67"/>
      <c r="F209" s="110">
        <v>1</v>
      </c>
      <c r="G209" s="241">
        <f xml:space="preserve"> ((4*(0.2+0.25+1.9+0.33)) * 4)</f>
        <v>42.88</v>
      </c>
      <c r="H209" s="242"/>
      <c r="I209" s="183">
        <v>0.61699999999999999</v>
      </c>
      <c r="J209" s="115"/>
      <c r="K209" s="98">
        <f t="shared" si="14"/>
        <v>26.456960000000002</v>
      </c>
      <c r="L209" s="98"/>
      <c r="M209" s="98"/>
      <c r="N209" s="102"/>
    </row>
    <row r="210" spans="2:14" x14ac:dyDescent="0.25">
      <c r="B210" s="52"/>
      <c r="C210" s="60"/>
      <c r="D210" s="169" t="s">
        <v>621</v>
      </c>
      <c r="E210" s="67"/>
      <c r="F210" s="110">
        <v>1</v>
      </c>
      <c r="G210" s="241">
        <f xml:space="preserve"> ((4*(0.2+0.25+1.91+0.33)) * 2)</f>
        <v>21.52</v>
      </c>
      <c r="H210" s="242"/>
      <c r="I210" s="183">
        <v>0.61699999999999999</v>
      </c>
      <c r="J210" s="115"/>
      <c r="K210" s="98">
        <f t="shared" si="14"/>
        <v>13.277839999999999</v>
      </c>
      <c r="L210" s="98"/>
      <c r="M210" s="98"/>
      <c r="N210" s="102"/>
    </row>
    <row r="211" spans="2:14" ht="21" customHeight="1" x14ac:dyDescent="0.25">
      <c r="B211" s="52"/>
      <c r="C211" s="60"/>
      <c r="D211" s="169" t="s">
        <v>622</v>
      </c>
      <c r="E211" s="67"/>
      <c r="F211" s="110">
        <v>1</v>
      </c>
      <c r="G211" s="241">
        <f xml:space="preserve"> ((4*(0.2+0.25+1.94+0.33)) * 6)</f>
        <v>65.28</v>
      </c>
      <c r="H211" s="242"/>
      <c r="I211" s="183">
        <v>0.61699999999999999</v>
      </c>
      <c r="J211" s="115"/>
      <c r="K211" s="98">
        <f t="shared" si="14"/>
        <v>40.277760000000001</v>
      </c>
      <c r="L211" s="98"/>
      <c r="M211" s="98"/>
      <c r="N211" s="102"/>
    </row>
    <row r="212" spans="2:14" x14ac:dyDescent="0.25">
      <c r="B212" s="52"/>
      <c r="C212" s="60"/>
      <c r="D212" s="169" t="s">
        <v>623</v>
      </c>
      <c r="E212" s="67"/>
      <c r="F212" s="110">
        <v>1</v>
      </c>
      <c r="G212" s="241">
        <f xml:space="preserve"> ((4*(0.2+0.25+1.92+0.33)) *3)</f>
        <v>32.400000000000006</v>
      </c>
      <c r="H212" s="242"/>
      <c r="I212" s="183">
        <v>0.61699999999999999</v>
      </c>
      <c r="J212" s="115"/>
      <c r="K212" s="98">
        <f t="shared" si="14"/>
        <v>19.990800000000004</v>
      </c>
      <c r="L212" s="98"/>
      <c r="M212" s="98"/>
      <c r="N212" s="102"/>
    </row>
    <row r="213" spans="2:14" x14ac:dyDescent="0.25">
      <c r="B213" s="52"/>
      <c r="C213" s="60"/>
      <c r="D213" s="169" t="s">
        <v>636</v>
      </c>
      <c r="E213" s="67"/>
      <c r="F213" s="110">
        <v>1</v>
      </c>
      <c r="G213" s="241">
        <f xml:space="preserve"> ((4*(0.2+0.25+1.93+0.33)) *3)</f>
        <v>32.519999999999996</v>
      </c>
      <c r="H213" s="242"/>
      <c r="I213" s="183">
        <v>0.61699999999999999</v>
      </c>
      <c r="J213" s="115"/>
      <c r="K213" s="98">
        <f t="shared" si="14"/>
        <v>20.064839999999997</v>
      </c>
      <c r="L213" s="98"/>
      <c r="M213" s="98"/>
      <c r="N213" s="102"/>
    </row>
    <row r="214" spans="2:14" x14ac:dyDescent="0.25">
      <c r="B214" s="52"/>
      <c r="C214" s="60"/>
      <c r="D214" s="169" t="s">
        <v>624</v>
      </c>
      <c r="E214" s="67"/>
      <c r="F214" s="110">
        <v>1</v>
      </c>
      <c r="G214" s="241">
        <f xml:space="preserve"> ((4*(0.2+0.25+1.87+0.33)) *4)</f>
        <v>42.400000000000006</v>
      </c>
      <c r="H214" s="242"/>
      <c r="I214" s="183">
        <v>0.61699999999999999</v>
      </c>
      <c r="J214" s="115"/>
      <c r="K214" s="98">
        <f t="shared" si="14"/>
        <v>26.160800000000002</v>
      </c>
      <c r="L214" s="98"/>
      <c r="M214" s="98"/>
      <c r="N214" s="102"/>
    </row>
    <row r="215" spans="2:14" x14ac:dyDescent="0.25">
      <c r="B215" s="52"/>
      <c r="C215" s="60"/>
      <c r="D215" s="169" t="s">
        <v>625</v>
      </c>
      <c r="E215" s="67"/>
      <c r="F215" s="110">
        <v>1</v>
      </c>
      <c r="G215" s="241">
        <f xml:space="preserve"> ((4*(0.2+0.25+1.88+0.33)) *4)</f>
        <v>42.56</v>
      </c>
      <c r="H215" s="242"/>
      <c r="I215" s="183">
        <v>0.61699999999999999</v>
      </c>
      <c r="J215" s="115"/>
      <c r="K215" s="98">
        <f t="shared" si="14"/>
        <v>26.259520000000002</v>
      </c>
      <c r="L215" s="98"/>
      <c r="M215" s="98"/>
      <c r="N215" s="102"/>
    </row>
    <row r="216" spans="2:14" x14ac:dyDescent="0.25">
      <c r="B216" s="52"/>
      <c r="C216" s="60"/>
      <c r="D216" s="169" t="s">
        <v>626</v>
      </c>
      <c r="E216" s="67"/>
      <c r="F216" s="110">
        <v>1</v>
      </c>
      <c r="G216" s="241">
        <f xml:space="preserve"> ((4*(0.2+0.25+1.9+0.33)) *4)</f>
        <v>42.88</v>
      </c>
      <c r="H216" s="242"/>
      <c r="I216" s="183">
        <v>0.61699999999999999</v>
      </c>
      <c r="J216" s="115"/>
      <c r="K216" s="98">
        <f t="shared" si="14"/>
        <v>26.456960000000002</v>
      </c>
      <c r="L216" s="98"/>
      <c r="M216" s="98"/>
      <c r="N216" s="102"/>
    </row>
    <row r="217" spans="2:14" x14ac:dyDescent="0.25">
      <c r="B217" s="52"/>
      <c r="C217" s="60"/>
      <c r="D217" s="169" t="s">
        <v>638</v>
      </c>
      <c r="E217" s="67"/>
      <c r="F217" s="110">
        <v>1</v>
      </c>
      <c r="G217" s="241">
        <f>((4*(0.2+0.25+1.9+0.33))) + ((8*(0.2+0.25+1.9)))</f>
        <v>29.520000000000003</v>
      </c>
      <c r="H217" s="242"/>
      <c r="I217" s="183">
        <v>0.61699999999999999</v>
      </c>
      <c r="J217" s="115"/>
      <c r="K217" s="98">
        <f t="shared" si="14"/>
        <v>18.213840000000001</v>
      </c>
      <c r="L217" s="98"/>
      <c r="M217" s="98"/>
      <c r="N217" s="102"/>
    </row>
    <row r="218" spans="2:14" x14ac:dyDescent="0.25">
      <c r="B218" s="52"/>
      <c r="C218" s="60"/>
      <c r="D218" s="169" t="s">
        <v>637</v>
      </c>
      <c r="E218" s="67"/>
      <c r="F218" s="110">
        <v>1</v>
      </c>
      <c r="G218" s="241">
        <f xml:space="preserve"> ((4*(0.2+0.25+1.97+0.33)) *2)</f>
        <v>22</v>
      </c>
      <c r="H218" s="242"/>
      <c r="I218" s="183">
        <v>0.61699999999999999</v>
      </c>
      <c r="J218" s="115"/>
      <c r="K218" s="98">
        <f t="shared" si="14"/>
        <v>13.574</v>
      </c>
      <c r="L218" s="98"/>
      <c r="M218" s="98"/>
      <c r="N218" s="102"/>
    </row>
    <row r="219" spans="2:14" x14ac:dyDescent="0.25">
      <c r="B219" s="52"/>
      <c r="C219" s="60"/>
      <c r="D219" s="169" t="s">
        <v>639</v>
      </c>
      <c r="E219" s="67"/>
      <c r="F219" s="110">
        <v>1</v>
      </c>
      <c r="G219" s="241">
        <f xml:space="preserve"> ((4*(0.2+0.25+2+0.33)) *3)</f>
        <v>33.36</v>
      </c>
      <c r="H219" s="242"/>
      <c r="I219" s="183">
        <v>0.61699999999999999</v>
      </c>
      <c r="J219" s="115"/>
      <c r="K219" s="98">
        <f t="shared" si="14"/>
        <v>20.583120000000001</v>
      </c>
      <c r="L219" s="98"/>
      <c r="M219" s="98"/>
      <c r="N219" s="102"/>
    </row>
    <row r="220" spans="2:14" ht="22.5" x14ac:dyDescent="0.25">
      <c r="B220" s="52"/>
      <c r="C220" s="60"/>
      <c r="D220" s="169" t="s">
        <v>627</v>
      </c>
      <c r="E220" s="67"/>
      <c r="F220" s="110">
        <v>1</v>
      </c>
      <c r="G220" s="241">
        <f xml:space="preserve"> ((4*(0.2+0.25+2.01+0.33)) *7)</f>
        <v>78.12</v>
      </c>
      <c r="H220" s="242"/>
      <c r="I220" s="183">
        <v>0.61699999999999999</v>
      </c>
      <c r="J220" s="115"/>
      <c r="K220" s="98">
        <f t="shared" si="14"/>
        <v>48.200040000000001</v>
      </c>
      <c r="L220" s="98"/>
      <c r="M220" s="98"/>
      <c r="N220" s="102"/>
    </row>
    <row r="221" spans="2:14" ht="30.6" customHeight="1" x14ac:dyDescent="0.25">
      <c r="B221" s="52" t="s">
        <v>81</v>
      </c>
      <c r="C221" s="60">
        <v>96547</v>
      </c>
      <c r="D221" s="55" t="s">
        <v>83</v>
      </c>
      <c r="E221" s="67" t="s">
        <v>62</v>
      </c>
      <c r="F221" s="110"/>
      <c r="G221" s="120"/>
      <c r="H221" s="108"/>
      <c r="I221" s="121"/>
      <c r="J221" s="115">
        <f>'BOLETIM DE MEDIÇÃO 02'!O36-'MEMORIAL DE CALCULO 02'!K221</f>
        <v>0</v>
      </c>
      <c r="K221" s="97">
        <f>SUM(K223:K229)</f>
        <v>100.55646000000002</v>
      </c>
      <c r="L221" s="98">
        <f t="shared" si="0"/>
        <v>100.55646000000002</v>
      </c>
      <c r="M221" s="98">
        <f>'BOLETIM DE MEDIÇÃO 02'!G36</f>
        <v>152.9</v>
      </c>
      <c r="N221" s="102">
        <f t="shared" si="1"/>
        <v>52.34353999999999</v>
      </c>
    </row>
    <row r="222" spans="2:14" ht="72" customHeight="1" x14ac:dyDescent="0.25">
      <c r="B222" s="52"/>
      <c r="C222" s="60"/>
      <c r="D222" s="180" t="s">
        <v>628</v>
      </c>
      <c r="E222" s="67"/>
      <c r="F222" s="110"/>
      <c r="G222" s="245" t="s">
        <v>629</v>
      </c>
      <c r="H222" s="246"/>
      <c r="I222" s="146" t="s">
        <v>612</v>
      </c>
      <c r="J222" s="115"/>
      <c r="K222" s="98"/>
      <c r="L222" s="98"/>
      <c r="M222" s="98"/>
      <c r="N222" s="102"/>
    </row>
    <row r="223" spans="2:14" x14ac:dyDescent="0.25">
      <c r="B223" s="52"/>
      <c r="C223" s="60"/>
      <c r="D223" s="169" t="s">
        <v>640</v>
      </c>
      <c r="E223" s="67"/>
      <c r="F223" s="110">
        <v>1</v>
      </c>
      <c r="G223" s="241">
        <f>((8*(0.2+0.25+1.86+0.42)))</f>
        <v>21.84</v>
      </c>
      <c r="H223" s="242"/>
      <c r="I223" s="183">
        <v>0.96299999999999997</v>
      </c>
      <c r="J223" s="115"/>
      <c r="K223" s="98">
        <f t="shared" si="14"/>
        <v>21.03192</v>
      </c>
      <c r="L223" s="98"/>
      <c r="M223" s="98"/>
      <c r="N223" s="102"/>
    </row>
    <row r="224" spans="2:14" x14ac:dyDescent="0.25">
      <c r="B224" s="52"/>
      <c r="C224" s="60"/>
      <c r="D224" s="169" t="s">
        <v>641</v>
      </c>
      <c r="E224" s="67"/>
      <c r="F224" s="110">
        <v>1</v>
      </c>
      <c r="G224" s="241">
        <f>((6*(0.2+0.25+1.87+0.42)))</f>
        <v>16.440000000000001</v>
      </c>
      <c r="H224" s="242"/>
      <c r="I224" s="183">
        <v>0.96299999999999997</v>
      </c>
      <c r="J224" s="115"/>
      <c r="K224" s="98">
        <f t="shared" si="14"/>
        <v>15.831720000000001</v>
      </c>
      <c r="L224" s="98"/>
      <c r="M224" s="98"/>
      <c r="N224" s="102"/>
    </row>
    <row r="225" spans="2:14" x14ac:dyDescent="0.25">
      <c r="B225" s="52"/>
      <c r="C225" s="60"/>
      <c r="D225" s="169" t="s">
        <v>642</v>
      </c>
      <c r="E225" s="67"/>
      <c r="F225" s="110">
        <v>1</v>
      </c>
      <c r="G225" s="241">
        <f>((6*(0.2+0.25+1.89+0.42)))</f>
        <v>16.559999999999999</v>
      </c>
      <c r="H225" s="242"/>
      <c r="I225" s="183">
        <v>0.96299999999999997</v>
      </c>
      <c r="J225" s="115"/>
      <c r="K225" s="98">
        <f t="shared" si="14"/>
        <v>15.947279999999997</v>
      </c>
      <c r="L225" s="98"/>
      <c r="M225" s="98"/>
      <c r="N225" s="102"/>
    </row>
    <row r="226" spans="2:14" x14ac:dyDescent="0.25">
      <c r="B226" s="52"/>
      <c r="C226" s="60"/>
      <c r="D226" s="169" t="s">
        <v>643</v>
      </c>
      <c r="E226" s="67"/>
      <c r="F226" s="110">
        <v>1</v>
      </c>
      <c r="G226" s="241">
        <f>((4*(0.2+0.25+1.9+0.42)))</f>
        <v>11.08</v>
      </c>
      <c r="H226" s="242"/>
      <c r="I226" s="183">
        <v>0.96299999999999997</v>
      </c>
      <c r="J226" s="115"/>
      <c r="K226" s="98">
        <f t="shared" si="14"/>
        <v>10.67004</v>
      </c>
      <c r="L226" s="98"/>
      <c r="M226" s="98"/>
      <c r="N226" s="102"/>
    </row>
    <row r="227" spans="2:14" x14ac:dyDescent="0.25">
      <c r="B227" s="52"/>
      <c r="C227" s="60"/>
      <c r="D227" s="169" t="s">
        <v>644</v>
      </c>
      <c r="E227" s="67"/>
      <c r="F227" s="110">
        <v>1</v>
      </c>
      <c r="G227" s="241">
        <f>((4*(0.2+0.25+1.92+0.42)))</f>
        <v>11.16</v>
      </c>
      <c r="H227" s="242"/>
      <c r="I227" s="183">
        <v>0.96299999999999997</v>
      </c>
      <c r="J227" s="115"/>
      <c r="K227" s="98">
        <f t="shared" si="14"/>
        <v>10.74708</v>
      </c>
      <c r="L227" s="98"/>
      <c r="M227" s="98"/>
      <c r="N227" s="102"/>
    </row>
    <row r="228" spans="2:14" x14ac:dyDescent="0.25">
      <c r="B228" s="52"/>
      <c r="C228" s="60"/>
      <c r="D228" s="169" t="s">
        <v>645</v>
      </c>
      <c r="E228" s="67"/>
      <c r="F228" s="110">
        <v>1</v>
      </c>
      <c r="G228" s="241">
        <f>((4*(0.2+0.25+1.9+0.42)))</f>
        <v>11.08</v>
      </c>
      <c r="H228" s="242"/>
      <c r="I228" s="183">
        <v>0.96299999999999997</v>
      </c>
      <c r="J228" s="115"/>
      <c r="K228" s="98">
        <f t="shared" si="14"/>
        <v>10.67004</v>
      </c>
      <c r="L228" s="98"/>
      <c r="M228" s="98"/>
      <c r="N228" s="102"/>
    </row>
    <row r="229" spans="2:14" x14ac:dyDescent="0.25">
      <c r="B229" s="52"/>
      <c r="C229" s="60"/>
      <c r="D229" s="169" t="s">
        <v>646</v>
      </c>
      <c r="E229" s="67"/>
      <c r="F229" s="110">
        <v>1</v>
      </c>
      <c r="G229" s="241">
        <f>((4*(0.2+0.25+1.98+0.42)))+(2*(0.2+0.25+1.98))</f>
        <v>16.260000000000002</v>
      </c>
      <c r="H229" s="242"/>
      <c r="I229" s="183">
        <v>0.96299999999999997</v>
      </c>
      <c r="J229" s="115"/>
      <c r="K229" s="98">
        <f t="shared" si="14"/>
        <v>15.658380000000001</v>
      </c>
      <c r="L229" s="98"/>
      <c r="M229" s="98"/>
      <c r="N229" s="102"/>
    </row>
    <row r="230" spans="2:14" ht="30.6" hidden="1" customHeight="1" x14ac:dyDescent="0.25">
      <c r="B230" s="52"/>
      <c r="C230" s="60"/>
      <c r="D230" s="180" t="s">
        <v>611</v>
      </c>
      <c r="E230" s="67"/>
      <c r="F230" s="110"/>
      <c r="G230" s="245" t="s">
        <v>613</v>
      </c>
      <c r="H230" s="246"/>
      <c r="I230" s="146" t="s">
        <v>612</v>
      </c>
      <c r="J230" s="115"/>
      <c r="K230" s="97"/>
      <c r="L230" s="98"/>
      <c r="M230" s="98"/>
      <c r="N230" s="102"/>
    </row>
    <row r="231" spans="2:14" ht="14.45" hidden="1" customHeight="1" x14ac:dyDescent="0.25">
      <c r="B231" s="52"/>
      <c r="C231" s="60"/>
      <c r="D231" s="169" t="s">
        <v>602</v>
      </c>
      <c r="E231" s="67"/>
      <c r="F231" s="110">
        <v>1</v>
      </c>
      <c r="G231" s="241"/>
      <c r="H231" s="242"/>
      <c r="I231" s="183">
        <v>0.96299999999999997</v>
      </c>
      <c r="J231" s="115"/>
      <c r="K231" s="98"/>
      <c r="L231" s="98"/>
      <c r="M231" s="98"/>
      <c r="N231" s="102"/>
    </row>
    <row r="232" spans="2:14" ht="14.45" hidden="1" customHeight="1" x14ac:dyDescent="0.25">
      <c r="B232" s="52"/>
      <c r="C232" s="60"/>
      <c r="D232" s="169"/>
      <c r="E232" s="67"/>
      <c r="F232" s="110"/>
      <c r="G232" s="241"/>
      <c r="H232" s="242"/>
      <c r="I232" s="183">
        <v>0.96299999999999997</v>
      </c>
      <c r="J232" s="115"/>
      <c r="K232" s="98"/>
      <c r="L232" s="98"/>
      <c r="M232" s="98"/>
      <c r="N232" s="102"/>
    </row>
    <row r="233" spans="2:14" ht="14.45" hidden="1" customHeight="1" x14ac:dyDescent="0.25">
      <c r="B233" s="52"/>
      <c r="C233" s="60"/>
      <c r="D233" s="169"/>
      <c r="E233" s="67"/>
      <c r="F233" s="110"/>
      <c r="G233" s="241"/>
      <c r="H233" s="242"/>
      <c r="I233" s="183">
        <v>0.96299999999999997</v>
      </c>
      <c r="J233" s="115"/>
      <c r="K233" s="98"/>
      <c r="L233" s="98"/>
      <c r="M233" s="98"/>
      <c r="N233" s="102"/>
    </row>
    <row r="234" spans="2:14" ht="14.45" hidden="1" customHeight="1" x14ac:dyDescent="0.25">
      <c r="B234" s="52"/>
      <c r="C234" s="60"/>
      <c r="D234" s="169"/>
      <c r="E234" s="67"/>
      <c r="F234" s="110"/>
      <c r="G234" s="241"/>
      <c r="H234" s="242"/>
      <c r="I234" s="183">
        <v>0.96299999999999997</v>
      </c>
      <c r="J234" s="115"/>
      <c r="K234" s="98"/>
      <c r="L234" s="98"/>
      <c r="M234" s="98"/>
      <c r="N234" s="102"/>
    </row>
    <row r="235" spans="2:14" ht="14.45" hidden="1" customHeight="1" x14ac:dyDescent="0.25">
      <c r="B235" s="52"/>
      <c r="C235" s="60"/>
      <c r="D235" s="169"/>
      <c r="E235" s="67"/>
      <c r="F235" s="110"/>
      <c r="G235" s="241"/>
      <c r="H235" s="242"/>
      <c r="I235" s="183">
        <v>0.96299999999999997</v>
      </c>
      <c r="J235" s="115"/>
      <c r="K235" s="98"/>
      <c r="L235" s="98"/>
      <c r="M235" s="98"/>
      <c r="N235" s="102"/>
    </row>
    <row r="236" spans="2:14" ht="14.45" hidden="1" customHeight="1" x14ac:dyDescent="0.25">
      <c r="B236" s="52"/>
      <c r="C236" s="60"/>
      <c r="D236" s="169"/>
      <c r="E236" s="67"/>
      <c r="F236" s="110"/>
      <c r="G236" s="241"/>
      <c r="H236" s="242"/>
      <c r="I236" s="183">
        <v>0.96299999999999997</v>
      </c>
      <c r="J236" s="115"/>
      <c r="K236" s="98"/>
      <c r="L236" s="98"/>
      <c r="M236" s="98"/>
      <c r="N236" s="102"/>
    </row>
    <row r="237" spans="2:14" ht="14.45" hidden="1" customHeight="1" x14ac:dyDescent="0.25">
      <c r="B237" s="52"/>
      <c r="C237" s="60"/>
      <c r="D237" s="169"/>
      <c r="E237" s="67"/>
      <c r="F237" s="110"/>
      <c r="G237" s="241"/>
      <c r="H237" s="242"/>
      <c r="I237" s="183">
        <v>0.96299999999999997</v>
      </c>
      <c r="J237" s="115"/>
      <c r="K237" s="98"/>
      <c r="L237" s="98"/>
      <c r="M237" s="98"/>
      <c r="N237" s="102"/>
    </row>
    <row r="238" spans="2:14" ht="33.75" x14ac:dyDescent="0.25">
      <c r="B238" s="52" t="s">
        <v>84</v>
      </c>
      <c r="C238" s="60">
        <v>96536</v>
      </c>
      <c r="D238" s="55" t="s">
        <v>86</v>
      </c>
      <c r="E238" s="67" t="s">
        <v>17</v>
      </c>
      <c r="F238" s="110"/>
      <c r="G238" s="120"/>
      <c r="H238" s="108"/>
      <c r="I238" s="121"/>
      <c r="J238" s="115">
        <f>'BOLETIM DE MEDIÇÃO 02'!O37-'MEMORIAL DE CALCULO 02'!K238</f>
        <v>0</v>
      </c>
      <c r="K238" s="97">
        <f>SUM(K240:K277)</f>
        <v>206.33700000000002</v>
      </c>
      <c r="L238" s="98">
        <f t="shared" si="0"/>
        <v>206.33700000000002</v>
      </c>
      <c r="M238" s="98">
        <f>'BOLETIM DE MEDIÇÃO 02'!G37</f>
        <v>429.83</v>
      </c>
      <c r="N238" s="102">
        <f t="shared" si="1"/>
        <v>223.49299999999997</v>
      </c>
    </row>
    <row r="239" spans="2:14" ht="20.45" customHeight="1" x14ac:dyDescent="0.25">
      <c r="B239" s="52"/>
      <c r="C239" s="60"/>
      <c r="D239" s="180" t="s">
        <v>649</v>
      </c>
      <c r="E239" s="67"/>
      <c r="F239" s="110"/>
      <c r="G239" s="185" t="s">
        <v>650</v>
      </c>
      <c r="H239" s="186" t="s">
        <v>651</v>
      </c>
      <c r="I239" s="146" t="s">
        <v>652</v>
      </c>
      <c r="J239" s="115"/>
      <c r="K239" s="97"/>
      <c r="L239" s="98"/>
      <c r="M239" s="98"/>
      <c r="N239" s="102"/>
    </row>
    <row r="240" spans="2:14" ht="33.75" x14ac:dyDescent="0.25">
      <c r="B240" s="52"/>
      <c r="C240" s="60"/>
      <c r="D240" s="169" t="s">
        <v>569</v>
      </c>
      <c r="E240" s="67"/>
      <c r="F240" s="110">
        <v>32</v>
      </c>
      <c r="G240" s="120">
        <v>0.6</v>
      </c>
      <c r="H240" s="108">
        <v>0.7</v>
      </c>
      <c r="I240" s="121">
        <v>0.25</v>
      </c>
      <c r="J240" s="115"/>
      <c r="K240" s="98">
        <f xml:space="preserve"> (((G240+H240)*2)*I240)*F240</f>
        <v>20.799999999999997</v>
      </c>
      <c r="L240" s="98"/>
      <c r="M240" s="98"/>
      <c r="N240" s="102"/>
    </row>
    <row r="241" spans="2:14" ht="45" x14ac:dyDescent="0.25">
      <c r="B241" s="52"/>
      <c r="C241" s="60"/>
      <c r="D241" s="169" t="s">
        <v>570</v>
      </c>
      <c r="E241" s="67"/>
      <c r="F241" s="110">
        <v>41</v>
      </c>
      <c r="G241" s="120">
        <v>0.6</v>
      </c>
      <c r="H241" s="108">
        <v>0.7</v>
      </c>
      <c r="I241" s="121">
        <v>0.25</v>
      </c>
      <c r="J241" s="115"/>
      <c r="K241" s="98">
        <f t="shared" ref="K241:K246" si="15" xml:space="preserve"> (((G241+H241)*2)*I241)*F241</f>
        <v>26.649999999999995</v>
      </c>
      <c r="L241" s="98"/>
      <c r="M241" s="98"/>
      <c r="N241" s="102"/>
    </row>
    <row r="242" spans="2:14" x14ac:dyDescent="0.25">
      <c r="B242" s="52"/>
      <c r="C242" s="60"/>
      <c r="D242" s="169" t="s">
        <v>571</v>
      </c>
      <c r="E242" s="67"/>
      <c r="F242" s="110">
        <v>1</v>
      </c>
      <c r="G242" s="120">
        <v>0.6</v>
      </c>
      <c r="H242" s="108">
        <v>0.8</v>
      </c>
      <c r="I242" s="121">
        <v>0.25</v>
      </c>
      <c r="J242" s="115"/>
      <c r="K242" s="98">
        <f t="shared" si="15"/>
        <v>0.7</v>
      </c>
      <c r="L242" s="98"/>
      <c r="M242" s="98"/>
      <c r="N242" s="102"/>
    </row>
    <row r="243" spans="2:14" x14ac:dyDescent="0.25">
      <c r="B243" s="52"/>
      <c r="C243" s="60"/>
      <c r="D243" s="169" t="s">
        <v>572</v>
      </c>
      <c r="E243" s="67"/>
      <c r="F243" s="110">
        <v>2</v>
      </c>
      <c r="G243" s="120">
        <v>0.9</v>
      </c>
      <c r="H243" s="108">
        <v>0.9</v>
      </c>
      <c r="I243" s="121">
        <v>0.25</v>
      </c>
      <c r="J243" s="115"/>
      <c r="K243" s="98">
        <f t="shared" si="15"/>
        <v>1.8</v>
      </c>
      <c r="L243" s="98"/>
      <c r="M243" s="98"/>
      <c r="N243" s="102"/>
    </row>
    <row r="244" spans="2:14" x14ac:dyDescent="0.25">
      <c r="B244" s="52"/>
      <c r="C244" s="60"/>
      <c r="D244" s="169" t="s">
        <v>573</v>
      </c>
      <c r="E244" s="67"/>
      <c r="F244" s="110">
        <v>7</v>
      </c>
      <c r="G244" s="120">
        <v>0.65</v>
      </c>
      <c r="H244" s="108">
        <v>0.65</v>
      </c>
      <c r="I244" s="121">
        <v>0.25</v>
      </c>
      <c r="J244" s="115"/>
      <c r="K244" s="98">
        <f t="shared" si="15"/>
        <v>4.55</v>
      </c>
      <c r="L244" s="98"/>
      <c r="M244" s="98"/>
      <c r="N244" s="102"/>
    </row>
    <row r="245" spans="2:14" x14ac:dyDescent="0.25">
      <c r="B245" s="52"/>
      <c r="C245" s="60"/>
      <c r="D245" s="169" t="s">
        <v>574</v>
      </c>
      <c r="E245" s="67"/>
      <c r="F245" s="110">
        <v>3</v>
      </c>
      <c r="G245" s="120">
        <v>0.65</v>
      </c>
      <c r="H245" s="108">
        <v>0.75</v>
      </c>
      <c r="I245" s="121">
        <v>0.25</v>
      </c>
      <c r="J245" s="115"/>
      <c r="K245" s="98">
        <f t="shared" si="15"/>
        <v>2.0999999999999996</v>
      </c>
      <c r="L245" s="98"/>
      <c r="M245" s="98"/>
      <c r="N245" s="102"/>
    </row>
    <row r="246" spans="2:14" x14ac:dyDescent="0.25">
      <c r="B246" s="52"/>
      <c r="C246" s="60"/>
      <c r="D246" s="169" t="s">
        <v>575</v>
      </c>
      <c r="E246" s="67"/>
      <c r="F246" s="110">
        <v>2</v>
      </c>
      <c r="G246" s="120">
        <v>0.55000000000000004</v>
      </c>
      <c r="H246" s="108">
        <v>0.95</v>
      </c>
      <c r="I246" s="121">
        <v>0.25</v>
      </c>
      <c r="J246" s="115"/>
      <c r="K246" s="98">
        <f t="shared" si="15"/>
        <v>1.5</v>
      </c>
      <c r="L246" s="98"/>
      <c r="M246" s="98"/>
      <c r="N246" s="102"/>
    </row>
    <row r="247" spans="2:14" ht="27" customHeight="1" x14ac:dyDescent="0.25">
      <c r="B247" s="52"/>
      <c r="C247" s="60"/>
      <c r="D247" s="180" t="s">
        <v>628</v>
      </c>
      <c r="E247" s="67"/>
      <c r="F247" s="110"/>
      <c r="G247" s="245" t="s">
        <v>707</v>
      </c>
      <c r="H247" s="246"/>
      <c r="I247" s="121" t="s">
        <v>652</v>
      </c>
      <c r="J247" s="115"/>
      <c r="K247" s="97"/>
      <c r="L247" s="98"/>
      <c r="M247" s="98"/>
      <c r="N247" s="102"/>
    </row>
    <row r="248" spans="2:14" x14ac:dyDescent="0.25">
      <c r="B248" s="52"/>
      <c r="C248" s="60"/>
      <c r="D248" s="169" t="s">
        <v>615</v>
      </c>
      <c r="E248" s="67"/>
      <c r="F248" s="110">
        <v>1</v>
      </c>
      <c r="G248" s="241">
        <f xml:space="preserve"> ((0.15+0.25)*2) *2</f>
        <v>1.6</v>
      </c>
      <c r="H248" s="242"/>
      <c r="I248" s="121">
        <v>1.85</v>
      </c>
      <c r="J248" s="115"/>
      <c r="K248" s="98">
        <f>(F248*G248*I248)</f>
        <v>2.9600000000000004</v>
      </c>
      <c r="L248" s="98"/>
      <c r="M248" s="98"/>
      <c r="N248" s="102"/>
    </row>
    <row r="249" spans="2:14" x14ac:dyDescent="0.25">
      <c r="B249" s="52"/>
      <c r="C249" s="60"/>
      <c r="D249" s="169" t="s">
        <v>634</v>
      </c>
      <c r="E249" s="67"/>
      <c r="F249" s="110">
        <v>1</v>
      </c>
      <c r="G249" s="241">
        <f xml:space="preserve"> ((0.2+0.25)*2) + ((0.2+0.3)*2)</f>
        <v>1.9</v>
      </c>
      <c r="H249" s="242"/>
      <c r="I249" s="121">
        <v>1.87</v>
      </c>
      <c r="J249" s="115"/>
      <c r="K249" s="98">
        <f t="shared" ref="K249:K312" si="16">(F249*G249*I249)</f>
        <v>3.5529999999999999</v>
      </c>
      <c r="L249" s="98"/>
      <c r="M249" s="98"/>
      <c r="N249" s="102"/>
    </row>
    <row r="250" spans="2:14" ht="21.6" customHeight="1" x14ac:dyDescent="0.25">
      <c r="B250" s="52"/>
      <c r="C250" s="60"/>
      <c r="D250" s="169" t="s">
        <v>630</v>
      </c>
      <c r="E250" s="67"/>
      <c r="F250" s="110">
        <v>1</v>
      </c>
      <c r="G250" s="241">
        <f xml:space="preserve"> ((0.2+0.25)*2*3) + ((0.2+0.2)*2*1) + ((0.15+0.2)*2*1)</f>
        <v>4.2</v>
      </c>
      <c r="H250" s="242"/>
      <c r="I250" s="121">
        <v>1.9</v>
      </c>
      <c r="J250" s="115"/>
      <c r="K250" s="98">
        <f t="shared" si="16"/>
        <v>7.9799999999999995</v>
      </c>
      <c r="L250" s="98"/>
      <c r="M250" s="98"/>
      <c r="N250" s="102"/>
    </row>
    <row r="251" spans="2:14" x14ac:dyDescent="0.25">
      <c r="B251" s="52"/>
      <c r="C251" s="60"/>
      <c r="D251" s="169" t="s">
        <v>631</v>
      </c>
      <c r="E251" s="67"/>
      <c r="F251" s="110">
        <v>1</v>
      </c>
      <c r="G251" s="241">
        <f xml:space="preserve"> ((0.2+0.25)*2*1) + ((0.15+0.25)*2*2)</f>
        <v>2.5</v>
      </c>
      <c r="H251" s="242"/>
      <c r="I251" s="121">
        <v>1.92</v>
      </c>
      <c r="J251" s="115"/>
      <c r="K251" s="98">
        <f t="shared" si="16"/>
        <v>4.8</v>
      </c>
      <c r="L251" s="98"/>
      <c r="M251" s="98"/>
      <c r="N251" s="102"/>
    </row>
    <row r="252" spans="2:14" x14ac:dyDescent="0.25">
      <c r="B252" s="52"/>
      <c r="C252" s="60"/>
      <c r="D252" s="169" t="s">
        <v>616</v>
      </c>
      <c r="E252" s="67"/>
      <c r="F252" s="110">
        <v>1</v>
      </c>
      <c r="G252" s="241">
        <f xml:space="preserve"> ((0.15+0.3)*2*3)</f>
        <v>2.6999999999999997</v>
      </c>
      <c r="H252" s="242"/>
      <c r="I252" s="102">
        <v>1.94</v>
      </c>
      <c r="J252" s="115"/>
      <c r="K252" s="98">
        <f t="shared" si="16"/>
        <v>5.2379999999999995</v>
      </c>
      <c r="L252" s="98"/>
      <c r="M252" s="98"/>
      <c r="N252" s="102"/>
    </row>
    <row r="253" spans="2:14" ht="20.45" customHeight="1" x14ac:dyDescent="0.25">
      <c r="B253" s="52"/>
      <c r="C253" s="60"/>
      <c r="D253" s="169" t="s">
        <v>617</v>
      </c>
      <c r="E253" s="67"/>
      <c r="F253" s="110">
        <v>1</v>
      </c>
      <c r="G253" s="241">
        <f xml:space="preserve"> ((0.2+0.25)*2*3) + ((0.15+0.25)*2*2)</f>
        <v>4.3000000000000007</v>
      </c>
      <c r="H253" s="242"/>
      <c r="I253" s="102">
        <v>1.96</v>
      </c>
      <c r="J253" s="115"/>
      <c r="K253" s="98">
        <f t="shared" si="16"/>
        <v>8.4280000000000008</v>
      </c>
      <c r="L253" s="98"/>
      <c r="M253" s="98"/>
      <c r="N253" s="102"/>
    </row>
    <row r="254" spans="2:14" ht="20.45" customHeight="1" x14ac:dyDescent="0.25">
      <c r="B254" s="52"/>
      <c r="C254" s="60"/>
      <c r="D254" s="169" t="s">
        <v>618</v>
      </c>
      <c r="E254" s="67"/>
      <c r="F254" s="110">
        <v>1</v>
      </c>
      <c r="G254" s="241">
        <f xml:space="preserve"> ((0.2+0.25)*2*3) + ((0.15+0.25)*2*2) +  ((0.2+0.3)*2*1)</f>
        <v>5.3000000000000007</v>
      </c>
      <c r="H254" s="242"/>
      <c r="I254" s="102">
        <v>1.95</v>
      </c>
      <c r="J254" s="115"/>
      <c r="K254" s="98">
        <f t="shared" si="16"/>
        <v>10.335000000000001</v>
      </c>
      <c r="L254" s="98"/>
      <c r="M254" s="98"/>
      <c r="N254" s="102"/>
    </row>
    <row r="255" spans="2:14" x14ac:dyDescent="0.25">
      <c r="B255" s="52"/>
      <c r="C255" s="60"/>
      <c r="D255" s="169" t="s">
        <v>619</v>
      </c>
      <c r="E255" s="67"/>
      <c r="F255" s="110">
        <v>1</v>
      </c>
      <c r="G255" s="241">
        <f xml:space="preserve"> ((0.2+0.25)*2*2) + ((0.15+0.25)*2*1)</f>
        <v>2.6</v>
      </c>
      <c r="H255" s="242"/>
      <c r="I255" s="102">
        <v>1.97</v>
      </c>
      <c r="J255" s="115"/>
      <c r="K255" s="98">
        <f t="shared" si="16"/>
        <v>5.1219999999999999</v>
      </c>
      <c r="L255" s="98"/>
      <c r="M255" s="98"/>
      <c r="N255" s="102"/>
    </row>
    <row r="256" spans="2:14" x14ac:dyDescent="0.25">
      <c r="B256" s="52"/>
      <c r="C256" s="60"/>
      <c r="D256" s="169" t="s">
        <v>632</v>
      </c>
      <c r="E256" s="67"/>
      <c r="F256" s="110">
        <v>1</v>
      </c>
      <c r="G256" s="241">
        <f>((0.15+0.25)*2*3)</f>
        <v>2.4000000000000004</v>
      </c>
      <c r="H256" s="242"/>
      <c r="I256" s="102">
        <v>1.9</v>
      </c>
      <c r="J256" s="115"/>
      <c r="K256" s="98">
        <f t="shared" si="16"/>
        <v>4.5600000000000005</v>
      </c>
      <c r="L256" s="98"/>
      <c r="M256" s="98"/>
      <c r="N256" s="102"/>
    </row>
    <row r="257" spans="2:14" ht="23.45" customHeight="1" x14ac:dyDescent="0.25">
      <c r="B257" s="52"/>
      <c r="C257" s="60"/>
      <c r="D257" s="169" t="s">
        <v>633</v>
      </c>
      <c r="E257" s="67"/>
      <c r="F257" s="110">
        <v>1</v>
      </c>
      <c r="G257" s="241">
        <f xml:space="preserve"> ((0.2+0.25)*2*1) + ((0.15+0.25)*2*1) +  ((0.2+0.35)*2*1)</f>
        <v>2.8000000000000003</v>
      </c>
      <c r="H257" s="242"/>
      <c r="I257" s="102">
        <v>1.86</v>
      </c>
      <c r="J257" s="115"/>
      <c r="K257" s="98">
        <f t="shared" si="16"/>
        <v>5.2080000000000011</v>
      </c>
      <c r="L257" s="98"/>
      <c r="M257" s="98"/>
      <c r="N257" s="102"/>
    </row>
    <row r="258" spans="2:14" x14ac:dyDescent="0.25">
      <c r="B258" s="52"/>
      <c r="C258" s="60"/>
      <c r="D258" s="169" t="s">
        <v>635</v>
      </c>
      <c r="E258" s="67"/>
      <c r="F258" s="110">
        <v>1</v>
      </c>
      <c r="G258" s="241">
        <f xml:space="preserve"> ((0.2+0.25)*2*1) + ((0.15+0.3)*2*2)</f>
        <v>2.6999999999999997</v>
      </c>
      <c r="H258" s="242"/>
      <c r="I258" s="102">
        <v>1.87</v>
      </c>
      <c r="J258" s="115"/>
      <c r="K258" s="98">
        <f t="shared" si="16"/>
        <v>5.0489999999999995</v>
      </c>
      <c r="L258" s="98"/>
      <c r="M258" s="98"/>
      <c r="N258" s="102"/>
    </row>
    <row r="259" spans="2:14" ht="23.45" customHeight="1" x14ac:dyDescent="0.25">
      <c r="B259" s="52"/>
      <c r="C259" s="60"/>
      <c r="D259" s="169" t="s">
        <v>620</v>
      </c>
      <c r="E259" s="67"/>
      <c r="F259" s="110">
        <v>1</v>
      </c>
      <c r="G259" s="241">
        <f xml:space="preserve"> ((0.2+0.3)*2*1) + ((0.15+0.3)*2*1) +  ((0.15+0.25)*2*1) + ((0.15+0.35)*2*1)</f>
        <v>3.7</v>
      </c>
      <c r="H259" s="242"/>
      <c r="I259" s="102">
        <v>1.9</v>
      </c>
      <c r="J259" s="115"/>
      <c r="K259" s="98">
        <f t="shared" si="16"/>
        <v>7.03</v>
      </c>
      <c r="L259" s="98"/>
      <c r="M259" s="98"/>
      <c r="N259" s="102"/>
    </row>
    <row r="260" spans="2:14" x14ac:dyDescent="0.25">
      <c r="B260" s="52"/>
      <c r="C260" s="60"/>
      <c r="D260" s="169" t="s">
        <v>621</v>
      </c>
      <c r="E260" s="67"/>
      <c r="F260" s="110">
        <v>1</v>
      </c>
      <c r="G260" s="241">
        <f xml:space="preserve"> ((0.15+0.25)*2*1) + ((0.2+0.3)*2*1)</f>
        <v>1.8</v>
      </c>
      <c r="H260" s="242"/>
      <c r="I260" s="102">
        <v>1.91</v>
      </c>
      <c r="J260" s="115"/>
      <c r="K260" s="98">
        <f t="shared" si="16"/>
        <v>3.4379999999999997</v>
      </c>
      <c r="L260" s="98"/>
      <c r="M260" s="98"/>
      <c r="N260" s="102"/>
    </row>
    <row r="261" spans="2:14" ht="22.5" x14ac:dyDescent="0.25">
      <c r="B261" s="52"/>
      <c r="C261" s="60"/>
      <c r="D261" s="169" t="s">
        <v>622</v>
      </c>
      <c r="E261" s="67"/>
      <c r="F261" s="110">
        <v>1</v>
      </c>
      <c r="G261" s="241">
        <f xml:space="preserve"> ((0.15+0.25)*2*5) + ((0.25+0.25)*2*1)</f>
        <v>5</v>
      </c>
      <c r="H261" s="242"/>
      <c r="I261" s="102">
        <v>1.94</v>
      </c>
      <c r="J261" s="115"/>
      <c r="K261" s="98">
        <f t="shared" si="16"/>
        <v>9.6999999999999993</v>
      </c>
      <c r="L261" s="98"/>
      <c r="M261" s="98"/>
      <c r="N261" s="102"/>
    </row>
    <row r="262" spans="2:14" ht="26.45" customHeight="1" x14ac:dyDescent="0.25">
      <c r="B262" s="52"/>
      <c r="C262" s="60"/>
      <c r="D262" s="169" t="s">
        <v>623</v>
      </c>
      <c r="E262" s="67"/>
      <c r="F262" s="110">
        <v>1</v>
      </c>
      <c r="G262" s="241">
        <f xml:space="preserve"> ((0.2+0.25)*2*1) + ((0.15+0.25)*2*1) +  ((0.25+0.25)*2*1)</f>
        <v>2.7</v>
      </c>
      <c r="H262" s="242"/>
      <c r="I262" s="102">
        <v>1.93</v>
      </c>
      <c r="J262" s="115"/>
      <c r="K262" s="98">
        <f t="shared" si="16"/>
        <v>5.2110000000000003</v>
      </c>
      <c r="L262" s="98"/>
      <c r="M262" s="98"/>
      <c r="N262" s="102"/>
    </row>
    <row r="263" spans="2:14" x14ac:dyDescent="0.25">
      <c r="B263" s="52"/>
      <c r="C263" s="60"/>
      <c r="D263" s="169" t="s">
        <v>636</v>
      </c>
      <c r="E263" s="67"/>
      <c r="F263" s="110">
        <v>1</v>
      </c>
      <c r="G263" s="241">
        <f xml:space="preserve"> ((0.15+0.25)*2*2) + ((0.25+0.25)*2*1)</f>
        <v>2.6</v>
      </c>
      <c r="H263" s="242"/>
      <c r="I263" s="102">
        <v>1.92</v>
      </c>
      <c r="J263" s="115"/>
      <c r="K263" s="98">
        <f t="shared" si="16"/>
        <v>4.992</v>
      </c>
      <c r="L263" s="98"/>
      <c r="M263" s="98"/>
      <c r="N263" s="102"/>
    </row>
    <row r="264" spans="2:14" x14ac:dyDescent="0.25">
      <c r="B264" s="52"/>
      <c r="C264" s="60"/>
      <c r="D264" s="169" t="s">
        <v>624</v>
      </c>
      <c r="E264" s="67"/>
      <c r="F264" s="110">
        <v>1</v>
      </c>
      <c r="G264" s="241">
        <f xml:space="preserve"> ((0.15+0.25)*2*2) + ((0.2+0.25)*2*2)</f>
        <v>3.4000000000000004</v>
      </c>
      <c r="H264" s="242"/>
      <c r="I264" s="102">
        <v>1.87</v>
      </c>
      <c r="J264" s="115"/>
      <c r="K264" s="98">
        <f t="shared" si="16"/>
        <v>6.3580000000000014</v>
      </c>
      <c r="L264" s="98"/>
      <c r="M264" s="98"/>
      <c r="N264" s="169"/>
    </row>
    <row r="265" spans="2:14" x14ac:dyDescent="0.25">
      <c r="B265" s="52"/>
      <c r="C265" s="60"/>
      <c r="D265" s="169" t="s">
        <v>625</v>
      </c>
      <c r="E265" s="67"/>
      <c r="F265" s="110">
        <v>1</v>
      </c>
      <c r="G265" s="241">
        <f xml:space="preserve"> ((0.15+0.25)*2*3) + ((0.2+0.25)*2*1)</f>
        <v>3.3000000000000003</v>
      </c>
      <c r="H265" s="242"/>
      <c r="I265" s="102">
        <v>1.88</v>
      </c>
      <c r="J265" s="115"/>
      <c r="K265" s="98">
        <f t="shared" si="16"/>
        <v>6.2039999999999997</v>
      </c>
      <c r="L265" s="98"/>
      <c r="M265" s="98"/>
      <c r="N265" s="102"/>
    </row>
    <row r="266" spans="2:14" x14ac:dyDescent="0.25">
      <c r="B266" s="52"/>
      <c r="C266" s="60"/>
      <c r="D266" s="169" t="s">
        <v>626</v>
      </c>
      <c r="E266" s="67"/>
      <c r="F266" s="110">
        <v>1</v>
      </c>
      <c r="G266" s="241">
        <f>((0.2+0.25)*2*3) + ((0.25+0.25)*2*1)</f>
        <v>3.7</v>
      </c>
      <c r="H266" s="242"/>
      <c r="I266" s="102">
        <v>1.9</v>
      </c>
      <c r="J266" s="115"/>
      <c r="K266" s="98">
        <f t="shared" si="16"/>
        <v>7.03</v>
      </c>
      <c r="L266" s="98"/>
      <c r="M266" s="98"/>
      <c r="N266" s="102"/>
    </row>
    <row r="267" spans="2:14" x14ac:dyDescent="0.25">
      <c r="B267" s="52"/>
      <c r="C267" s="60"/>
      <c r="D267" s="169" t="s">
        <v>638</v>
      </c>
      <c r="E267" s="67"/>
      <c r="F267" s="110">
        <v>1</v>
      </c>
      <c r="G267" s="241">
        <f>((0.2+0.2)*2*1)</f>
        <v>0.8</v>
      </c>
      <c r="H267" s="242"/>
      <c r="I267" s="102">
        <v>1.9</v>
      </c>
      <c r="J267" s="115"/>
      <c r="K267" s="98">
        <f t="shared" si="16"/>
        <v>1.52</v>
      </c>
      <c r="L267" s="98"/>
      <c r="M267" s="98"/>
      <c r="N267" s="102"/>
    </row>
    <row r="268" spans="2:14" x14ac:dyDescent="0.25">
      <c r="B268" s="52"/>
      <c r="C268" s="60"/>
      <c r="D268" s="169" t="s">
        <v>637</v>
      </c>
      <c r="E268" s="67"/>
      <c r="F268" s="110">
        <v>1</v>
      </c>
      <c r="G268" s="241">
        <f>((0.2+0.25)*2*1) + ((0.15+0.25)*2*1)</f>
        <v>1.7000000000000002</v>
      </c>
      <c r="H268" s="242"/>
      <c r="I268" s="102">
        <v>1.97</v>
      </c>
      <c r="J268" s="115"/>
      <c r="K268" s="98">
        <f t="shared" si="16"/>
        <v>3.3490000000000002</v>
      </c>
      <c r="L268" s="98"/>
      <c r="M268" s="98"/>
      <c r="N268" s="102"/>
    </row>
    <row r="269" spans="2:14" x14ac:dyDescent="0.25">
      <c r="B269" s="52"/>
      <c r="C269" s="60"/>
      <c r="D269" s="169" t="s">
        <v>639</v>
      </c>
      <c r="E269" s="67"/>
      <c r="F269" s="110">
        <v>1</v>
      </c>
      <c r="G269" s="241">
        <f>((0.2+0.25)*2*1) + ((0.15+0.25)*2*2)</f>
        <v>2.5</v>
      </c>
      <c r="H269" s="242"/>
      <c r="I269" s="102">
        <v>2</v>
      </c>
      <c r="J269" s="115"/>
      <c r="K269" s="98">
        <f t="shared" si="16"/>
        <v>5</v>
      </c>
      <c r="L269" s="98"/>
      <c r="M269" s="98"/>
      <c r="N269" s="102"/>
    </row>
    <row r="270" spans="2:14" ht="20.45" customHeight="1" x14ac:dyDescent="0.25">
      <c r="B270" s="52"/>
      <c r="C270" s="60"/>
      <c r="D270" s="169" t="s">
        <v>627</v>
      </c>
      <c r="E270" s="67"/>
      <c r="F270" s="110">
        <v>1</v>
      </c>
      <c r="G270" s="241">
        <f xml:space="preserve"> ((0.2+0.3)*2*1) + ((0.15+0.25)*2*5) +  ((0.25+0.25)*2*1)</f>
        <v>6</v>
      </c>
      <c r="H270" s="242"/>
      <c r="I270" s="102">
        <v>2.0099999999999998</v>
      </c>
      <c r="J270" s="115"/>
      <c r="K270" s="98">
        <f t="shared" si="16"/>
        <v>12.059999999999999</v>
      </c>
      <c r="L270" s="98"/>
      <c r="M270" s="98"/>
      <c r="N270" s="102"/>
    </row>
    <row r="271" spans="2:14" x14ac:dyDescent="0.25">
      <c r="B271" s="52"/>
      <c r="C271" s="60"/>
      <c r="D271" s="169" t="s">
        <v>640</v>
      </c>
      <c r="E271" s="67"/>
      <c r="F271" s="110">
        <v>1</v>
      </c>
      <c r="G271" s="241">
        <f>((0.15+0.3)*2*1)</f>
        <v>0.89999999999999991</v>
      </c>
      <c r="H271" s="242"/>
      <c r="I271" s="102">
        <v>1.86</v>
      </c>
      <c r="J271" s="115"/>
      <c r="K271" s="98">
        <f t="shared" si="16"/>
        <v>1.6739999999999999</v>
      </c>
      <c r="L271" s="98"/>
      <c r="M271" s="98"/>
      <c r="N271" s="102"/>
    </row>
    <row r="272" spans="2:14" x14ac:dyDescent="0.25">
      <c r="B272" s="52"/>
      <c r="C272" s="60"/>
      <c r="D272" s="169" t="s">
        <v>641</v>
      </c>
      <c r="E272" s="67"/>
      <c r="F272" s="110">
        <v>1</v>
      </c>
      <c r="G272" s="241">
        <f>((0.15+0.5)*2*1)</f>
        <v>1.3</v>
      </c>
      <c r="H272" s="242"/>
      <c r="I272" s="102">
        <v>1.87</v>
      </c>
      <c r="J272" s="115"/>
      <c r="K272" s="98">
        <f t="shared" si="16"/>
        <v>2.431</v>
      </c>
      <c r="L272" s="98"/>
      <c r="M272" s="98"/>
      <c r="N272" s="102"/>
    </row>
    <row r="273" spans="2:14" x14ac:dyDescent="0.25">
      <c r="B273" s="52"/>
      <c r="C273" s="60"/>
      <c r="D273" s="169" t="s">
        <v>642</v>
      </c>
      <c r="E273" s="67"/>
      <c r="F273" s="110">
        <v>1</v>
      </c>
      <c r="G273" s="241">
        <f>((0.15+0.5)*2*1)</f>
        <v>1.3</v>
      </c>
      <c r="H273" s="242"/>
      <c r="I273" s="102">
        <v>1.89</v>
      </c>
      <c r="J273" s="115"/>
      <c r="K273" s="98">
        <f t="shared" si="16"/>
        <v>2.4569999999999999</v>
      </c>
      <c r="L273" s="98"/>
      <c r="M273" s="98"/>
      <c r="N273" s="102"/>
    </row>
    <row r="274" spans="2:14" x14ac:dyDescent="0.25">
      <c r="B274" s="52"/>
      <c r="C274" s="60"/>
      <c r="D274" s="169" t="s">
        <v>643</v>
      </c>
      <c r="E274" s="67"/>
      <c r="F274" s="110">
        <v>1</v>
      </c>
      <c r="G274" s="241">
        <f>((0.15+0.25)*2*1)</f>
        <v>0.8</v>
      </c>
      <c r="H274" s="242"/>
      <c r="I274" s="102">
        <v>1.9</v>
      </c>
      <c r="J274" s="115"/>
      <c r="K274" s="98">
        <f t="shared" si="16"/>
        <v>1.52</v>
      </c>
      <c r="L274" s="98"/>
      <c r="M274" s="98"/>
      <c r="N274" s="102"/>
    </row>
    <row r="275" spans="2:14" x14ac:dyDescent="0.25">
      <c r="B275" s="52"/>
      <c r="C275" s="60"/>
      <c r="D275" s="169" t="s">
        <v>644</v>
      </c>
      <c r="E275" s="67"/>
      <c r="F275" s="110">
        <v>1</v>
      </c>
      <c r="G275" s="241">
        <f t="shared" ref="G275" si="17">((0.15+0.3)*2*1)</f>
        <v>0.89999999999999991</v>
      </c>
      <c r="H275" s="242"/>
      <c r="I275" s="102">
        <v>1.92</v>
      </c>
      <c r="J275" s="115"/>
      <c r="K275" s="98">
        <f t="shared" si="16"/>
        <v>1.7279999999999998</v>
      </c>
      <c r="L275" s="98"/>
      <c r="M275" s="98"/>
      <c r="N275" s="102"/>
    </row>
    <row r="276" spans="2:14" x14ac:dyDescent="0.25">
      <c r="B276" s="52"/>
      <c r="C276" s="60"/>
      <c r="D276" s="169" t="s">
        <v>645</v>
      </c>
      <c r="E276" s="67"/>
      <c r="F276" s="110">
        <v>1</v>
      </c>
      <c r="G276" s="241">
        <f>((0.15+0.25)*2*1)</f>
        <v>0.8</v>
      </c>
      <c r="H276" s="242"/>
      <c r="I276" s="102">
        <v>1.9</v>
      </c>
      <c r="J276" s="115"/>
      <c r="K276" s="98">
        <f t="shared" si="16"/>
        <v>1.52</v>
      </c>
      <c r="L276" s="98"/>
      <c r="M276" s="98"/>
      <c r="N276" s="102"/>
    </row>
    <row r="277" spans="2:14" x14ac:dyDescent="0.25">
      <c r="B277" s="52"/>
      <c r="C277" s="60"/>
      <c r="D277" s="169" t="s">
        <v>646</v>
      </c>
      <c r="E277" s="67"/>
      <c r="F277" s="110">
        <v>1</v>
      </c>
      <c r="G277" s="241">
        <f>((0.15+0.3)*2*1)</f>
        <v>0.89999999999999991</v>
      </c>
      <c r="H277" s="242"/>
      <c r="I277" s="102">
        <v>1.98</v>
      </c>
      <c r="J277" s="115"/>
      <c r="K277" s="98">
        <f t="shared" si="16"/>
        <v>1.7819999999999998</v>
      </c>
      <c r="L277" s="98"/>
      <c r="M277" s="98"/>
      <c r="N277" s="102"/>
    </row>
    <row r="278" spans="2:14" ht="20.45" hidden="1" customHeight="1" x14ac:dyDescent="0.25">
      <c r="B278" s="52" t="s">
        <v>87</v>
      </c>
      <c r="C278" s="61">
        <v>98557</v>
      </c>
      <c r="D278" s="55" t="s">
        <v>89</v>
      </c>
      <c r="E278" s="67" t="s">
        <v>17</v>
      </c>
      <c r="F278" s="110"/>
      <c r="G278" s="120"/>
      <c r="H278" s="108"/>
      <c r="I278" s="121"/>
      <c r="J278" s="115">
        <f>'BOLETIM DE MEDIÇÃO 02'!O38-'MEMORIAL DE CALCULO 02'!K278</f>
        <v>0</v>
      </c>
      <c r="K278" s="98">
        <f t="shared" si="16"/>
        <v>0</v>
      </c>
      <c r="L278" s="98">
        <f t="shared" si="0"/>
        <v>0</v>
      </c>
      <c r="M278" s="98">
        <f>'BOLETIM DE MEDIÇÃO 02'!G38</f>
        <v>253.95</v>
      </c>
      <c r="N278" s="102">
        <f t="shared" si="1"/>
        <v>253.95</v>
      </c>
    </row>
    <row r="279" spans="2:14" ht="14.45" hidden="1" customHeight="1" x14ac:dyDescent="0.25">
      <c r="B279" s="59" t="s">
        <v>90</v>
      </c>
      <c r="C279" s="63" t="s">
        <v>91</v>
      </c>
      <c r="D279" s="55"/>
      <c r="E279" s="67"/>
      <c r="F279" s="110"/>
      <c r="G279" s="120"/>
      <c r="H279" s="108"/>
      <c r="I279" s="121"/>
      <c r="J279" s="115"/>
      <c r="K279" s="98">
        <f t="shared" si="16"/>
        <v>0</v>
      </c>
      <c r="L279" s="98"/>
      <c r="M279" s="98"/>
      <c r="N279" s="102"/>
    </row>
    <row r="280" spans="2:14" ht="40.9" hidden="1" customHeight="1" x14ac:dyDescent="0.25">
      <c r="B280" s="52" t="s">
        <v>92</v>
      </c>
      <c r="C280" s="60">
        <v>92443</v>
      </c>
      <c r="D280" s="55" t="s">
        <v>94</v>
      </c>
      <c r="E280" s="67" t="s">
        <v>17</v>
      </c>
      <c r="F280" s="110"/>
      <c r="G280" s="120"/>
      <c r="H280" s="108"/>
      <c r="I280" s="121"/>
      <c r="J280" s="115">
        <f>'BOLETIM DE MEDIÇÃO 02'!O40-'MEMORIAL DE CALCULO 02'!K280</f>
        <v>0</v>
      </c>
      <c r="K280" s="98">
        <f t="shared" si="16"/>
        <v>0</v>
      </c>
      <c r="L280" s="98">
        <f t="shared" si="0"/>
        <v>0</v>
      </c>
      <c r="M280" s="98">
        <f>'BOLETIM DE MEDIÇÃO 02'!G40</f>
        <v>408.7</v>
      </c>
      <c r="N280" s="102">
        <f t="shared" si="1"/>
        <v>408.7</v>
      </c>
    </row>
    <row r="281" spans="2:14" ht="30.6" hidden="1" customHeight="1" x14ac:dyDescent="0.25">
      <c r="B281" s="52" t="s">
        <v>95</v>
      </c>
      <c r="C281" s="66">
        <v>92480</v>
      </c>
      <c r="D281" s="64" t="s">
        <v>97</v>
      </c>
      <c r="E281" s="67" t="s">
        <v>17</v>
      </c>
      <c r="F281" s="110"/>
      <c r="G281" s="120"/>
      <c r="H281" s="46"/>
      <c r="I281" s="121"/>
      <c r="J281" s="115">
        <f>'BOLETIM DE MEDIÇÃO 02'!O41-'MEMORIAL DE CALCULO 02'!K281</f>
        <v>0</v>
      </c>
      <c r="K281" s="98">
        <f t="shared" si="16"/>
        <v>0</v>
      </c>
      <c r="L281" s="98">
        <f t="shared" si="0"/>
        <v>0</v>
      </c>
      <c r="M281" s="98">
        <f>'BOLETIM DE MEDIÇÃO 02'!G41</f>
        <v>435.33</v>
      </c>
      <c r="N281" s="102">
        <f t="shared" si="1"/>
        <v>435.33</v>
      </c>
    </row>
    <row r="282" spans="2:14" ht="20.45" hidden="1" customHeight="1" x14ac:dyDescent="0.25">
      <c r="B282" s="52" t="s">
        <v>98</v>
      </c>
      <c r="C282" s="60">
        <v>92267</v>
      </c>
      <c r="D282" s="55" t="s">
        <v>100</v>
      </c>
      <c r="E282" s="67" t="s">
        <v>17</v>
      </c>
      <c r="F282" s="110"/>
      <c r="G282" s="120"/>
      <c r="H282" s="67"/>
      <c r="I282" s="121"/>
      <c r="J282" s="115">
        <f>'BOLETIM DE MEDIÇÃO 02'!O42-'MEMORIAL DE CALCULO 02'!K282</f>
        <v>0</v>
      </c>
      <c r="K282" s="98">
        <f t="shared" si="16"/>
        <v>0</v>
      </c>
      <c r="L282" s="98">
        <f t="shared" si="0"/>
        <v>0</v>
      </c>
      <c r="M282" s="98">
        <f>'BOLETIM DE MEDIÇÃO 02'!G42</f>
        <v>111.15</v>
      </c>
      <c r="N282" s="102">
        <f t="shared" si="1"/>
        <v>111.15</v>
      </c>
    </row>
    <row r="283" spans="2:14" ht="30.6" hidden="1" customHeight="1" x14ac:dyDescent="0.25">
      <c r="B283" s="52" t="s">
        <v>101</v>
      </c>
      <c r="C283" s="60">
        <v>92759</v>
      </c>
      <c r="D283" s="55" t="s">
        <v>103</v>
      </c>
      <c r="E283" s="67" t="s">
        <v>62</v>
      </c>
      <c r="F283" s="110"/>
      <c r="G283" s="120"/>
      <c r="H283" s="67"/>
      <c r="I283" s="121"/>
      <c r="J283" s="115">
        <f>'BOLETIM DE MEDIÇÃO 02'!O43-'MEMORIAL DE CALCULO 02'!K283</f>
        <v>0</v>
      </c>
      <c r="K283" s="98">
        <f t="shared" si="16"/>
        <v>0</v>
      </c>
      <c r="L283" s="98">
        <f t="shared" si="0"/>
        <v>0</v>
      </c>
      <c r="M283" s="98">
        <f>'BOLETIM DE MEDIÇÃO 02'!G43</f>
        <v>1027.8</v>
      </c>
      <c r="N283" s="102">
        <f t="shared" si="1"/>
        <v>1027.8</v>
      </c>
    </row>
    <row r="284" spans="2:14" ht="30.6" hidden="1" customHeight="1" x14ac:dyDescent="0.25">
      <c r="B284" s="52" t="s">
        <v>104</v>
      </c>
      <c r="C284" s="60">
        <v>92760</v>
      </c>
      <c r="D284" s="55" t="s">
        <v>106</v>
      </c>
      <c r="E284" s="67" t="s">
        <v>62</v>
      </c>
      <c r="F284" s="110"/>
      <c r="G284" s="120"/>
      <c r="H284" s="67"/>
      <c r="I284" s="121"/>
      <c r="J284" s="115">
        <f>'BOLETIM DE MEDIÇÃO 02'!O44-'MEMORIAL DE CALCULO 02'!K284</f>
        <v>0</v>
      </c>
      <c r="K284" s="98">
        <f t="shared" si="16"/>
        <v>0</v>
      </c>
      <c r="L284" s="98">
        <f t="shared" si="0"/>
        <v>0</v>
      </c>
      <c r="M284" s="98">
        <f>'BOLETIM DE MEDIÇÃO 02'!G44</f>
        <v>39.1</v>
      </c>
      <c r="N284" s="102">
        <f t="shared" si="1"/>
        <v>39.1</v>
      </c>
    </row>
    <row r="285" spans="2:14" ht="30.6" hidden="1" customHeight="1" x14ac:dyDescent="0.25">
      <c r="B285" s="52" t="s">
        <v>107</v>
      </c>
      <c r="C285" s="60">
        <v>92761</v>
      </c>
      <c r="D285" s="55" t="s">
        <v>109</v>
      </c>
      <c r="E285" s="67" t="s">
        <v>62</v>
      </c>
      <c r="F285" s="110"/>
      <c r="G285" s="120"/>
      <c r="H285" s="67"/>
      <c r="I285" s="121"/>
      <c r="J285" s="115">
        <f>'BOLETIM DE MEDIÇÃO 02'!O45-'MEMORIAL DE CALCULO 02'!K285</f>
        <v>0</v>
      </c>
      <c r="K285" s="98">
        <f t="shared" si="16"/>
        <v>0</v>
      </c>
      <c r="L285" s="98">
        <f t="shared" si="0"/>
        <v>0</v>
      </c>
      <c r="M285" s="98">
        <f>'BOLETIM DE MEDIÇÃO 02'!G45</f>
        <v>1000</v>
      </c>
      <c r="N285" s="102">
        <f t="shared" si="1"/>
        <v>1000</v>
      </c>
    </row>
    <row r="286" spans="2:14" ht="30.6" hidden="1" customHeight="1" x14ac:dyDescent="0.25">
      <c r="B286" s="52" t="s">
        <v>110</v>
      </c>
      <c r="C286" s="60">
        <v>92762</v>
      </c>
      <c r="D286" s="55" t="s">
        <v>112</v>
      </c>
      <c r="E286" s="67" t="s">
        <v>62</v>
      </c>
      <c r="F286" s="110"/>
      <c r="G286" s="120"/>
      <c r="H286" s="67"/>
      <c r="I286" s="121"/>
      <c r="J286" s="115">
        <f>'BOLETIM DE MEDIÇÃO 02'!O46-'MEMORIAL DE CALCULO 02'!K286</f>
        <v>0</v>
      </c>
      <c r="K286" s="98">
        <f t="shared" si="16"/>
        <v>0</v>
      </c>
      <c r="L286" s="98">
        <f t="shared" si="0"/>
        <v>0</v>
      </c>
      <c r="M286" s="98">
        <f>'BOLETIM DE MEDIÇÃO 02'!G46</f>
        <v>1306.0999999999999</v>
      </c>
      <c r="N286" s="102">
        <f t="shared" si="1"/>
        <v>1306.0999999999999</v>
      </c>
    </row>
    <row r="287" spans="2:14" ht="33.75" hidden="1" x14ac:dyDescent="0.25">
      <c r="B287" s="52" t="s">
        <v>113</v>
      </c>
      <c r="C287" s="60">
        <v>92763</v>
      </c>
      <c r="D287" s="55" t="s">
        <v>115</v>
      </c>
      <c r="E287" s="67" t="s">
        <v>62</v>
      </c>
      <c r="F287" s="110"/>
      <c r="G287" s="120"/>
      <c r="H287" s="67"/>
      <c r="I287" s="121"/>
      <c r="J287" s="115">
        <f>'BOLETIM DE MEDIÇÃO 02'!O47-'MEMORIAL DE CALCULO 02'!K287</f>
        <v>0</v>
      </c>
      <c r="K287" s="98">
        <f t="shared" si="16"/>
        <v>0</v>
      </c>
      <c r="L287" s="98">
        <f t="shared" si="0"/>
        <v>0</v>
      </c>
      <c r="M287" s="98">
        <f>'BOLETIM DE MEDIÇÃO 02'!G47</f>
        <v>168.2</v>
      </c>
      <c r="N287" s="102">
        <f t="shared" si="1"/>
        <v>168.2</v>
      </c>
    </row>
    <row r="288" spans="2:14" ht="33.75" hidden="1" x14ac:dyDescent="0.25">
      <c r="B288" s="52" t="s">
        <v>116</v>
      </c>
      <c r="C288" s="60">
        <v>92768</v>
      </c>
      <c r="D288" s="55" t="s">
        <v>118</v>
      </c>
      <c r="E288" s="67" t="s">
        <v>62</v>
      </c>
      <c r="F288" s="110"/>
      <c r="G288" s="120"/>
      <c r="H288" s="67"/>
      <c r="I288" s="121"/>
      <c r="J288" s="115">
        <f>'BOLETIM DE MEDIÇÃO 02'!O48-'MEMORIAL DE CALCULO 02'!K288</f>
        <v>0</v>
      </c>
      <c r="K288" s="98">
        <f t="shared" si="16"/>
        <v>0</v>
      </c>
      <c r="L288" s="98">
        <f t="shared" si="0"/>
        <v>0</v>
      </c>
      <c r="M288" s="98">
        <f>'BOLETIM DE MEDIÇÃO 02'!G48</f>
        <v>158.69999999999999</v>
      </c>
      <c r="N288" s="102">
        <f t="shared" si="1"/>
        <v>158.69999999999999</v>
      </c>
    </row>
    <row r="289" spans="2:14" ht="33.75" hidden="1" x14ac:dyDescent="0.25">
      <c r="B289" s="52" t="s">
        <v>119</v>
      </c>
      <c r="C289" s="60">
        <v>92769</v>
      </c>
      <c r="D289" s="55" t="s">
        <v>121</v>
      </c>
      <c r="E289" s="67" t="s">
        <v>62</v>
      </c>
      <c r="F289" s="110"/>
      <c r="G289" s="120"/>
      <c r="H289" s="67"/>
      <c r="I289" s="121"/>
      <c r="J289" s="115">
        <f>'BOLETIM DE MEDIÇÃO 02'!O49-'MEMORIAL DE CALCULO 02'!K289</f>
        <v>0</v>
      </c>
      <c r="K289" s="98">
        <f t="shared" si="16"/>
        <v>0</v>
      </c>
      <c r="L289" s="98">
        <f t="shared" si="0"/>
        <v>0</v>
      </c>
      <c r="M289" s="98">
        <f>'BOLETIM DE MEDIÇÃO 02'!G49</f>
        <v>170.5</v>
      </c>
      <c r="N289" s="102">
        <f t="shared" si="1"/>
        <v>170.5</v>
      </c>
    </row>
    <row r="290" spans="2:14" ht="33.75" hidden="1" x14ac:dyDescent="0.25">
      <c r="B290" s="52" t="s">
        <v>122</v>
      </c>
      <c r="C290" s="60">
        <v>92770</v>
      </c>
      <c r="D290" s="55" t="s">
        <v>124</v>
      </c>
      <c r="E290" s="67" t="s">
        <v>62</v>
      </c>
      <c r="F290" s="110"/>
      <c r="G290" s="120"/>
      <c r="H290" s="67"/>
      <c r="I290" s="121"/>
      <c r="J290" s="115">
        <f>'BOLETIM DE MEDIÇÃO 02'!O50-'MEMORIAL DE CALCULO 02'!K290</f>
        <v>0</v>
      </c>
      <c r="K290" s="98">
        <f t="shared" si="16"/>
        <v>0</v>
      </c>
      <c r="L290" s="98">
        <f t="shared" si="0"/>
        <v>0</v>
      </c>
      <c r="M290" s="98">
        <f>'BOLETIM DE MEDIÇÃO 02'!G50</f>
        <v>279.10000000000002</v>
      </c>
      <c r="N290" s="102">
        <f t="shared" si="1"/>
        <v>279.10000000000002</v>
      </c>
    </row>
    <row r="291" spans="2:14" ht="33.75" hidden="1" x14ac:dyDescent="0.25">
      <c r="B291" s="52" t="s">
        <v>125</v>
      </c>
      <c r="C291" s="60">
        <v>94966</v>
      </c>
      <c r="D291" s="55" t="s">
        <v>65</v>
      </c>
      <c r="E291" s="67" t="s">
        <v>41</v>
      </c>
      <c r="F291" s="110"/>
      <c r="G291" s="120"/>
      <c r="H291" s="67"/>
      <c r="I291" s="121"/>
      <c r="J291" s="115">
        <f>'BOLETIM DE MEDIÇÃO 02'!O51-'MEMORIAL DE CALCULO 02'!K291</f>
        <v>0</v>
      </c>
      <c r="K291" s="98">
        <f t="shared" si="16"/>
        <v>0</v>
      </c>
      <c r="L291" s="98">
        <f t="shared" si="0"/>
        <v>0</v>
      </c>
      <c r="M291" s="98">
        <f>'BOLETIM DE MEDIÇÃO 02'!G51</f>
        <v>61.56</v>
      </c>
      <c r="N291" s="102">
        <f t="shared" si="1"/>
        <v>61.56</v>
      </c>
    </row>
    <row r="292" spans="2:14" ht="22.5" hidden="1" x14ac:dyDescent="0.25">
      <c r="B292" s="52" t="s">
        <v>126</v>
      </c>
      <c r="C292" s="66">
        <v>103670</v>
      </c>
      <c r="D292" s="64" t="s">
        <v>71</v>
      </c>
      <c r="E292" s="67" t="s">
        <v>41</v>
      </c>
      <c r="F292" s="110"/>
      <c r="G292" s="120"/>
      <c r="H292" s="46"/>
      <c r="I292" s="121"/>
      <c r="J292" s="115">
        <f>'BOLETIM DE MEDIÇÃO 02'!O52-'MEMORIAL DE CALCULO 02'!K292</f>
        <v>0</v>
      </c>
      <c r="K292" s="98">
        <f t="shared" si="16"/>
        <v>0</v>
      </c>
      <c r="L292" s="98">
        <f t="shared" si="0"/>
        <v>0</v>
      </c>
      <c r="M292" s="98">
        <f>'BOLETIM DE MEDIÇÃO 02'!G52</f>
        <v>61.56</v>
      </c>
      <c r="N292" s="102">
        <f t="shared" si="1"/>
        <v>61.56</v>
      </c>
    </row>
    <row r="293" spans="2:14" ht="33.75" hidden="1" x14ac:dyDescent="0.25">
      <c r="B293" s="52" t="s">
        <v>127</v>
      </c>
      <c r="C293" s="66">
        <v>92771</v>
      </c>
      <c r="D293" s="64" t="s">
        <v>129</v>
      </c>
      <c r="E293" s="67" t="s">
        <v>62</v>
      </c>
      <c r="F293" s="110"/>
      <c r="G293" s="120"/>
      <c r="H293" s="46"/>
      <c r="I293" s="121"/>
      <c r="J293" s="115">
        <f>'BOLETIM DE MEDIÇÃO 02'!O53-'MEMORIAL DE CALCULO 02'!K293</f>
        <v>0</v>
      </c>
      <c r="K293" s="98">
        <f t="shared" si="16"/>
        <v>0</v>
      </c>
      <c r="L293" s="98">
        <f t="shared" si="0"/>
        <v>0</v>
      </c>
      <c r="M293" s="98">
        <f>'BOLETIM DE MEDIÇÃO 02'!G53</f>
        <v>312.3</v>
      </c>
      <c r="N293" s="102">
        <f t="shared" si="1"/>
        <v>312.3</v>
      </c>
    </row>
    <row r="294" spans="2:14" ht="33.75" hidden="1" x14ac:dyDescent="0.25">
      <c r="B294" s="52" t="s">
        <v>130</v>
      </c>
      <c r="C294" s="60">
        <v>92772</v>
      </c>
      <c r="D294" s="55" t="s">
        <v>132</v>
      </c>
      <c r="E294" s="67" t="s">
        <v>62</v>
      </c>
      <c r="F294" s="110"/>
      <c r="G294" s="120"/>
      <c r="H294" s="67"/>
      <c r="I294" s="121"/>
      <c r="J294" s="115">
        <f>'BOLETIM DE MEDIÇÃO 02'!O54-'MEMORIAL DE CALCULO 02'!K294</f>
        <v>0</v>
      </c>
      <c r="K294" s="98">
        <f t="shared" si="16"/>
        <v>0</v>
      </c>
      <c r="L294" s="98">
        <f t="shared" si="0"/>
        <v>0</v>
      </c>
      <c r="M294" s="98">
        <f>'BOLETIM DE MEDIÇÃO 02'!G54</f>
        <v>154.80000000000001</v>
      </c>
      <c r="N294" s="102">
        <f t="shared" si="1"/>
        <v>154.80000000000001</v>
      </c>
    </row>
    <row r="295" spans="2:14" hidden="1" x14ac:dyDescent="0.25">
      <c r="B295" s="59">
        <v>1.5</v>
      </c>
      <c r="C295" s="63" t="s">
        <v>134</v>
      </c>
      <c r="D295" s="55"/>
      <c r="E295" s="67"/>
      <c r="F295" s="110"/>
      <c r="G295" s="120"/>
      <c r="H295" s="67"/>
      <c r="I295" s="121"/>
      <c r="J295" s="115"/>
      <c r="K295" s="98">
        <f t="shared" si="16"/>
        <v>0</v>
      </c>
      <c r="L295" s="98"/>
      <c r="M295" s="98"/>
      <c r="N295" s="102"/>
    </row>
    <row r="296" spans="2:14" ht="45" hidden="1" x14ac:dyDescent="0.25">
      <c r="B296" s="52" t="s">
        <v>135</v>
      </c>
      <c r="C296" s="60">
        <v>103356</v>
      </c>
      <c r="D296" s="55" t="s">
        <v>137</v>
      </c>
      <c r="E296" s="67" t="s">
        <v>17</v>
      </c>
      <c r="F296" s="110"/>
      <c r="G296" s="120"/>
      <c r="H296" s="67"/>
      <c r="I296" s="121"/>
      <c r="J296" s="115">
        <f>'BOLETIM DE MEDIÇÃO 02'!O56-'MEMORIAL DE CALCULO 02'!K296</f>
        <v>0</v>
      </c>
      <c r="K296" s="98">
        <f t="shared" si="16"/>
        <v>0</v>
      </c>
      <c r="L296" s="98">
        <f t="shared" si="0"/>
        <v>0</v>
      </c>
      <c r="M296" s="98">
        <f>'BOLETIM DE MEDIÇÃO 02'!G56</f>
        <v>1131.99</v>
      </c>
      <c r="N296" s="102">
        <f t="shared" si="1"/>
        <v>1131.99</v>
      </c>
    </row>
    <row r="297" spans="2:14" ht="22.5" hidden="1" x14ac:dyDescent="0.25">
      <c r="B297" s="52" t="s">
        <v>138</v>
      </c>
      <c r="C297" s="66">
        <v>93189</v>
      </c>
      <c r="D297" s="64" t="s">
        <v>140</v>
      </c>
      <c r="E297" s="67" t="s">
        <v>37</v>
      </c>
      <c r="F297" s="110"/>
      <c r="G297" s="120"/>
      <c r="H297" s="46"/>
      <c r="I297" s="121"/>
      <c r="J297" s="115">
        <f>'BOLETIM DE MEDIÇÃO 02'!O57-'MEMORIAL DE CALCULO 02'!K297</f>
        <v>0</v>
      </c>
      <c r="K297" s="98">
        <f t="shared" si="16"/>
        <v>0</v>
      </c>
      <c r="L297" s="98">
        <f t="shared" si="0"/>
        <v>0</v>
      </c>
      <c r="M297" s="98">
        <f>'BOLETIM DE MEDIÇÃO 02'!G57</f>
        <v>64.099999999999994</v>
      </c>
      <c r="N297" s="102">
        <f t="shared" si="1"/>
        <v>64.099999999999994</v>
      </c>
    </row>
    <row r="298" spans="2:14" ht="33.75" hidden="1" x14ac:dyDescent="0.25">
      <c r="B298" s="52" t="s">
        <v>141</v>
      </c>
      <c r="C298" s="60">
        <v>93191</v>
      </c>
      <c r="D298" s="55" t="s">
        <v>143</v>
      </c>
      <c r="E298" s="67" t="s">
        <v>37</v>
      </c>
      <c r="F298" s="110"/>
      <c r="G298" s="120"/>
      <c r="H298" s="67"/>
      <c r="I298" s="121"/>
      <c r="J298" s="115">
        <f>'BOLETIM DE MEDIÇÃO 02'!O58-'MEMORIAL DE CALCULO 02'!K298</f>
        <v>0</v>
      </c>
      <c r="K298" s="98">
        <f t="shared" si="16"/>
        <v>0</v>
      </c>
      <c r="L298" s="98">
        <f t="shared" si="0"/>
        <v>0</v>
      </c>
      <c r="M298" s="98">
        <f>'BOLETIM DE MEDIÇÃO 02'!G58</f>
        <v>72.2</v>
      </c>
      <c r="N298" s="102">
        <f t="shared" si="1"/>
        <v>72.2</v>
      </c>
    </row>
    <row r="299" spans="2:14" ht="22.5" hidden="1" x14ac:dyDescent="0.25">
      <c r="B299" s="52" t="s">
        <v>144</v>
      </c>
      <c r="C299" s="60">
        <v>93197</v>
      </c>
      <c r="D299" s="55" t="s">
        <v>146</v>
      </c>
      <c r="E299" s="67" t="s">
        <v>37</v>
      </c>
      <c r="F299" s="110"/>
      <c r="G299" s="120"/>
      <c r="H299" s="67"/>
      <c r="I299" s="121"/>
      <c r="J299" s="115">
        <f>'BOLETIM DE MEDIÇÃO 02'!O59-'MEMORIAL DE CALCULO 02'!K299</f>
        <v>0</v>
      </c>
      <c r="K299" s="98">
        <f t="shared" si="16"/>
        <v>0</v>
      </c>
      <c r="L299" s="98">
        <f t="shared" si="0"/>
        <v>0</v>
      </c>
      <c r="M299" s="98">
        <f>'BOLETIM DE MEDIÇÃO 02'!G59</f>
        <v>72.2</v>
      </c>
      <c r="N299" s="102">
        <f t="shared" si="1"/>
        <v>72.2</v>
      </c>
    </row>
    <row r="300" spans="2:14" ht="14.45" hidden="1" customHeight="1" x14ac:dyDescent="0.25">
      <c r="B300" s="59">
        <v>1.6</v>
      </c>
      <c r="C300" s="63" t="s">
        <v>148</v>
      </c>
      <c r="D300" s="55"/>
      <c r="E300" s="67"/>
      <c r="F300" s="110"/>
      <c r="G300" s="120"/>
      <c r="H300" s="67"/>
      <c r="I300" s="121"/>
      <c r="J300" s="115"/>
      <c r="K300" s="98">
        <f t="shared" si="16"/>
        <v>0</v>
      </c>
      <c r="L300" s="98"/>
      <c r="M300" s="98"/>
      <c r="N300" s="102"/>
    </row>
    <row r="301" spans="2:14" ht="45" hidden="1" x14ac:dyDescent="0.25">
      <c r="B301" s="52" t="s">
        <v>149</v>
      </c>
      <c r="C301" s="60">
        <v>87893</v>
      </c>
      <c r="D301" s="55" t="s">
        <v>151</v>
      </c>
      <c r="E301" s="67" t="s">
        <v>17</v>
      </c>
      <c r="F301" s="110"/>
      <c r="G301" s="120"/>
      <c r="H301" s="67"/>
      <c r="I301" s="121"/>
      <c r="J301" s="115">
        <f>'BOLETIM DE MEDIÇÃO 02'!O61-'MEMORIAL DE CALCULO 02'!K301</f>
        <v>0</v>
      </c>
      <c r="K301" s="98">
        <f t="shared" si="16"/>
        <v>0</v>
      </c>
      <c r="L301" s="98">
        <f t="shared" si="0"/>
        <v>0</v>
      </c>
      <c r="M301" s="98">
        <f>'BOLETIM DE MEDIÇÃO 02'!G61</f>
        <v>1348.98</v>
      </c>
      <c r="N301" s="102">
        <f t="shared" si="1"/>
        <v>1348.98</v>
      </c>
    </row>
    <row r="302" spans="2:14" ht="56.25" hidden="1" x14ac:dyDescent="0.25">
      <c r="B302" s="52" t="s">
        <v>152</v>
      </c>
      <c r="C302" s="60">
        <v>87548</v>
      </c>
      <c r="D302" s="55" t="s">
        <v>154</v>
      </c>
      <c r="E302" s="67" t="s">
        <v>17</v>
      </c>
      <c r="F302" s="110"/>
      <c r="G302" s="120"/>
      <c r="H302" s="67"/>
      <c r="I302" s="121"/>
      <c r="J302" s="115">
        <f>'BOLETIM DE MEDIÇÃO 02'!O62-'MEMORIAL DE CALCULO 02'!K302</f>
        <v>0</v>
      </c>
      <c r="K302" s="98">
        <f t="shared" si="16"/>
        <v>0</v>
      </c>
      <c r="L302" s="98">
        <f t="shared" si="0"/>
        <v>0</v>
      </c>
      <c r="M302" s="98">
        <f>'BOLETIM DE MEDIÇÃO 02'!G62</f>
        <v>997.11</v>
      </c>
      <c r="N302" s="102">
        <f t="shared" si="1"/>
        <v>997.11</v>
      </c>
    </row>
    <row r="303" spans="2:14" ht="56.25" hidden="1" x14ac:dyDescent="0.25">
      <c r="B303" s="52" t="s">
        <v>155</v>
      </c>
      <c r="C303" s="60">
        <v>87536</v>
      </c>
      <c r="D303" s="55" t="s">
        <v>157</v>
      </c>
      <c r="E303" s="67" t="s">
        <v>17</v>
      </c>
      <c r="F303" s="110"/>
      <c r="G303" s="120"/>
      <c r="H303" s="67"/>
      <c r="I303" s="121"/>
      <c r="J303" s="115">
        <f>'BOLETIM DE MEDIÇÃO 02'!O63-'MEMORIAL DE CALCULO 02'!K303</f>
        <v>0</v>
      </c>
      <c r="K303" s="98">
        <f t="shared" si="16"/>
        <v>0</v>
      </c>
      <c r="L303" s="98">
        <f t="shared" si="0"/>
        <v>0</v>
      </c>
      <c r="M303" s="98">
        <f>'BOLETIM DE MEDIÇÃO 02'!G63</f>
        <v>351.87</v>
      </c>
      <c r="N303" s="102">
        <f t="shared" si="1"/>
        <v>351.87</v>
      </c>
    </row>
    <row r="304" spans="2:14" ht="33.75" hidden="1" x14ac:dyDescent="0.25">
      <c r="B304" s="52" t="s">
        <v>158</v>
      </c>
      <c r="C304" s="60">
        <v>87275</v>
      </c>
      <c r="D304" s="55" t="s">
        <v>160</v>
      </c>
      <c r="E304" s="67" t="s">
        <v>17</v>
      </c>
      <c r="F304" s="110"/>
      <c r="G304" s="120"/>
      <c r="H304" s="67"/>
      <c r="I304" s="121"/>
      <c r="J304" s="115">
        <f>'BOLETIM DE MEDIÇÃO 02'!O64-'MEMORIAL DE CALCULO 02'!K304</f>
        <v>0</v>
      </c>
      <c r="K304" s="98">
        <f t="shared" si="16"/>
        <v>0</v>
      </c>
      <c r="L304" s="98">
        <f t="shared" si="0"/>
        <v>0</v>
      </c>
      <c r="M304" s="98">
        <f>'BOLETIM DE MEDIÇÃO 02'!G64</f>
        <v>351.87</v>
      </c>
      <c r="N304" s="102">
        <f t="shared" si="1"/>
        <v>351.87</v>
      </c>
    </row>
    <row r="305" spans="2:14" hidden="1" x14ac:dyDescent="0.25">
      <c r="B305" s="59">
        <v>1.7</v>
      </c>
      <c r="C305" s="63" t="s">
        <v>162</v>
      </c>
      <c r="D305" s="55"/>
      <c r="E305" s="67"/>
      <c r="F305" s="110"/>
      <c r="G305" s="120"/>
      <c r="H305" s="67"/>
      <c r="I305" s="121"/>
      <c r="J305" s="115"/>
      <c r="K305" s="98">
        <f t="shared" si="16"/>
        <v>0</v>
      </c>
      <c r="L305" s="98"/>
      <c r="M305" s="98"/>
      <c r="N305" s="102"/>
    </row>
    <row r="306" spans="2:14" ht="56.25" hidden="1" x14ac:dyDescent="0.25">
      <c r="B306" s="52" t="s">
        <v>163</v>
      </c>
      <c r="C306" s="66">
        <v>91315</v>
      </c>
      <c r="D306" s="64" t="s">
        <v>165</v>
      </c>
      <c r="E306" s="67" t="s">
        <v>166</v>
      </c>
      <c r="F306" s="110"/>
      <c r="G306" s="120"/>
      <c r="H306" s="46"/>
      <c r="I306" s="121"/>
      <c r="J306" s="115">
        <f>'BOLETIM DE MEDIÇÃO 02'!O66-'MEMORIAL DE CALCULO 02'!K306</f>
        <v>0</v>
      </c>
      <c r="K306" s="98">
        <f t="shared" si="16"/>
        <v>0</v>
      </c>
      <c r="L306" s="98">
        <f t="shared" si="0"/>
        <v>0</v>
      </c>
      <c r="M306" s="98">
        <f>'BOLETIM DE MEDIÇÃO 02'!G66</f>
        <v>18</v>
      </c>
      <c r="N306" s="102">
        <f t="shared" si="1"/>
        <v>18</v>
      </c>
    </row>
    <row r="307" spans="2:14" ht="56.25" hidden="1" x14ac:dyDescent="0.25">
      <c r="B307" s="52" t="s">
        <v>167</v>
      </c>
      <c r="C307" s="60">
        <v>94570</v>
      </c>
      <c r="D307" s="55" t="s">
        <v>169</v>
      </c>
      <c r="E307" s="67" t="s">
        <v>17</v>
      </c>
      <c r="F307" s="110"/>
      <c r="G307" s="120"/>
      <c r="H307" s="67"/>
      <c r="I307" s="121"/>
      <c r="J307" s="115">
        <f>'BOLETIM DE MEDIÇÃO 02'!O67-'MEMORIAL DE CALCULO 02'!K307</f>
        <v>0</v>
      </c>
      <c r="K307" s="98">
        <f t="shared" si="16"/>
        <v>0</v>
      </c>
      <c r="L307" s="98">
        <f t="shared" si="0"/>
        <v>0</v>
      </c>
      <c r="M307" s="98">
        <f>'BOLETIM DE MEDIÇÃO 02'!G67</f>
        <v>49.7</v>
      </c>
      <c r="N307" s="102">
        <f t="shared" si="1"/>
        <v>49.7</v>
      </c>
    </row>
    <row r="308" spans="2:14" ht="56.25" hidden="1" x14ac:dyDescent="0.25">
      <c r="B308" s="52" t="s">
        <v>170</v>
      </c>
      <c r="C308" s="60">
        <v>100689</v>
      </c>
      <c r="D308" s="55" t="s">
        <v>172</v>
      </c>
      <c r="E308" s="67" t="s">
        <v>166</v>
      </c>
      <c r="F308" s="110"/>
      <c r="G308" s="120"/>
      <c r="H308" s="67"/>
      <c r="I308" s="121"/>
      <c r="J308" s="115">
        <f>'BOLETIM DE MEDIÇÃO 02'!O68-'MEMORIAL DE CALCULO 02'!K308</f>
        <v>0</v>
      </c>
      <c r="K308" s="98">
        <f t="shared" si="16"/>
        <v>0</v>
      </c>
      <c r="L308" s="98">
        <f t="shared" si="0"/>
        <v>0</v>
      </c>
      <c r="M308" s="98">
        <f>'BOLETIM DE MEDIÇÃO 02'!G68</f>
        <v>5</v>
      </c>
      <c r="N308" s="102">
        <f t="shared" si="1"/>
        <v>5</v>
      </c>
    </row>
    <row r="309" spans="2:14" ht="33.75" hidden="1" x14ac:dyDescent="0.25">
      <c r="B309" s="52" t="s">
        <v>173</v>
      </c>
      <c r="C309" s="61" t="s">
        <v>174</v>
      </c>
      <c r="D309" s="55" t="s">
        <v>175</v>
      </c>
      <c r="E309" s="67" t="s">
        <v>5</v>
      </c>
      <c r="F309" s="110"/>
      <c r="G309" s="120"/>
      <c r="H309" s="67"/>
      <c r="I309" s="121"/>
      <c r="J309" s="115">
        <f>'BOLETIM DE MEDIÇÃO 02'!O69-'MEMORIAL DE CALCULO 02'!K309</f>
        <v>0</v>
      </c>
      <c r="K309" s="98">
        <f t="shared" si="16"/>
        <v>0</v>
      </c>
      <c r="L309" s="98">
        <f t="shared" si="0"/>
        <v>0</v>
      </c>
      <c r="M309" s="98">
        <f>'BOLETIM DE MEDIÇÃO 02'!G69</f>
        <v>1</v>
      </c>
      <c r="N309" s="102">
        <f t="shared" si="1"/>
        <v>1</v>
      </c>
    </row>
    <row r="310" spans="2:14" ht="33.75" hidden="1" x14ac:dyDescent="0.25">
      <c r="B310" s="52" t="s">
        <v>176</v>
      </c>
      <c r="C310" s="61" t="s">
        <v>177</v>
      </c>
      <c r="D310" s="55" t="s">
        <v>178</v>
      </c>
      <c r="E310" s="67" t="s">
        <v>5</v>
      </c>
      <c r="F310" s="110"/>
      <c r="G310" s="120"/>
      <c r="H310" s="67"/>
      <c r="I310" s="121"/>
      <c r="J310" s="115">
        <f>'BOLETIM DE MEDIÇÃO 02'!O70-'MEMORIAL DE CALCULO 02'!K310</f>
        <v>0</v>
      </c>
      <c r="K310" s="98">
        <f t="shared" si="16"/>
        <v>0</v>
      </c>
      <c r="L310" s="98">
        <f t="shared" si="0"/>
        <v>0</v>
      </c>
      <c r="M310" s="98">
        <f>'BOLETIM DE MEDIÇÃO 02'!G70</f>
        <v>3</v>
      </c>
      <c r="N310" s="102">
        <f t="shared" si="1"/>
        <v>3</v>
      </c>
    </row>
    <row r="311" spans="2:14" ht="33.75" hidden="1" x14ac:dyDescent="0.25">
      <c r="B311" s="52" t="s">
        <v>179</v>
      </c>
      <c r="C311" s="60">
        <v>91341</v>
      </c>
      <c r="D311" s="55" t="s">
        <v>181</v>
      </c>
      <c r="E311" s="67" t="s">
        <v>17</v>
      </c>
      <c r="F311" s="110"/>
      <c r="G311" s="120"/>
      <c r="H311" s="67"/>
      <c r="I311" s="121"/>
      <c r="J311" s="115">
        <f>'BOLETIM DE MEDIÇÃO 02'!O71-'MEMORIAL DE CALCULO 02'!K311</f>
        <v>0</v>
      </c>
      <c r="K311" s="98">
        <f t="shared" si="16"/>
        <v>0</v>
      </c>
      <c r="L311" s="98">
        <f t="shared" si="0"/>
        <v>0</v>
      </c>
      <c r="M311" s="98">
        <f>'BOLETIM DE MEDIÇÃO 02'!G71</f>
        <v>12.96</v>
      </c>
      <c r="N311" s="102">
        <f t="shared" si="1"/>
        <v>12.96</v>
      </c>
    </row>
    <row r="312" spans="2:14" ht="33.75" hidden="1" x14ac:dyDescent="0.25">
      <c r="B312" s="52" t="s">
        <v>182</v>
      </c>
      <c r="C312" s="60">
        <v>100702</v>
      </c>
      <c r="D312" s="55" t="s">
        <v>184</v>
      </c>
      <c r="E312" s="67" t="s">
        <v>17</v>
      </c>
      <c r="F312" s="110"/>
      <c r="G312" s="120"/>
      <c r="H312" s="67"/>
      <c r="I312" s="121"/>
      <c r="J312" s="115">
        <f>'BOLETIM DE MEDIÇÃO 02'!O72-'MEMORIAL DE CALCULO 02'!K312</f>
        <v>0</v>
      </c>
      <c r="K312" s="98">
        <f t="shared" si="16"/>
        <v>0</v>
      </c>
      <c r="L312" s="98">
        <f t="shared" si="0"/>
        <v>0</v>
      </c>
      <c r="M312" s="98">
        <f>'BOLETIM DE MEDIÇÃO 02'!G72</f>
        <v>19.96</v>
      </c>
      <c r="N312" s="102">
        <f t="shared" si="1"/>
        <v>19.96</v>
      </c>
    </row>
    <row r="313" spans="2:14" ht="45" hidden="1" x14ac:dyDescent="0.25">
      <c r="B313" s="52" t="s">
        <v>185</v>
      </c>
      <c r="C313" s="60">
        <v>90831</v>
      </c>
      <c r="D313" s="55" t="s">
        <v>187</v>
      </c>
      <c r="E313" s="67" t="s">
        <v>166</v>
      </c>
      <c r="F313" s="110"/>
      <c r="G313" s="120"/>
      <c r="H313" s="67"/>
      <c r="I313" s="121"/>
      <c r="J313" s="115">
        <f>'BOLETIM DE MEDIÇÃO 02'!O73-'MEMORIAL DE CALCULO 02'!K313</f>
        <v>0</v>
      </c>
      <c r="K313" s="98">
        <f t="shared" ref="K313:K376" si="18">(F313*G313*I313)</f>
        <v>0</v>
      </c>
      <c r="L313" s="98">
        <f t="shared" si="0"/>
        <v>0</v>
      </c>
      <c r="M313" s="98">
        <f>'BOLETIM DE MEDIÇÃO 02'!G73</f>
        <v>8</v>
      </c>
      <c r="N313" s="102">
        <f t="shared" si="1"/>
        <v>8</v>
      </c>
    </row>
    <row r="314" spans="2:14" hidden="1" x14ac:dyDescent="0.25">
      <c r="B314" s="59">
        <v>1.8</v>
      </c>
      <c r="C314" s="63" t="s">
        <v>189</v>
      </c>
      <c r="D314" s="55"/>
      <c r="E314" s="46"/>
      <c r="F314" s="110"/>
      <c r="G314" s="120"/>
      <c r="H314" s="67"/>
      <c r="I314" s="121"/>
      <c r="J314" s="115"/>
      <c r="K314" s="98">
        <f t="shared" si="18"/>
        <v>0</v>
      </c>
      <c r="L314" s="98"/>
      <c r="M314" s="98"/>
      <c r="N314" s="102"/>
    </row>
    <row r="315" spans="2:14" ht="22.5" hidden="1" x14ac:dyDescent="0.25">
      <c r="B315" s="52" t="s">
        <v>190</v>
      </c>
      <c r="C315" s="60">
        <v>88485</v>
      </c>
      <c r="D315" s="55" t="s">
        <v>192</v>
      </c>
      <c r="E315" s="46" t="s">
        <v>17</v>
      </c>
      <c r="F315" s="110"/>
      <c r="G315" s="120"/>
      <c r="H315" s="67"/>
      <c r="I315" s="121"/>
      <c r="J315" s="115">
        <f>'BOLETIM DE MEDIÇÃO 02'!O75-'MEMORIAL DE CALCULO 02'!K315</f>
        <v>0</v>
      </c>
      <c r="K315" s="98">
        <f t="shared" si="18"/>
        <v>0</v>
      </c>
      <c r="L315" s="98">
        <f t="shared" si="0"/>
        <v>0</v>
      </c>
      <c r="M315" s="98">
        <f>'BOLETIM DE MEDIÇÃO 02'!G75</f>
        <v>997.11</v>
      </c>
      <c r="N315" s="102">
        <f t="shared" si="1"/>
        <v>997.11</v>
      </c>
    </row>
    <row r="316" spans="2:14" ht="22.5" hidden="1" x14ac:dyDescent="0.25">
      <c r="B316" s="52" t="s">
        <v>193</v>
      </c>
      <c r="C316" s="60">
        <v>88495</v>
      </c>
      <c r="D316" s="55" t="s">
        <v>195</v>
      </c>
      <c r="E316" s="46" t="s">
        <v>17</v>
      </c>
      <c r="F316" s="110"/>
      <c r="G316" s="120"/>
      <c r="H316" s="67"/>
      <c r="I316" s="121"/>
      <c r="J316" s="115">
        <f>'BOLETIM DE MEDIÇÃO 02'!O76-'MEMORIAL DE CALCULO 02'!K316</f>
        <v>0</v>
      </c>
      <c r="K316" s="98">
        <f t="shared" si="18"/>
        <v>0</v>
      </c>
      <c r="L316" s="98">
        <f t="shared" si="0"/>
        <v>0</v>
      </c>
      <c r="M316" s="98">
        <f>'BOLETIM DE MEDIÇÃO 02'!G76</f>
        <v>997.11</v>
      </c>
      <c r="N316" s="102">
        <f t="shared" si="1"/>
        <v>997.11</v>
      </c>
    </row>
    <row r="317" spans="2:14" ht="22.5" hidden="1" x14ac:dyDescent="0.25">
      <c r="B317" s="52" t="s">
        <v>196</v>
      </c>
      <c r="C317" s="60">
        <v>88489</v>
      </c>
      <c r="D317" s="55" t="s">
        <v>198</v>
      </c>
      <c r="E317" s="46" t="s">
        <v>17</v>
      </c>
      <c r="F317" s="110"/>
      <c r="G317" s="120"/>
      <c r="H317" s="67"/>
      <c r="I317" s="121"/>
      <c r="J317" s="115">
        <f>'BOLETIM DE MEDIÇÃO 02'!O77-'MEMORIAL DE CALCULO 02'!K317</f>
        <v>0</v>
      </c>
      <c r="K317" s="98">
        <f t="shared" si="18"/>
        <v>0</v>
      </c>
      <c r="L317" s="98">
        <f t="shared" si="0"/>
        <v>0</v>
      </c>
      <c r="M317" s="98">
        <f>'BOLETIM DE MEDIÇÃO 02'!G77</f>
        <v>997.11</v>
      </c>
      <c r="N317" s="102">
        <f t="shared" si="1"/>
        <v>997.11</v>
      </c>
    </row>
    <row r="318" spans="2:14" ht="22.5" hidden="1" x14ac:dyDescent="0.25">
      <c r="B318" s="52" t="s">
        <v>199</v>
      </c>
      <c r="C318" s="60">
        <v>88484</v>
      </c>
      <c r="D318" s="55" t="s">
        <v>201</v>
      </c>
      <c r="E318" s="46" t="s">
        <v>17</v>
      </c>
      <c r="F318" s="110"/>
      <c r="G318" s="120"/>
      <c r="H318" s="67"/>
      <c r="I318" s="121"/>
      <c r="J318" s="115">
        <f>'BOLETIM DE MEDIÇÃO 02'!O78-'MEMORIAL DE CALCULO 02'!K318</f>
        <v>0</v>
      </c>
      <c r="K318" s="98">
        <f t="shared" si="18"/>
        <v>0</v>
      </c>
      <c r="L318" s="98">
        <f t="shared" si="0"/>
        <v>0</v>
      </c>
      <c r="M318" s="98">
        <f>'BOLETIM DE MEDIÇÃO 02'!G78</f>
        <v>634.5</v>
      </c>
      <c r="N318" s="102">
        <f t="shared" si="1"/>
        <v>634.5</v>
      </c>
    </row>
    <row r="319" spans="2:14" ht="22.5" hidden="1" x14ac:dyDescent="0.25">
      <c r="B319" s="52" t="s">
        <v>202</v>
      </c>
      <c r="C319" s="60">
        <v>88494</v>
      </c>
      <c r="D319" s="55" t="s">
        <v>204</v>
      </c>
      <c r="E319" s="46" t="s">
        <v>17</v>
      </c>
      <c r="F319" s="110"/>
      <c r="G319" s="120"/>
      <c r="H319" s="67"/>
      <c r="I319" s="121"/>
      <c r="J319" s="115">
        <f>'BOLETIM DE MEDIÇÃO 02'!O79-'MEMORIAL DE CALCULO 02'!K319</f>
        <v>0</v>
      </c>
      <c r="K319" s="98">
        <f t="shared" si="18"/>
        <v>0</v>
      </c>
      <c r="L319" s="98">
        <f t="shared" ref="L319:L382" si="19">J319+K319</f>
        <v>0</v>
      </c>
      <c r="M319" s="98">
        <f>'BOLETIM DE MEDIÇÃO 02'!G79</f>
        <v>634.5</v>
      </c>
      <c r="N319" s="102">
        <f t="shared" ref="N319:N382" si="20">M319-L319</f>
        <v>634.5</v>
      </c>
    </row>
    <row r="320" spans="2:14" ht="22.5" hidden="1" x14ac:dyDescent="0.25">
      <c r="B320" s="52" t="s">
        <v>205</v>
      </c>
      <c r="C320" s="60">
        <v>88488</v>
      </c>
      <c r="D320" s="55" t="s">
        <v>207</v>
      </c>
      <c r="E320" s="46" t="s">
        <v>17</v>
      </c>
      <c r="F320" s="110"/>
      <c r="G320" s="120"/>
      <c r="H320" s="67"/>
      <c r="I320" s="121"/>
      <c r="J320" s="115">
        <f>'BOLETIM DE MEDIÇÃO 02'!O80-'MEMORIAL DE CALCULO 02'!K320</f>
        <v>0</v>
      </c>
      <c r="K320" s="98">
        <f t="shared" si="18"/>
        <v>0</v>
      </c>
      <c r="L320" s="98">
        <f t="shared" si="19"/>
        <v>0</v>
      </c>
      <c r="M320" s="98">
        <f>'BOLETIM DE MEDIÇÃO 02'!G80</f>
        <v>634.5</v>
      </c>
      <c r="N320" s="102">
        <f t="shared" si="20"/>
        <v>634.5</v>
      </c>
    </row>
    <row r="321" spans="2:14" ht="14.45" hidden="1" customHeight="1" x14ac:dyDescent="0.25">
      <c r="B321" s="54" t="s">
        <v>208</v>
      </c>
      <c r="C321" s="68" t="s">
        <v>209</v>
      </c>
      <c r="D321" s="56"/>
      <c r="E321" s="47"/>
      <c r="F321" s="111"/>
      <c r="G321" s="122"/>
      <c r="H321" s="78"/>
      <c r="I321" s="121"/>
      <c r="J321" s="115"/>
      <c r="K321" s="98">
        <f t="shared" si="18"/>
        <v>0</v>
      </c>
      <c r="L321" s="98"/>
      <c r="M321" s="98"/>
      <c r="N321" s="102"/>
    </row>
    <row r="322" spans="2:14" ht="45" hidden="1" x14ac:dyDescent="0.25">
      <c r="B322" s="52" t="s">
        <v>210</v>
      </c>
      <c r="C322" s="60">
        <v>87894</v>
      </c>
      <c r="D322" s="55" t="s">
        <v>212</v>
      </c>
      <c r="E322" s="46" t="s">
        <v>17</v>
      </c>
      <c r="F322" s="110"/>
      <c r="G322" s="120"/>
      <c r="H322" s="67"/>
      <c r="I322" s="121"/>
      <c r="J322" s="115">
        <f>'BOLETIM DE MEDIÇÃO 02'!O82-'MEMORIAL DE CALCULO 02'!K322</f>
        <v>0</v>
      </c>
      <c r="K322" s="98">
        <f t="shared" si="18"/>
        <v>0</v>
      </c>
      <c r="L322" s="98">
        <f t="shared" si="19"/>
        <v>0</v>
      </c>
      <c r="M322" s="98">
        <f>'BOLETIM DE MEDIÇÃO 02'!G82</f>
        <v>466.37</v>
      </c>
      <c r="N322" s="102">
        <f t="shared" si="20"/>
        <v>466.37</v>
      </c>
    </row>
    <row r="323" spans="2:14" ht="56.25" hidden="1" x14ac:dyDescent="0.25">
      <c r="B323" s="52" t="s">
        <v>213</v>
      </c>
      <c r="C323" s="60">
        <v>104233</v>
      </c>
      <c r="D323" s="55" t="s">
        <v>215</v>
      </c>
      <c r="E323" s="46" t="s">
        <v>17</v>
      </c>
      <c r="F323" s="110"/>
      <c r="G323" s="120"/>
      <c r="H323" s="67"/>
      <c r="I323" s="121"/>
      <c r="J323" s="115">
        <f>'BOLETIM DE MEDIÇÃO 02'!O83-'MEMORIAL DE CALCULO 02'!K323</f>
        <v>0</v>
      </c>
      <c r="K323" s="98">
        <f t="shared" si="18"/>
        <v>0</v>
      </c>
      <c r="L323" s="98">
        <f t="shared" si="19"/>
        <v>0</v>
      </c>
      <c r="M323" s="98">
        <f>'BOLETIM DE MEDIÇÃO 02'!G83</f>
        <v>466.37</v>
      </c>
      <c r="N323" s="102">
        <f t="shared" si="20"/>
        <v>466.37</v>
      </c>
    </row>
    <row r="324" spans="2:14" ht="33.75" hidden="1" x14ac:dyDescent="0.25">
      <c r="B324" s="52" t="s">
        <v>216</v>
      </c>
      <c r="C324" s="65" t="s">
        <v>217</v>
      </c>
      <c r="D324" s="64" t="s">
        <v>218</v>
      </c>
      <c r="E324" s="46" t="s">
        <v>17</v>
      </c>
      <c r="F324" s="112"/>
      <c r="G324" s="120"/>
      <c r="H324" s="46"/>
      <c r="I324" s="121"/>
      <c r="J324" s="115">
        <f>'BOLETIM DE MEDIÇÃO 02'!O84-'MEMORIAL DE CALCULO 02'!K324</f>
        <v>0</v>
      </c>
      <c r="K324" s="98">
        <f t="shared" si="18"/>
        <v>0</v>
      </c>
      <c r="L324" s="98">
        <f t="shared" si="19"/>
        <v>0</v>
      </c>
      <c r="M324" s="98">
        <f>'BOLETIM DE MEDIÇÃO 02'!G84</f>
        <v>32.5</v>
      </c>
      <c r="N324" s="102">
        <f t="shared" si="20"/>
        <v>32.5</v>
      </c>
    </row>
    <row r="325" spans="2:14" ht="33.75" hidden="1" x14ac:dyDescent="0.25">
      <c r="B325" s="53" t="s">
        <v>219</v>
      </c>
      <c r="C325" s="62" t="s">
        <v>220</v>
      </c>
      <c r="D325" s="56" t="s">
        <v>221</v>
      </c>
      <c r="E325" s="47" t="s">
        <v>222</v>
      </c>
      <c r="F325" s="111"/>
      <c r="G325" s="122"/>
      <c r="H325" s="78"/>
      <c r="I325" s="121"/>
      <c r="J325" s="115">
        <f>'BOLETIM DE MEDIÇÃO 02'!O85-'MEMORIAL DE CALCULO 02'!K325</f>
        <v>0</v>
      </c>
      <c r="K325" s="98">
        <f t="shared" si="18"/>
        <v>0</v>
      </c>
      <c r="L325" s="98">
        <f t="shared" si="19"/>
        <v>0</v>
      </c>
      <c r="M325" s="98">
        <f>'BOLETIM DE MEDIÇÃO 02'!G85</f>
        <v>29.5</v>
      </c>
      <c r="N325" s="102">
        <f t="shared" si="20"/>
        <v>29.5</v>
      </c>
    </row>
    <row r="326" spans="2:14" ht="22.5" hidden="1" x14ac:dyDescent="0.25">
      <c r="B326" s="53" t="s">
        <v>223</v>
      </c>
      <c r="C326" s="69">
        <v>88485</v>
      </c>
      <c r="D326" s="56" t="s">
        <v>192</v>
      </c>
      <c r="E326" s="47" t="s">
        <v>17</v>
      </c>
      <c r="F326" s="111"/>
      <c r="G326" s="122"/>
      <c r="H326" s="78"/>
      <c r="I326" s="121"/>
      <c r="J326" s="115">
        <f>'BOLETIM DE MEDIÇÃO 02'!O86-'MEMORIAL DE CALCULO 02'!K326</f>
        <v>0</v>
      </c>
      <c r="K326" s="98">
        <f t="shared" si="18"/>
        <v>0</v>
      </c>
      <c r="L326" s="98">
        <f t="shared" si="19"/>
        <v>0</v>
      </c>
      <c r="M326" s="98">
        <f>'BOLETIM DE MEDIÇÃO 02'!G86</f>
        <v>404.37</v>
      </c>
      <c r="N326" s="102">
        <f t="shared" si="20"/>
        <v>404.37</v>
      </c>
    </row>
    <row r="327" spans="2:14" ht="22.5" hidden="1" x14ac:dyDescent="0.25">
      <c r="B327" s="53" t="s">
        <v>224</v>
      </c>
      <c r="C327" s="69">
        <v>96130</v>
      </c>
      <c r="D327" s="56" t="s">
        <v>226</v>
      </c>
      <c r="E327" s="47" t="s">
        <v>17</v>
      </c>
      <c r="F327" s="111"/>
      <c r="G327" s="122"/>
      <c r="H327" s="78"/>
      <c r="I327" s="121"/>
      <c r="J327" s="115">
        <f>'BOLETIM DE MEDIÇÃO 02'!O87-'MEMORIAL DE CALCULO 02'!K327</f>
        <v>0</v>
      </c>
      <c r="K327" s="98">
        <f t="shared" si="18"/>
        <v>0</v>
      </c>
      <c r="L327" s="98">
        <f t="shared" si="19"/>
        <v>0</v>
      </c>
      <c r="M327" s="98">
        <f>'BOLETIM DE MEDIÇÃO 02'!G87</f>
        <v>404.37</v>
      </c>
      <c r="N327" s="102">
        <f t="shared" si="20"/>
        <v>404.37</v>
      </c>
    </row>
    <row r="328" spans="2:14" ht="22.5" hidden="1" x14ac:dyDescent="0.25">
      <c r="B328" s="53" t="s">
        <v>227</v>
      </c>
      <c r="C328" s="69">
        <v>88489</v>
      </c>
      <c r="D328" s="56" t="s">
        <v>198</v>
      </c>
      <c r="E328" s="47" t="s">
        <v>17</v>
      </c>
      <c r="F328" s="111"/>
      <c r="G328" s="122"/>
      <c r="H328" s="78"/>
      <c r="I328" s="121"/>
      <c r="J328" s="115">
        <f>'BOLETIM DE MEDIÇÃO 02'!O88-'MEMORIAL DE CALCULO 02'!K328</f>
        <v>0</v>
      </c>
      <c r="K328" s="98">
        <f t="shared" si="18"/>
        <v>0</v>
      </c>
      <c r="L328" s="98">
        <f t="shared" si="19"/>
        <v>0</v>
      </c>
      <c r="M328" s="98">
        <f>'BOLETIM DE MEDIÇÃO 02'!G88</f>
        <v>404.37</v>
      </c>
      <c r="N328" s="102">
        <f t="shared" si="20"/>
        <v>404.37</v>
      </c>
    </row>
    <row r="329" spans="2:14" ht="14.45" hidden="1" customHeight="1" x14ac:dyDescent="0.25">
      <c r="B329" s="68">
        <v>1.1000000000000001</v>
      </c>
      <c r="C329" s="68" t="s">
        <v>229</v>
      </c>
      <c r="D329" s="56"/>
      <c r="E329" s="47"/>
      <c r="F329" s="111"/>
      <c r="G329" s="122"/>
      <c r="H329" s="78"/>
      <c r="I329" s="121"/>
      <c r="J329" s="115"/>
      <c r="K329" s="98">
        <f t="shared" si="18"/>
        <v>0</v>
      </c>
      <c r="L329" s="98"/>
      <c r="M329" s="98"/>
      <c r="N329" s="102"/>
    </row>
    <row r="330" spans="2:14" ht="33.75" hidden="1" x14ac:dyDescent="0.25">
      <c r="B330" s="53" t="s">
        <v>230</v>
      </c>
      <c r="C330" s="69">
        <v>92868</v>
      </c>
      <c r="D330" s="56" t="s">
        <v>232</v>
      </c>
      <c r="E330" s="72" t="s">
        <v>166</v>
      </c>
      <c r="F330" s="113"/>
      <c r="G330" s="122"/>
      <c r="H330" s="78"/>
      <c r="I330" s="121"/>
      <c r="J330" s="115">
        <f>'BOLETIM DE MEDIÇÃO 02'!O90-'MEMORIAL DE CALCULO 02'!K330</f>
        <v>0</v>
      </c>
      <c r="K330" s="98">
        <f t="shared" si="18"/>
        <v>0</v>
      </c>
      <c r="L330" s="98">
        <f t="shared" si="19"/>
        <v>0</v>
      </c>
      <c r="M330" s="98">
        <f>'BOLETIM DE MEDIÇÃO 02'!G90</f>
        <v>117</v>
      </c>
      <c r="N330" s="102">
        <f t="shared" si="20"/>
        <v>117</v>
      </c>
    </row>
    <row r="331" spans="2:14" ht="22.5" hidden="1" x14ac:dyDescent="0.25">
      <c r="B331" s="53" t="s">
        <v>233</v>
      </c>
      <c r="C331" s="69">
        <v>91937</v>
      </c>
      <c r="D331" s="56" t="s">
        <v>235</v>
      </c>
      <c r="E331" s="72" t="s">
        <v>166</v>
      </c>
      <c r="F331" s="113"/>
      <c r="G331" s="122"/>
      <c r="H331" s="78"/>
      <c r="I331" s="121"/>
      <c r="J331" s="115">
        <f>'BOLETIM DE MEDIÇÃO 02'!O91-'MEMORIAL DE CALCULO 02'!K331</f>
        <v>0</v>
      </c>
      <c r="K331" s="98">
        <f t="shared" si="18"/>
        <v>0</v>
      </c>
      <c r="L331" s="98">
        <f t="shared" si="19"/>
        <v>0</v>
      </c>
      <c r="M331" s="98">
        <f>'BOLETIM DE MEDIÇÃO 02'!G91</f>
        <v>76</v>
      </c>
      <c r="N331" s="102">
        <f t="shared" si="20"/>
        <v>76</v>
      </c>
    </row>
    <row r="332" spans="2:14" ht="33.75" hidden="1" x14ac:dyDescent="0.25">
      <c r="B332" s="53" t="s">
        <v>236</v>
      </c>
      <c r="C332" s="69">
        <v>91924</v>
      </c>
      <c r="D332" s="56" t="s">
        <v>238</v>
      </c>
      <c r="E332" s="72" t="s">
        <v>37</v>
      </c>
      <c r="F332" s="113"/>
      <c r="G332" s="122"/>
      <c r="H332" s="78"/>
      <c r="I332" s="121"/>
      <c r="J332" s="115">
        <f>'BOLETIM DE MEDIÇÃO 02'!O92-'MEMORIAL DE CALCULO 02'!K332</f>
        <v>0</v>
      </c>
      <c r="K332" s="98">
        <f t="shared" si="18"/>
        <v>0</v>
      </c>
      <c r="L332" s="98">
        <f t="shared" si="19"/>
        <v>0</v>
      </c>
      <c r="M332" s="98">
        <f>'BOLETIM DE MEDIÇÃO 02'!G92</f>
        <v>1253.8</v>
      </c>
      <c r="N332" s="102">
        <f t="shared" si="20"/>
        <v>1253.8</v>
      </c>
    </row>
    <row r="333" spans="2:14" ht="33.75" hidden="1" x14ac:dyDescent="0.25">
      <c r="B333" s="53" t="s">
        <v>239</v>
      </c>
      <c r="C333" s="69">
        <v>91926</v>
      </c>
      <c r="D333" s="56" t="s">
        <v>241</v>
      </c>
      <c r="E333" s="72" t="s">
        <v>37</v>
      </c>
      <c r="F333" s="113"/>
      <c r="G333" s="122"/>
      <c r="H333" s="78"/>
      <c r="I333" s="121"/>
      <c r="J333" s="115">
        <f>'BOLETIM DE MEDIÇÃO 02'!O93-'MEMORIAL DE CALCULO 02'!K333</f>
        <v>0</v>
      </c>
      <c r="K333" s="98">
        <f t="shared" si="18"/>
        <v>0</v>
      </c>
      <c r="L333" s="98">
        <f t="shared" si="19"/>
        <v>0</v>
      </c>
      <c r="M333" s="98">
        <f>'BOLETIM DE MEDIÇÃO 02'!G93</f>
        <v>1496.3</v>
      </c>
      <c r="N333" s="102">
        <f t="shared" si="20"/>
        <v>1496.3</v>
      </c>
    </row>
    <row r="334" spans="2:14" ht="33.75" hidden="1" x14ac:dyDescent="0.25">
      <c r="B334" s="53" t="s">
        <v>242</v>
      </c>
      <c r="C334" s="71">
        <v>91928</v>
      </c>
      <c r="D334" s="70" t="s">
        <v>244</v>
      </c>
      <c r="E334" s="72" t="s">
        <v>37</v>
      </c>
      <c r="F334" s="113"/>
      <c r="G334" s="122"/>
      <c r="H334" s="47"/>
      <c r="I334" s="121"/>
      <c r="J334" s="115">
        <f>'BOLETIM DE MEDIÇÃO 02'!O94-'MEMORIAL DE CALCULO 02'!K334</f>
        <v>0</v>
      </c>
      <c r="K334" s="98">
        <f t="shared" si="18"/>
        <v>0</v>
      </c>
      <c r="L334" s="98">
        <f t="shared" si="19"/>
        <v>0</v>
      </c>
      <c r="M334" s="98">
        <f>'BOLETIM DE MEDIÇÃO 02'!G94</f>
        <v>284.60000000000002</v>
      </c>
      <c r="N334" s="102">
        <f t="shared" si="20"/>
        <v>284.60000000000002</v>
      </c>
    </row>
    <row r="335" spans="2:14" ht="33.75" hidden="1" x14ac:dyDescent="0.25">
      <c r="B335" s="53" t="s">
        <v>245</v>
      </c>
      <c r="C335" s="69">
        <v>91931</v>
      </c>
      <c r="D335" s="56" t="s">
        <v>247</v>
      </c>
      <c r="E335" s="72" t="s">
        <v>37</v>
      </c>
      <c r="F335" s="113"/>
      <c r="G335" s="122"/>
      <c r="H335" s="78"/>
      <c r="I335" s="121"/>
      <c r="J335" s="115">
        <f>'BOLETIM DE MEDIÇÃO 02'!O95-'MEMORIAL DE CALCULO 02'!K335</f>
        <v>0</v>
      </c>
      <c r="K335" s="98">
        <f t="shared" si="18"/>
        <v>0</v>
      </c>
      <c r="L335" s="98">
        <f t="shared" si="19"/>
        <v>0</v>
      </c>
      <c r="M335" s="98">
        <f>'BOLETIM DE MEDIÇÃO 02'!G95</f>
        <v>224</v>
      </c>
      <c r="N335" s="102">
        <f t="shared" si="20"/>
        <v>224</v>
      </c>
    </row>
    <row r="336" spans="2:14" ht="22.5" hidden="1" x14ac:dyDescent="0.25">
      <c r="B336" s="53" t="s">
        <v>248</v>
      </c>
      <c r="C336" s="69">
        <v>39773</v>
      </c>
      <c r="D336" s="56" t="s">
        <v>250</v>
      </c>
      <c r="E336" s="72" t="s">
        <v>166</v>
      </c>
      <c r="F336" s="113"/>
      <c r="G336" s="122"/>
      <c r="H336" s="78"/>
      <c r="I336" s="121"/>
      <c r="J336" s="115">
        <f>'BOLETIM DE MEDIÇÃO 02'!O96-'MEMORIAL DE CALCULO 02'!K336</f>
        <v>0</v>
      </c>
      <c r="K336" s="98">
        <f t="shared" si="18"/>
        <v>0</v>
      </c>
      <c r="L336" s="98">
        <f t="shared" si="19"/>
        <v>0</v>
      </c>
      <c r="M336" s="98">
        <f>'BOLETIM DE MEDIÇÃO 02'!G96</f>
        <v>2</v>
      </c>
      <c r="N336" s="102">
        <f t="shared" si="20"/>
        <v>2</v>
      </c>
    </row>
    <row r="337" spans="2:14" ht="33.75" hidden="1" x14ac:dyDescent="0.25">
      <c r="B337" s="53" t="s">
        <v>251</v>
      </c>
      <c r="C337" s="69">
        <v>101890</v>
      </c>
      <c r="D337" s="56" t="s">
        <v>253</v>
      </c>
      <c r="E337" s="72" t="s">
        <v>166</v>
      </c>
      <c r="F337" s="113"/>
      <c r="G337" s="122"/>
      <c r="H337" s="78"/>
      <c r="I337" s="121"/>
      <c r="J337" s="115">
        <f>'BOLETIM DE MEDIÇÃO 02'!O97-'MEMORIAL DE CALCULO 02'!K337</f>
        <v>0</v>
      </c>
      <c r="K337" s="98">
        <f t="shared" si="18"/>
        <v>0</v>
      </c>
      <c r="L337" s="98">
        <f t="shared" si="19"/>
        <v>0</v>
      </c>
      <c r="M337" s="98">
        <f>'BOLETIM DE MEDIÇÃO 02'!G97</f>
        <v>19</v>
      </c>
      <c r="N337" s="102">
        <f t="shared" si="20"/>
        <v>19</v>
      </c>
    </row>
    <row r="338" spans="2:14" ht="22.5" hidden="1" x14ac:dyDescent="0.25">
      <c r="B338" s="53" t="s">
        <v>254</v>
      </c>
      <c r="C338" s="69">
        <v>93670</v>
      </c>
      <c r="D338" s="56" t="s">
        <v>256</v>
      </c>
      <c r="E338" s="72" t="s">
        <v>166</v>
      </c>
      <c r="F338" s="113"/>
      <c r="G338" s="122"/>
      <c r="H338" s="78"/>
      <c r="I338" s="121"/>
      <c r="J338" s="115">
        <f>'BOLETIM DE MEDIÇÃO 02'!O98-'MEMORIAL DE CALCULO 02'!K338</f>
        <v>0</v>
      </c>
      <c r="K338" s="98">
        <f t="shared" si="18"/>
        <v>0</v>
      </c>
      <c r="L338" s="98">
        <f t="shared" si="19"/>
        <v>0</v>
      </c>
      <c r="M338" s="98">
        <f>'BOLETIM DE MEDIÇÃO 02'!G98</f>
        <v>1</v>
      </c>
      <c r="N338" s="102">
        <f t="shared" si="20"/>
        <v>1</v>
      </c>
    </row>
    <row r="339" spans="2:14" ht="22.5" hidden="1" x14ac:dyDescent="0.25">
      <c r="B339" s="53" t="s">
        <v>257</v>
      </c>
      <c r="C339" s="69">
        <v>93671</v>
      </c>
      <c r="D339" s="56" t="s">
        <v>259</v>
      </c>
      <c r="E339" s="72" t="s">
        <v>166</v>
      </c>
      <c r="F339" s="113"/>
      <c r="G339" s="122"/>
      <c r="H339" s="78"/>
      <c r="I339" s="121"/>
      <c r="J339" s="115">
        <f>'BOLETIM DE MEDIÇÃO 02'!O99-'MEMORIAL DE CALCULO 02'!K339</f>
        <v>0</v>
      </c>
      <c r="K339" s="98">
        <f t="shared" si="18"/>
        <v>0</v>
      </c>
      <c r="L339" s="98">
        <f t="shared" si="19"/>
        <v>0</v>
      </c>
      <c r="M339" s="98">
        <f>'BOLETIM DE MEDIÇÃO 02'!G99</f>
        <v>1</v>
      </c>
      <c r="N339" s="102">
        <f t="shared" si="20"/>
        <v>1</v>
      </c>
    </row>
    <row r="340" spans="2:14" ht="22.5" hidden="1" x14ac:dyDescent="0.25">
      <c r="B340" s="53" t="s">
        <v>260</v>
      </c>
      <c r="C340" s="69">
        <v>39466</v>
      </c>
      <c r="D340" s="56" t="s">
        <v>262</v>
      </c>
      <c r="E340" s="72" t="s">
        <v>166</v>
      </c>
      <c r="F340" s="113"/>
      <c r="G340" s="122"/>
      <c r="H340" s="78"/>
      <c r="I340" s="121"/>
      <c r="J340" s="115">
        <f>'BOLETIM DE MEDIÇÃO 02'!O100-'MEMORIAL DE CALCULO 02'!K340</f>
        <v>0</v>
      </c>
      <c r="K340" s="98">
        <f t="shared" si="18"/>
        <v>0</v>
      </c>
      <c r="L340" s="98">
        <f t="shared" si="19"/>
        <v>0</v>
      </c>
      <c r="M340" s="98">
        <f>'BOLETIM DE MEDIÇÃO 02'!G100</f>
        <v>6</v>
      </c>
      <c r="N340" s="102">
        <f t="shared" si="20"/>
        <v>6</v>
      </c>
    </row>
    <row r="341" spans="2:14" ht="22.5" hidden="1" x14ac:dyDescent="0.25">
      <c r="B341" s="53" t="s">
        <v>263</v>
      </c>
      <c r="C341" s="69">
        <v>39445</v>
      </c>
      <c r="D341" s="56" t="s">
        <v>265</v>
      </c>
      <c r="E341" s="72" t="s">
        <v>166</v>
      </c>
      <c r="F341" s="113"/>
      <c r="G341" s="122"/>
      <c r="H341" s="78"/>
      <c r="I341" s="121"/>
      <c r="J341" s="115">
        <f>'BOLETIM DE MEDIÇÃO 02'!O101-'MEMORIAL DE CALCULO 02'!K341</f>
        <v>0</v>
      </c>
      <c r="K341" s="98">
        <f t="shared" si="18"/>
        <v>0</v>
      </c>
      <c r="L341" s="98">
        <f t="shared" si="19"/>
        <v>0</v>
      </c>
      <c r="M341" s="98">
        <f>'BOLETIM DE MEDIÇÃO 02'!G101</f>
        <v>1</v>
      </c>
      <c r="N341" s="102">
        <f t="shared" si="20"/>
        <v>1</v>
      </c>
    </row>
    <row r="342" spans="2:14" ht="22.5" hidden="1" x14ac:dyDescent="0.25">
      <c r="B342" s="53" t="s">
        <v>266</v>
      </c>
      <c r="C342" s="69">
        <v>39446</v>
      </c>
      <c r="D342" s="56" t="s">
        <v>268</v>
      </c>
      <c r="E342" s="72" t="s">
        <v>166</v>
      </c>
      <c r="F342" s="113"/>
      <c r="G342" s="122"/>
      <c r="H342" s="78"/>
      <c r="I342" s="121"/>
      <c r="J342" s="115">
        <f>'BOLETIM DE MEDIÇÃO 02'!O102-'MEMORIAL DE CALCULO 02'!K342</f>
        <v>0</v>
      </c>
      <c r="K342" s="98">
        <f t="shared" si="18"/>
        <v>0</v>
      </c>
      <c r="L342" s="98">
        <f t="shared" si="19"/>
        <v>0</v>
      </c>
      <c r="M342" s="98">
        <f>'BOLETIM DE MEDIÇÃO 02'!G102</f>
        <v>1</v>
      </c>
      <c r="N342" s="102">
        <f t="shared" si="20"/>
        <v>1</v>
      </c>
    </row>
    <row r="343" spans="2:14" ht="33.75" hidden="1" x14ac:dyDescent="0.25">
      <c r="B343" s="53" t="s">
        <v>269</v>
      </c>
      <c r="C343" s="69">
        <v>91953</v>
      </c>
      <c r="D343" s="56" t="s">
        <v>271</v>
      </c>
      <c r="E343" s="72" t="s">
        <v>166</v>
      </c>
      <c r="F343" s="113"/>
      <c r="G343" s="122"/>
      <c r="H343" s="78"/>
      <c r="I343" s="121"/>
      <c r="J343" s="115">
        <f>'BOLETIM DE MEDIÇÃO 02'!O103-'MEMORIAL DE CALCULO 02'!K343</f>
        <v>0</v>
      </c>
      <c r="K343" s="98">
        <f t="shared" si="18"/>
        <v>0</v>
      </c>
      <c r="L343" s="98">
        <f t="shared" si="19"/>
        <v>0</v>
      </c>
      <c r="M343" s="98">
        <f>'BOLETIM DE MEDIÇÃO 02'!G103</f>
        <v>23</v>
      </c>
      <c r="N343" s="102">
        <f t="shared" si="20"/>
        <v>23</v>
      </c>
    </row>
    <row r="344" spans="2:14" ht="33.75" hidden="1" x14ac:dyDescent="0.25">
      <c r="B344" s="53" t="s">
        <v>272</v>
      </c>
      <c r="C344" s="69">
        <v>91967</v>
      </c>
      <c r="D344" s="56" t="s">
        <v>274</v>
      </c>
      <c r="E344" s="72" t="s">
        <v>166</v>
      </c>
      <c r="F344" s="113"/>
      <c r="G344" s="122"/>
      <c r="H344" s="78"/>
      <c r="I344" s="121"/>
      <c r="J344" s="115">
        <f>'BOLETIM DE MEDIÇÃO 02'!O104-'MEMORIAL DE CALCULO 02'!K344</f>
        <v>0</v>
      </c>
      <c r="K344" s="98">
        <f t="shared" si="18"/>
        <v>0</v>
      </c>
      <c r="L344" s="98">
        <f t="shared" si="19"/>
        <v>0</v>
      </c>
      <c r="M344" s="98">
        <f>'BOLETIM DE MEDIÇÃO 02'!G104</f>
        <v>1</v>
      </c>
      <c r="N344" s="102">
        <f t="shared" si="20"/>
        <v>1</v>
      </c>
    </row>
    <row r="345" spans="2:14" ht="33.75" hidden="1" x14ac:dyDescent="0.25">
      <c r="B345" s="53" t="s">
        <v>275</v>
      </c>
      <c r="C345" s="69">
        <v>92000</v>
      </c>
      <c r="D345" s="56" t="s">
        <v>277</v>
      </c>
      <c r="E345" s="72" t="s">
        <v>166</v>
      </c>
      <c r="F345" s="113"/>
      <c r="G345" s="122"/>
      <c r="H345" s="78"/>
      <c r="I345" s="121"/>
      <c r="J345" s="115">
        <f>'BOLETIM DE MEDIÇÃO 02'!O105-'MEMORIAL DE CALCULO 02'!K345</f>
        <v>0</v>
      </c>
      <c r="K345" s="98">
        <f t="shared" si="18"/>
        <v>0</v>
      </c>
      <c r="L345" s="98">
        <f t="shared" si="19"/>
        <v>0</v>
      </c>
      <c r="M345" s="98">
        <f>'BOLETIM DE MEDIÇÃO 02'!G105</f>
        <v>54</v>
      </c>
      <c r="N345" s="102">
        <f t="shared" si="20"/>
        <v>54</v>
      </c>
    </row>
    <row r="346" spans="2:14" ht="33.75" hidden="1" x14ac:dyDescent="0.25">
      <c r="B346" s="53" t="s">
        <v>278</v>
      </c>
      <c r="C346" s="69">
        <v>92008</v>
      </c>
      <c r="D346" s="56" t="s">
        <v>280</v>
      </c>
      <c r="E346" s="72" t="s">
        <v>166</v>
      </c>
      <c r="F346" s="113"/>
      <c r="G346" s="122"/>
      <c r="H346" s="78"/>
      <c r="I346" s="121"/>
      <c r="J346" s="115">
        <f>'BOLETIM DE MEDIÇÃO 02'!O106-'MEMORIAL DE CALCULO 02'!K346</f>
        <v>0</v>
      </c>
      <c r="K346" s="98">
        <f t="shared" si="18"/>
        <v>0</v>
      </c>
      <c r="L346" s="98">
        <f t="shared" si="19"/>
        <v>0</v>
      </c>
      <c r="M346" s="98">
        <f>'BOLETIM DE MEDIÇÃO 02'!G106</f>
        <v>8</v>
      </c>
      <c r="N346" s="102">
        <f t="shared" si="20"/>
        <v>8</v>
      </c>
    </row>
    <row r="347" spans="2:14" ht="33.75" hidden="1" x14ac:dyDescent="0.25">
      <c r="B347" s="53" t="s">
        <v>281</v>
      </c>
      <c r="C347" s="71">
        <v>91959</v>
      </c>
      <c r="D347" s="70" t="s">
        <v>283</v>
      </c>
      <c r="E347" s="72" t="s">
        <v>166</v>
      </c>
      <c r="F347" s="113"/>
      <c r="G347" s="122"/>
      <c r="H347" s="47"/>
      <c r="I347" s="121"/>
      <c r="J347" s="115">
        <f>'BOLETIM DE MEDIÇÃO 02'!O107-'MEMORIAL DE CALCULO 02'!K347</f>
        <v>0</v>
      </c>
      <c r="K347" s="98">
        <f t="shared" si="18"/>
        <v>0</v>
      </c>
      <c r="L347" s="98">
        <f t="shared" si="19"/>
        <v>0</v>
      </c>
      <c r="M347" s="98">
        <f>'BOLETIM DE MEDIÇÃO 02'!G107</f>
        <v>2</v>
      </c>
      <c r="N347" s="102">
        <f t="shared" si="20"/>
        <v>2</v>
      </c>
    </row>
    <row r="348" spans="2:14" ht="33.75" hidden="1" x14ac:dyDescent="0.25">
      <c r="B348" s="53" t="s">
        <v>284</v>
      </c>
      <c r="C348" s="71">
        <v>91834</v>
      </c>
      <c r="D348" s="70" t="s">
        <v>286</v>
      </c>
      <c r="E348" s="72" t="s">
        <v>37</v>
      </c>
      <c r="F348" s="113"/>
      <c r="G348" s="122"/>
      <c r="H348" s="47"/>
      <c r="I348" s="121"/>
      <c r="J348" s="115">
        <f>'BOLETIM DE MEDIÇÃO 02'!O108-'MEMORIAL DE CALCULO 02'!K348</f>
        <v>0</v>
      </c>
      <c r="K348" s="98">
        <f t="shared" si="18"/>
        <v>0</v>
      </c>
      <c r="L348" s="98">
        <f t="shared" si="19"/>
        <v>0</v>
      </c>
      <c r="M348" s="98">
        <f>'BOLETIM DE MEDIÇÃO 02'!G108</f>
        <v>830.48</v>
      </c>
      <c r="N348" s="102">
        <f t="shared" si="20"/>
        <v>830.48</v>
      </c>
    </row>
    <row r="349" spans="2:14" ht="33.75" hidden="1" x14ac:dyDescent="0.25">
      <c r="B349" s="53" t="s">
        <v>287</v>
      </c>
      <c r="C349" s="69">
        <v>91868</v>
      </c>
      <c r="D349" s="56" t="s">
        <v>289</v>
      </c>
      <c r="E349" s="72" t="s">
        <v>37</v>
      </c>
      <c r="F349" s="113"/>
      <c r="G349" s="122"/>
      <c r="H349" s="78"/>
      <c r="I349" s="121"/>
      <c r="J349" s="115">
        <f>'BOLETIM DE MEDIÇÃO 02'!O109-'MEMORIAL DE CALCULO 02'!K349</f>
        <v>0</v>
      </c>
      <c r="K349" s="98">
        <f t="shared" si="18"/>
        <v>0</v>
      </c>
      <c r="L349" s="98">
        <f t="shared" si="19"/>
        <v>0</v>
      </c>
      <c r="M349" s="98">
        <f>'BOLETIM DE MEDIÇÃO 02'!G109</f>
        <v>55.97</v>
      </c>
      <c r="N349" s="102">
        <f t="shared" si="20"/>
        <v>55.97</v>
      </c>
    </row>
    <row r="350" spans="2:14" ht="33.75" hidden="1" x14ac:dyDescent="0.25">
      <c r="B350" s="53" t="s">
        <v>290</v>
      </c>
      <c r="C350" s="69">
        <v>91867</v>
      </c>
      <c r="D350" s="56" t="s">
        <v>292</v>
      </c>
      <c r="E350" s="72" t="s">
        <v>37</v>
      </c>
      <c r="F350" s="113"/>
      <c r="G350" s="122"/>
      <c r="H350" s="78"/>
      <c r="I350" s="121"/>
      <c r="J350" s="115">
        <f>'BOLETIM DE MEDIÇÃO 02'!O110-'MEMORIAL DE CALCULO 02'!K350</f>
        <v>0</v>
      </c>
      <c r="K350" s="98">
        <f t="shared" si="18"/>
        <v>0</v>
      </c>
      <c r="L350" s="98">
        <f t="shared" si="19"/>
        <v>0</v>
      </c>
      <c r="M350" s="98">
        <f>'BOLETIM DE MEDIÇÃO 02'!G110</f>
        <v>36.19</v>
      </c>
      <c r="N350" s="102">
        <f t="shared" si="20"/>
        <v>36.19</v>
      </c>
    </row>
    <row r="351" spans="2:14" ht="22.5" hidden="1" x14ac:dyDescent="0.25">
      <c r="B351" s="53" t="s">
        <v>293</v>
      </c>
      <c r="C351" s="69">
        <v>101654</v>
      </c>
      <c r="D351" s="56" t="s">
        <v>295</v>
      </c>
      <c r="E351" s="72" t="s">
        <v>166</v>
      </c>
      <c r="F351" s="113"/>
      <c r="G351" s="122"/>
      <c r="H351" s="78"/>
      <c r="I351" s="121"/>
      <c r="J351" s="115">
        <f>'BOLETIM DE MEDIÇÃO 02'!O111-'MEMORIAL DE CALCULO 02'!K351</f>
        <v>0</v>
      </c>
      <c r="K351" s="98">
        <f t="shared" si="18"/>
        <v>0</v>
      </c>
      <c r="L351" s="98">
        <f t="shared" si="19"/>
        <v>0</v>
      </c>
      <c r="M351" s="98">
        <f>'BOLETIM DE MEDIÇÃO 02'!G111</f>
        <v>15</v>
      </c>
      <c r="N351" s="102">
        <f t="shared" si="20"/>
        <v>15</v>
      </c>
    </row>
    <row r="352" spans="2:14" ht="33.75" hidden="1" x14ac:dyDescent="0.25">
      <c r="B352" s="53" t="s">
        <v>296</v>
      </c>
      <c r="C352" s="69">
        <v>103782</v>
      </c>
      <c r="D352" s="56" t="s">
        <v>298</v>
      </c>
      <c r="E352" s="72" t="s">
        <v>166</v>
      </c>
      <c r="F352" s="113"/>
      <c r="G352" s="122"/>
      <c r="H352" s="78"/>
      <c r="I352" s="121"/>
      <c r="J352" s="115">
        <f>'BOLETIM DE MEDIÇÃO 02'!O112-'MEMORIAL DE CALCULO 02'!K352</f>
        <v>0</v>
      </c>
      <c r="K352" s="98">
        <f t="shared" si="18"/>
        <v>0</v>
      </c>
      <c r="L352" s="98">
        <f t="shared" si="19"/>
        <v>0</v>
      </c>
      <c r="M352" s="98">
        <f>'BOLETIM DE MEDIÇÃO 02'!G112</f>
        <v>76</v>
      </c>
      <c r="N352" s="102">
        <f t="shared" si="20"/>
        <v>76</v>
      </c>
    </row>
    <row r="353" spans="2:14" ht="33.75" hidden="1" x14ac:dyDescent="0.25">
      <c r="B353" s="53" t="s">
        <v>299</v>
      </c>
      <c r="C353" s="69">
        <v>101509</v>
      </c>
      <c r="D353" s="56" t="s">
        <v>301</v>
      </c>
      <c r="E353" s="72" t="s">
        <v>166</v>
      </c>
      <c r="F353" s="113"/>
      <c r="G353" s="122"/>
      <c r="H353" s="78"/>
      <c r="I353" s="121"/>
      <c r="J353" s="115">
        <f>'BOLETIM DE MEDIÇÃO 02'!O113-'MEMORIAL DE CALCULO 02'!K353</f>
        <v>0</v>
      </c>
      <c r="K353" s="98">
        <f t="shared" si="18"/>
        <v>0</v>
      </c>
      <c r="L353" s="98">
        <f t="shared" si="19"/>
        <v>0</v>
      </c>
      <c r="M353" s="98">
        <f>'BOLETIM DE MEDIÇÃO 02'!G113</f>
        <v>1</v>
      </c>
      <c r="N353" s="102">
        <f t="shared" si="20"/>
        <v>1</v>
      </c>
    </row>
    <row r="354" spans="2:14" ht="33.75" hidden="1" x14ac:dyDescent="0.25">
      <c r="B354" s="53" t="s">
        <v>302</v>
      </c>
      <c r="C354" s="69">
        <v>5044</v>
      </c>
      <c r="D354" s="56" t="s">
        <v>304</v>
      </c>
      <c r="E354" s="72" t="s">
        <v>166</v>
      </c>
      <c r="F354" s="113"/>
      <c r="G354" s="122"/>
      <c r="H354" s="78"/>
      <c r="I354" s="121"/>
      <c r="J354" s="115">
        <f>'BOLETIM DE MEDIÇÃO 02'!O114-'MEMORIAL DE CALCULO 02'!K354</f>
        <v>0</v>
      </c>
      <c r="K354" s="98">
        <f t="shared" si="18"/>
        <v>0</v>
      </c>
      <c r="L354" s="98">
        <f t="shared" si="19"/>
        <v>0</v>
      </c>
      <c r="M354" s="98">
        <f>'BOLETIM DE MEDIÇÃO 02'!G114</f>
        <v>1</v>
      </c>
      <c r="N354" s="102">
        <f t="shared" si="20"/>
        <v>1</v>
      </c>
    </row>
    <row r="355" spans="2:14" ht="45" hidden="1" x14ac:dyDescent="0.25">
      <c r="B355" s="53" t="s">
        <v>305</v>
      </c>
      <c r="C355" s="69">
        <v>101879</v>
      </c>
      <c r="D355" s="56" t="s">
        <v>307</v>
      </c>
      <c r="E355" s="72" t="s">
        <v>166</v>
      </c>
      <c r="F355" s="113"/>
      <c r="G355" s="122"/>
      <c r="H355" s="78"/>
      <c r="I355" s="121"/>
      <c r="J355" s="115">
        <f>'BOLETIM DE MEDIÇÃO 02'!O115-'MEMORIAL DE CALCULO 02'!K355</f>
        <v>0</v>
      </c>
      <c r="K355" s="98">
        <f t="shared" si="18"/>
        <v>0</v>
      </c>
      <c r="L355" s="98">
        <f t="shared" si="19"/>
        <v>0</v>
      </c>
      <c r="M355" s="98">
        <f>'BOLETIM DE MEDIÇÃO 02'!G115</f>
        <v>1</v>
      </c>
      <c r="N355" s="102">
        <f t="shared" si="20"/>
        <v>1</v>
      </c>
    </row>
    <row r="356" spans="2:14" ht="33.75" hidden="1" x14ac:dyDescent="0.25">
      <c r="B356" s="53" t="s">
        <v>308</v>
      </c>
      <c r="C356" s="69">
        <v>5044</v>
      </c>
      <c r="D356" s="56" t="s">
        <v>304</v>
      </c>
      <c r="E356" s="72" t="s">
        <v>166</v>
      </c>
      <c r="F356" s="113"/>
      <c r="G356" s="122"/>
      <c r="H356" s="78"/>
      <c r="I356" s="121"/>
      <c r="J356" s="115">
        <f>'BOLETIM DE MEDIÇÃO 02'!O116-'MEMORIAL DE CALCULO 02'!K356</f>
        <v>0</v>
      </c>
      <c r="K356" s="98">
        <f t="shared" si="18"/>
        <v>0</v>
      </c>
      <c r="L356" s="98">
        <f t="shared" si="19"/>
        <v>0</v>
      </c>
      <c r="M356" s="98">
        <f>'BOLETIM DE MEDIÇÃO 02'!G116</f>
        <v>1</v>
      </c>
      <c r="N356" s="102">
        <f t="shared" si="20"/>
        <v>1</v>
      </c>
    </row>
    <row r="357" spans="2:14" ht="33.75" hidden="1" x14ac:dyDescent="0.25">
      <c r="B357" s="53" t="s">
        <v>309</v>
      </c>
      <c r="C357" s="69">
        <v>92023</v>
      </c>
      <c r="D357" s="56" t="s">
        <v>311</v>
      </c>
      <c r="E357" s="72" t="s">
        <v>166</v>
      </c>
      <c r="F357" s="113"/>
      <c r="G357" s="122"/>
      <c r="H357" s="78"/>
      <c r="I357" s="121"/>
      <c r="J357" s="115">
        <f>'BOLETIM DE MEDIÇÃO 02'!O117-'MEMORIAL DE CALCULO 02'!K357</f>
        <v>0</v>
      </c>
      <c r="K357" s="98">
        <f t="shared" si="18"/>
        <v>0</v>
      </c>
      <c r="L357" s="98">
        <f t="shared" si="19"/>
        <v>0</v>
      </c>
      <c r="M357" s="98">
        <f>'BOLETIM DE MEDIÇÃO 02'!G117</f>
        <v>5</v>
      </c>
      <c r="N357" s="102">
        <f t="shared" si="20"/>
        <v>5</v>
      </c>
    </row>
    <row r="358" spans="2:14" hidden="1" x14ac:dyDescent="0.25">
      <c r="B358" s="54" t="s">
        <v>312</v>
      </c>
      <c r="C358" s="83" t="s">
        <v>313</v>
      </c>
      <c r="D358" s="56"/>
      <c r="E358" s="72"/>
      <c r="F358" s="113"/>
      <c r="G358" s="122"/>
      <c r="H358" s="78"/>
      <c r="I358" s="121"/>
      <c r="J358" s="115"/>
      <c r="K358" s="98">
        <f t="shared" si="18"/>
        <v>0</v>
      </c>
      <c r="L358" s="98"/>
      <c r="M358" s="98"/>
      <c r="N358" s="102"/>
    </row>
    <row r="359" spans="2:14" ht="22.5" hidden="1" x14ac:dyDescent="0.25">
      <c r="B359" s="53" t="s">
        <v>314</v>
      </c>
      <c r="C359" s="69">
        <v>96620</v>
      </c>
      <c r="D359" s="56" t="s">
        <v>316</v>
      </c>
      <c r="E359" s="47" t="s">
        <v>41</v>
      </c>
      <c r="F359" s="113"/>
      <c r="G359" s="122"/>
      <c r="H359" s="78"/>
      <c r="I359" s="121"/>
      <c r="J359" s="115">
        <f>'BOLETIM DE MEDIÇÃO 02'!O119-'MEMORIAL DE CALCULO 02'!K359</f>
        <v>0</v>
      </c>
      <c r="K359" s="98">
        <f t="shared" si="18"/>
        <v>0</v>
      </c>
      <c r="L359" s="98">
        <f t="shared" si="19"/>
        <v>0</v>
      </c>
      <c r="M359" s="98">
        <f>'BOLETIM DE MEDIÇÃO 02'!G119</f>
        <v>31.73</v>
      </c>
      <c r="N359" s="102">
        <f t="shared" si="20"/>
        <v>31.73</v>
      </c>
    </row>
    <row r="360" spans="2:14" ht="67.5" hidden="1" x14ac:dyDescent="0.25">
      <c r="B360" s="53" t="s">
        <v>317</v>
      </c>
      <c r="C360" s="69">
        <v>94439</v>
      </c>
      <c r="D360" s="56" t="s">
        <v>319</v>
      </c>
      <c r="E360" s="47" t="s">
        <v>17</v>
      </c>
      <c r="F360" s="113"/>
      <c r="G360" s="122"/>
      <c r="H360" s="78"/>
      <c r="I360" s="121"/>
      <c r="J360" s="115">
        <f>'BOLETIM DE MEDIÇÃO 02'!O120-'MEMORIAL DE CALCULO 02'!K360</f>
        <v>0</v>
      </c>
      <c r="K360" s="98">
        <f t="shared" si="18"/>
        <v>0</v>
      </c>
      <c r="L360" s="98">
        <f t="shared" si="19"/>
        <v>0</v>
      </c>
      <c r="M360" s="98">
        <f>'BOLETIM DE MEDIÇÃO 02'!G120</f>
        <v>634.5</v>
      </c>
      <c r="N360" s="102">
        <f t="shared" si="20"/>
        <v>634.5</v>
      </c>
    </row>
    <row r="361" spans="2:14" ht="33.75" hidden="1" x14ac:dyDescent="0.25">
      <c r="B361" s="53" t="s">
        <v>320</v>
      </c>
      <c r="C361" s="69">
        <v>87257</v>
      </c>
      <c r="D361" s="56" t="s">
        <v>322</v>
      </c>
      <c r="E361" s="47" t="s">
        <v>17</v>
      </c>
      <c r="F361" s="113"/>
      <c r="G361" s="122"/>
      <c r="H361" s="78"/>
      <c r="I361" s="121"/>
      <c r="J361" s="115">
        <f>'BOLETIM DE MEDIÇÃO 02'!O121-'MEMORIAL DE CALCULO 02'!K361</f>
        <v>0</v>
      </c>
      <c r="K361" s="98">
        <f t="shared" si="18"/>
        <v>0</v>
      </c>
      <c r="L361" s="98">
        <f t="shared" si="19"/>
        <v>0</v>
      </c>
      <c r="M361" s="98">
        <f>'BOLETIM DE MEDIÇÃO 02'!G121</f>
        <v>634.5</v>
      </c>
      <c r="N361" s="102">
        <f t="shared" si="20"/>
        <v>634.5</v>
      </c>
    </row>
    <row r="362" spans="2:14" ht="33.75" hidden="1" x14ac:dyDescent="0.25">
      <c r="B362" s="53" t="s">
        <v>323</v>
      </c>
      <c r="C362" s="69">
        <v>92403</v>
      </c>
      <c r="D362" s="56" t="s">
        <v>325</v>
      </c>
      <c r="E362" s="47" t="s">
        <v>17</v>
      </c>
      <c r="F362" s="113"/>
      <c r="G362" s="122"/>
      <c r="H362" s="78"/>
      <c r="I362" s="121"/>
      <c r="J362" s="115">
        <f>'BOLETIM DE MEDIÇÃO 02'!O122-'MEMORIAL DE CALCULO 02'!K362</f>
        <v>0</v>
      </c>
      <c r="K362" s="98">
        <f t="shared" si="18"/>
        <v>0</v>
      </c>
      <c r="L362" s="98">
        <f t="shared" si="19"/>
        <v>0</v>
      </c>
      <c r="M362" s="98">
        <f>'BOLETIM DE MEDIÇÃO 02'!G122</f>
        <v>629.38</v>
      </c>
      <c r="N362" s="102">
        <f t="shared" si="20"/>
        <v>629.38</v>
      </c>
    </row>
    <row r="363" spans="2:14" ht="56.25" hidden="1" x14ac:dyDescent="0.25">
      <c r="B363" s="53" t="s">
        <v>326</v>
      </c>
      <c r="C363" s="69">
        <v>94273</v>
      </c>
      <c r="D363" s="56" t="s">
        <v>328</v>
      </c>
      <c r="E363" s="47" t="s">
        <v>37</v>
      </c>
      <c r="F363" s="113"/>
      <c r="G363" s="122"/>
      <c r="H363" s="78"/>
      <c r="I363" s="121"/>
      <c r="J363" s="115">
        <f>'BOLETIM DE MEDIÇÃO 02'!O123-'MEMORIAL DE CALCULO 02'!K363</f>
        <v>0</v>
      </c>
      <c r="K363" s="98">
        <f t="shared" si="18"/>
        <v>0</v>
      </c>
      <c r="L363" s="98">
        <f t="shared" si="19"/>
        <v>0</v>
      </c>
      <c r="M363" s="98">
        <f>'BOLETIM DE MEDIÇÃO 02'!G123</f>
        <v>126.37</v>
      </c>
      <c r="N363" s="102">
        <f t="shared" si="20"/>
        <v>126.37</v>
      </c>
    </row>
    <row r="364" spans="2:14" ht="22.5" hidden="1" x14ac:dyDescent="0.25">
      <c r="B364" s="53" t="s">
        <v>329</v>
      </c>
      <c r="C364" s="69">
        <v>368</v>
      </c>
      <c r="D364" s="56" t="s">
        <v>331</v>
      </c>
      <c r="E364" s="47" t="s">
        <v>41</v>
      </c>
      <c r="F364" s="113"/>
      <c r="G364" s="122"/>
      <c r="H364" s="78"/>
      <c r="I364" s="121"/>
      <c r="J364" s="115">
        <f>'BOLETIM DE MEDIÇÃO 02'!O124-'MEMORIAL DE CALCULO 02'!K364</f>
        <v>0</v>
      </c>
      <c r="K364" s="98">
        <f t="shared" si="18"/>
        <v>0</v>
      </c>
      <c r="L364" s="98">
        <f t="shared" si="19"/>
        <v>0</v>
      </c>
      <c r="M364" s="98">
        <f>'BOLETIM DE MEDIÇÃO 02'!G124</f>
        <v>7.46</v>
      </c>
      <c r="N364" s="102">
        <f t="shared" si="20"/>
        <v>7.46</v>
      </c>
    </row>
    <row r="365" spans="2:14" hidden="1" x14ac:dyDescent="0.25">
      <c r="B365" s="53" t="s">
        <v>332</v>
      </c>
      <c r="C365" s="69">
        <v>98504</v>
      </c>
      <c r="D365" s="56" t="s">
        <v>334</v>
      </c>
      <c r="E365" s="47" t="s">
        <v>17</v>
      </c>
      <c r="F365" s="113"/>
      <c r="G365" s="122"/>
      <c r="H365" s="78"/>
      <c r="I365" s="121"/>
      <c r="J365" s="115">
        <f>'BOLETIM DE MEDIÇÃO 02'!O125-'MEMORIAL DE CALCULO 02'!K365</f>
        <v>0</v>
      </c>
      <c r="K365" s="98">
        <f t="shared" si="18"/>
        <v>0</v>
      </c>
      <c r="L365" s="98">
        <f t="shared" si="19"/>
        <v>0</v>
      </c>
      <c r="M365" s="98">
        <f>'BOLETIM DE MEDIÇÃO 02'!G125</f>
        <v>25.6</v>
      </c>
      <c r="N365" s="102">
        <f t="shared" si="20"/>
        <v>25.6</v>
      </c>
    </row>
    <row r="366" spans="2:14" ht="22.5" hidden="1" x14ac:dyDescent="0.25">
      <c r="B366" s="53" t="s">
        <v>335</v>
      </c>
      <c r="C366" s="69">
        <v>103913</v>
      </c>
      <c r="D366" s="56" t="s">
        <v>337</v>
      </c>
      <c r="E366" s="47" t="s">
        <v>17</v>
      </c>
      <c r="F366" s="113"/>
      <c r="G366" s="122"/>
      <c r="H366" s="78"/>
      <c r="I366" s="121"/>
      <c r="J366" s="115">
        <f>'BOLETIM DE MEDIÇÃO 02'!O126-'MEMORIAL DE CALCULO 02'!K366</f>
        <v>0</v>
      </c>
      <c r="K366" s="98">
        <f t="shared" si="18"/>
        <v>0</v>
      </c>
      <c r="L366" s="98">
        <f t="shared" si="19"/>
        <v>0</v>
      </c>
      <c r="M366" s="98">
        <f>'BOLETIM DE MEDIÇÃO 02'!G126</f>
        <v>39.6</v>
      </c>
      <c r="N366" s="102">
        <f t="shared" si="20"/>
        <v>39.6</v>
      </c>
    </row>
    <row r="367" spans="2:14" hidden="1" x14ac:dyDescent="0.25">
      <c r="B367" s="54" t="s">
        <v>338</v>
      </c>
      <c r="C367" s="83" t="s">
        <v>339</v>
      </c>
      <c r="D367" s="56"/>
      <c r="E367" s="47"/>
      <c r="F367" s="113"/>
      <c r="G367" s="122"/>
      <c r="H367" s="78"/>
      <c r="I367" s="121"/>
      <c r="J367" s="115"/>
      <c r="K367" s="98">
        <f t="shared" si="18"/>
        <v>0</v>
      </c>
      <c r="L367" s="98"/>
      <c r="M367" s="98"/>
      <c r="N367" s="102"/>
    </row>
    <row r="368" spans="2:14" ht="45" hidden="1" x14ac:dyDescent="0.25">
      <c r="B368" s="53" t="s">
        <v>340</v>
      </c>
      <c r="C368" s="69">
        <v>94207</v>
      </c>
      <c r="D368" s="56" t="s">
        <v>342</v>
      </c>
      <c r="E368" s="47" t="s">
        <v>17</v>
      </c>
      <c r="F368" s="113"/>
      <c r="G368" s="122"/>
      <c r="H368" s="78"/>
      <c r="I368" s="121"/>
      <c r="J368" s="115">
        <f>'BOLETIM DE MEDIÇÃO 02'!O128-'MEMORIAL DE CALCULO 02'!K368</f>
        <v>0</v>
      </c>
      <c r="K368" s="98">
        <f t="shared" si="18"/>
        <v>0</v>
      </c>
      <c r="L368" s="98">
        <f t="shared" si="19"/>
        <v>0</v>
      </c>
      <c r="M368" s="98">
        <f>'BOLETIM DE MEDIÇÃO 02'!G128</f>
        <v>610.20000000000005</v>
      </c>
      <c r="N368" s="102">
        <f t="shared" si="20"/>
        <v>610.20000000000005</v>
      </c>
    </row>
    <row r="369" spans="2:14" ht="33.75" hidden="1" x14ac:dyDescent="0.25">
      <c r="B369" s="53" t="s">
        <v>343</v>
      </c>
      <c r="C369" s="69">
        <v>98546</v>
      </c>
      <c r="D369" s="56" t="s">
        <v>345</v>
      </c>
      <c r="E369" s="47" t="s">
        <v>17</v>
      </c>
      <c r="F369" s="113"/>
      <c r="G369" s="122"/>
      <c r="H369" s="78"/>
      <c r="I369" s="121"/>
      <c r="J369" s="115">
        <f>'BOLETIM DE MEDIÇÃO 02'!O129-'MEMORIAL DE CALCULO 02'!K369</f>
        <v>0</v>
      </c>
      <c r="K369" s="98">
        <f t="shared" si="18"/>
        <v>0</v>
      </c>
      <c r="L369" s="98">
        <f t="shared" si="19"/>
        <v>0</v>
      </c>
      <c r="M369" s="98">
        <f>'BOLETIM DE MEDIÇÃO 02'!G129</f>
        <v>181.61</v>
      </c>
      <c r="N369" s="102">
        <f t="shared" si="20"/>
        <v>181.61</v>
      </c>
    </row>
    <row r="370" spans="2:14" ht="33.75" hidden="1" x14ac:dyDescent="0.25">
      <c r="B370" s="53" t="s">
        <v>346</v>
      </c>
      <c r="C370" s="69">
        <v>98565</v>
      </c>
      <c r="D370" s="56" t="s">
        <v>348</v>
      </c>
      <c r="E370" s="47" t="s">
        <v>17</v>
      </c>
      <c r="F370" s="113"/>
      <c r="G370" s="122"/>
      <c r="H370" s="78"/>
      <c r="I370" s="121"/>
      <c r="J370" s="115">
        <f>'BOLETIM DE MEDIÇÃO 02'!O130-'MEMORIAL DE CALCULO 02'!K370</f>
        <v>0</v>
      </c>
      <c r="K370" s="98">
        <f t="shared" si="18"/>
        <v>0</v>
      </c>
      <c r="L370" s="98">
        <f t="shared" si="19"/>
        <v>0</v>
      </c>
      <c r="M370" s="98">
        <f>'BOLETIM DE MEDIÇÃO 02'!G130</f>
        <v>181.61</v>
      </c>
      <c r="N370" s="102">
        <f t="shared" si="20"/>
        <v>181.61</v>
      </c>
    </row>
    <row r="371" spans="2:14" ht="45" hidden="1" x14ac:dyDescent="0.25">
      <c r="B371" s="53" t="s">
        <v>349</v>
      </c>
      <c r="C371" s="69">
        <v>100374</v>
      </c>
      <c r="D371" s="56" t="s">
        <v>351</v>
      </c>
      <c r="E371" s="47" t="s">
        <v>166</v>
      </c>
      <c r="F371" s="113"/>
      <c r="G371" s="122"/>
      <c r="H371" s="78"/>
      <c r="I371" s="121"/>
      <c r="J371" s="115">
        <f>'BOLETIM DE MEDIÇÃO 02'!O131-'MEMORIAL DE CALCULO 02'!K371</f>
        <v>0</v>
      </c>
      <c r="K371" s="98">
        <f t="shared" si="18"/>
        <v>0</v>
      </c>
      <c r="L371" s="98">
        <f t="shared" si="19"/>
        <v>0</v>
      </c>
      <c r="M371" s="98">
        <f>'BOLETIM DE MEDIÇÃO 02'!G131</f>
        <v>10</v>
      </c>
      <c r="N371" s="102">
        <f t="shared" si="20"/>
        <v>10</v>
      </c>
    </row>
    <row r="372" spans="2:14" ht="45" hidden="1" x14ac:dyDescent="0.25">
      <c r="B372" s="53" t="s">
        <v>352</v>
      </c>
      <c r="C372" s="69">
        <v>100375</v>
      </c>
      <c r="D372" s="56" t="s">
        <v>354</v>
      </c>
      <c r="E372" s="47" t="s">
        <v>166</v>
      </c>
      <c r="F372" s="113"/>
      <c r="G372" s="122"/>
      <c r="H372" s="78"/>
      <c r="I372" s="121"/>
      <c r="J372" s="115">
        <f>'BOLETIM DE MEDIÇÃO 02'!O132-'MEMORIAL DE CALCULO 02'!K372</f>
        <v>0</v>
      </c>
      <c r="K372" s="98">
        <f t="shared" si="18"/>
        <v>0</v>
      </c>
      <c r="L372" s="98">
        <f t="shared" si="19"/>
        <v>0</v>
      </c>
      <c r="M372" s="98">
        <f>'BOLETIM DE MEDIÇÃO 02'!G132</f>
        <v>10</v>
      </c>
      <c r="N372" s="102">
        <f t="shared" si="20"/>
        <v>10</v>
      </c>
    </row>
    <row r="373" spans="2:14" ht="45" hidden="1" x14ac:dyDescent="0.25">
      <c r="B373" s="53" t="s">
        <v>355</v>
      </c>
      <c r="C373" s="69">
        <v>92544</v>
      </c>
      <c r="D373" s="56" t="s">
        <v>357</v>
      </c>
      <c r="E373" s="47" t="s">
        <v>17</v>
      </c>
      <c r="F373" s="113"/>
      <c r="G373" s="122"/>
      <c r="H373" s="78"/>
      <c r="I373" s="121"/>
      <c r="J373" s="115">
        <f>'BOLETIM DE MEDIÇÃO 02'!O133-'MEMORIAL DE CALCULO 02'!K373</f>
        <v>0</v>
      </c>
      <c r="K373" s="98">
        <f t="shared" si="18"/>
        <v>0</v>
      </c>
      <c r="L373" s="98">
        <f t="shared" si="19"/>
        <v>0</v>
      </c>
      <c r="M373" s="98">
        <f>'BOLETIM DE MEDIÇÃO 02'!G133</f>
        <v>610.20000000000005</v>
      </c>
      <c r="N373" s="102">
        <f t="shared" si="20"/>
        <v>610.20000000000005</v>
      </c>
    </row>
    <row r="374" spans="2:14" ht="33.75" hidden="1" x14ac:dyDescent="0.25">
      <c r="B374" s="53" t="s">
        <v>358</v>
      </c>
      <c r="C374" s="69">
        <v>100435</v>
      </c>
      <c r="D374" s="56" t="s">
        <v>360</v>
      </c>
      <c r="E374" s="47" t="s">
        <v>37</v>
      </c>
      <c r="F374" s="113"/>
      <c r="G374" s="122"/>
      <c r="H374" s="78"/>
      <c r="I374" s="121"/>
      <c r="J374" s="115">
        <f>'BOLETIM DE MEDIÇÃO 02'!O134-'MEMORIAL DE CALCULO 02'!K374</f>
        <v>0</v>
      </c>
      <c r="K374" s="98">
        <f t="shared" si="18"/>
        <v>0</v>
      </c>
      <c r="L374" s="98">
        <f t="shared" si="19"/>
        <v>0</v>
      </c>
      <c r="M374" s="98">
        <f>'BOLETIM DE MEDIÇÃO 02'!G134</f>
        <v>113.1</v>
      </c>
      <c r="N374" s="102">
        <f t="shared" si="20"/>
        <v>113.1</v>
      </c>
    </row>
    <row r="375" spans="2:14" ht="33.75" hidden="1" x14ac:dyDescent="0.25">
      <c r="B375" s="53" t="s">
        <v>361</v>
      </c>
      <c r="C375" s="69">
        <v>94229</v>
      </c>
      <c r="D375" s="56" t="s">
        <v>363</v>
      </c>
      <c r="E375" s="47" t="s">
        <v>37</v>
      </c>
      <c r="F375" s="113"/>
      <c r="G375" s="122"/>
      <c r="H375" s="78"/>
      <c r="I375" s="121"/>
      <c r="J375" s="115">
        <f>'BOLETIM DE MEDIÇÃO 02'!O135-'MEMORIAL DE CALCULO 02'!K375</f>
        <v>0</v>
      </c>
      <c r="K375" s="98">
        <f t="shared" si="18"/>
        <v>0</v>
      </c>
      <c r="L375" s="98">
        <f t="shared" si="19"/>
        <v>0</v>
      </c>
      <c r="M375" s="98">
        <f>'BOLETIM DE MEDIÇÃO 02'!G135</f>
        <v>52.64</v>
      </c>
      <c r="N375" s="102">
        <f t="shared" si="20"/>
        <v>52.64</v>
      </c>
    </row>
    <row r="376" spans="2:14" ht="22.5" hidden="1" x14ac:dyDescent="0.25">
      <c r="B376" s="53" t="s">
        <v>364</v>
      </c>
      <c r="C376" s="69">
        <v>96113</v>
      </c>
      <c r="D376" s="56" t="s">
        <v>366</v>
      </c>
      <c r="E376" s="47" t="s">
        <v>17</v>
      </c>
      <c r="F376" s="113"/>
      <c r="G376" s="122"/>
      <c r="H376" s="78"/>
      <c r="I376" s="121"/>
      <c r="J376" s="115">
        <f>'BOLETIM DE MEDIÇÃO 02'!O136-'MEMORIAL DE CALCULO 02'!K376</f>
        <v>0</v>
      </c>
      <c r="K376" s="98">
        <f t="shared" si="18"/>
        <v>0</v>
      </c>
      <c r="L376" s="98">
        <f t="shared" si="19"/>
        <v>0</v>
      </c>
      <c r="M376" s="98">
        <f>'BOLETIM DE MEDIÇÃO 02'!G136</f>
        <v>634.5</v>
      </c>
      <c r="N376" s="102">
        <f t="shared" si="20"/>
        <v>634.5</v>
      </c>
    </row>
    <row r="377" spans="2:14" ht="14.45" hidden="1" customHeight="1" x14ac:dyDescent="0.25">
      <c r="B377" s="54">
        <v>1.1299999999999999</v>
      </c>
      <c r="C377" s="68" t="s">
        <v>368</v>
      </c>
      <c r="D377" s="56"/>
      <c r="E377" s="47"/>
      <c r="F377" s="113"/>
      <c r="G377" s="122"/>
      <c r="H377" s="78"/>
      <c r="I377" s="121"/>
      <c r="J377" s="115"/>
      <c r="K377" s="98">
        <f t="shared" ref="K377:K412" si="21">(F377*G377*I377)</f>
        <v>0</v>
      </c>
      <c r="L377" s="98"/>
      <c r="M377" s="98"/>
      <c r="N377" s="102"/>
    </row>
    <row r="378" spans="2:14" ht="56.25" hidden="1" x14ac:dyDescent="0.25">
      <c r="B378" s="53" t="s">
        <v>369</v>
      </c>
      <c r="C378" s="69">
        <v>91785</v>
      </c>
      <c r="D378" s="56" t="s">
        <v>371</v>
      </c>
      <c r="E378" s="47" t="s">
        <v>37</v>
      </c>
      <c r="F378" s="113"/>
      <c r="G378" s="122"/>
      <c r="H378" s="72"/>
      <c r="I378" s="121"/>
      <c r="J378" s="115">
        <f>'BOLETIM DE MEDIÇÃO 02'!O138-'MEMORIAL DE CALCULO 02'!K378</f>
        <v>0</v>
      </c>
      <c r="K378" s="98">
        <f t="shared" si="21"/>
        <v>0</v>
      </c>
      <c r="L378" s="98">
        <f t="shared" si="19"/>
        <v>0</v>
      </c>
      <c r="M378" s="98">
        <f>'BOLETIM DE MEDIÇÃO 02'!G138</f>
        <v>98.77</v>
      </c>
      <c r="N378" s="102">
        <f t="shared" si="20"/>
        <v>98.77</v>
      </c>
    </row>
    <row r="379" spans="2:14" ht="56.25" hidden="1" x14ac:dyDescent="0.25">
      <c r="B379" s="53" t="s">
        <v>372</v>
      </c>
      <c r="C379" s="69">
        <v>91784</v>
      </c>
      <c r="D379" s="56" t="s">
        <v>374</v>
      </c>
      <c r="E379" s="47" t="s">
        <v>37</v>
      </c>
      <c r="F379" s="113"/>
      <c r="G379" s="122"/>
      <c r="H379" s="72"/>
      <c r="I379" s="121"/>
      <c r="J379" s="115">
        <f>'BOLETIM DE MEDIÇÃO 02'!O139-'MEMORIAL DE CALCULO 02'!K379</f>
        <v>0</v>
      </c>
      <c r="K379" s="98">
        <f t="shared" si="21"/>
        <v>0</v>
      </c>
      <c r="L379" s="98">
        <f t="shared" si="19"/>
        <v>0</v>
      </c>
      <c r="M379" s="98">
        <f>'BOLETIM DE MEDIÇÃO 02'!G139</f>
        <v>62.17</v>
      </c>
      <c r="N379" s="102">
        <f t="shared" si="20"/>
        <v>62.17</v>
      </c>
    </row>
    <row r="380" spans="2:14" ht="56.25" hidden="1" x14ac:dyDescent="0.25">
      <c r="B380" s="53" t="s">
        <v>375</v>
      </c>
      <c r="C380" s="69">
        <v>91786</v>
      </c>
      <c r="D380" s="56" t="s">
        <v>377</v>
      </c>
      <c r="E380" s="47" t="s">
        <v>37</v>
      </c>
      <c r="F380" s="113"/>
      <c r="G380" s="122"/>
      <c r="H380" s="72"/>
      <c r="I380" s="121"/>
      <c r="J380" s="115">
        <f>'BOLETIM DE MEDIÇÃO 02'!O140-'MEMORIAL DE CALCULO 02'!K380</f>
        <v>0</v>
      </c>
      <c r="K380" s="98">
        <f t="shared" si="21"/>
        <v>0</v>
      </c>
      <c r="L380" s="98">
        <f t="shared" si="19"/>
        <v>0</v>
      </c>
      <c r="M380" s="98">
        <f>'BOLETIM DE MEDIÇÃO 02'!G140</f>
        <v>24.75</v>
      </c>
      <c r="N380" s="102">
        <f t="shared" si="20"/>
        <v>24.75</v>
      </c>
    </row>
    <row r="381" spans="2:14" ht="56.25" hidden="1" x14ac:dyDescent="0.25">
      <c r="B381" s="53" t="s">
        <v>378</v>
      </c>
      <c r="C381" s="69">
        <v>91787</v>
      </c>
      <c r="D381" s="56" t="s">
        <v>380</v>
      </c>
      <c r="E381" s="47" t="s">
        <v>37</v>
      </c>
      <c r="F381" s="113"/>
      <c r="G381" s="122"/>
      <c r="H381" s="72"/>
      <c r="I381" s="121"/>
      <c r="J381" s="115">
        <f>'BOLETIM DE MEDIÇÃO 02'!O141-'MEMORIAL DE CALCULO 02'!K381</f>
        <v>0</v>
      </c>
      <c r="K381" s="98">
        <f t="shared" si="21"/>
        <v>0</v>
      </c>
      <c r="L381" s="98">
        <f t="shared" si="19"/>
        <v>0</v>
      </c>
      <c r="M381" s="98">
        <f>'BOLETIM DE MEDIÇÃO 02'!G141</f>
        <v>25.92</v>
      </c>
      <c r="N381" s="102">
        <f t="shared" si="20"/>
        <v>25.92</v>
      </c>
    </row>
    <row r="382" spans="2:14" ht="33.75" hidden="1" x14ac:dyDescent="0.25">
      <c r="B382" s="53" t="s">
        <v>381</v>
      </c>
      <c r="C382" s="69">
        <v>89987</v>
      </c>
      <c r="D382" s="56" t="s">
        <v>383</v>
      </c>
      <c r="E382" s="47" t="s">
        <v>166</v>
      </c>
      <c r="F382" s="113"/>
      <c r="G382" s="122"/>
      <c r="H382" s="72"/>
      <c r="I382" s="121"/>
      <c r="J382" s="115">
        <f>'BOLETIM DE MEDIÇÃO 02'!O142-'MEMORIAL DE CALCULO 02'!K382</f>
        <v>0</v>
      </c>
      <c r="K382" s="98">
        <f t="shared" si="21"/>
        <v>0</v>
      </c>
      <c r="L382" s="98">
        <f t="shared" si="19"/>
        <v>0</v>
      </c>
      <c r="M382" s="98">
        <f>'BOLETIM DE MEDIÇÃO 02'!G142</f>
        <v>10</v>
      </c>
      <c r="N382" s="102">
        <f t="shared" si="20"/>
        <v>10</v>
      </c>
    </row>
    <row r="383" spans="2:14" ht="22.5" hidden="1" x14ac:dyDescent="0.25">
      <c r="B383" s="53" t="s">
        <v>384</v>
      </c>
      <c r="C383" s="69">
        <v>94490</v>
      </c>
      <c r="D383" s="56" t="s">
        <v>386</v>
      </c>
      <c r="E383" s="47" t="s">
        <v>166</v>
      </c>
      <c r="F383" s="113"/>
      <c r="G383" s="122"/>
      <c r="H383" s="72"/>
      <c r="I383" s="121"/>
      <c r="J383" s="115">
        <f>'BOLETIM DE MEDIÇÃO 02'!O143-'MEMORIAL DE CALCULO 02'!K383</f>
        <v>0</v>
      </c>
      <c r="K383" s="98">
        <f t="shared" si="21"/>
        <v>0</v>
      </c>
      <c r="L383" s="98">
        <f t="shared" ref="L383:L448" si="22">J383+K383</f>
        <v>0</v>
      </c>
      <c r="M383" s="98">
        <f>'BOLETIM DE MEDIÇÃO 02'!G143</f>
        <v>2</v>
      </c>
      <c r="N383" s="102">
        <f t="shared" ref="N383:N448" si="23">M383-L383</f>
        <v>2</v>
      </c>
    </row>
    <row r="384" spans="2:14" ht="33.75" hidden="1" x14ac:dyDescent="0.25">
      <c r="B384" s="53" t="s">
        <v>387</v>
      </c>
      <c r="C384" s="69">
        <v>89985</v>
      </c>
      <c r="D384" s="56" t="s">
        <v>389</v>
      </c>
      <c r="E384" s="47" t="s">
        <v>166</v>
      </c>
      <c r="F384" s="113"/>
      <c r="G384" s="122"/>
      <c r="H384" s="72"/>
      <c r="I384" s="121"/>
      <c r="J384" s="115">
        <f>'BOLETIM DE MEDIÇÃO 02'!O144-'MEMORIAL DE CALCULO 02'!K384</f>
        <v>0</v>
      </c>
      <c r="K384" s="98">
        <f t="shared" si="21"/>
        <v>0</v>
      </c>
      <c r="L384" s="98">
        <f t="shared" si="22"/>
        <v>0</v>
      </c>
      <c r="M384" s="98">
        <f>'BOLETIM DE MEDIÇÃO 02'!G144</f>
        <v>6</v>
      </c>
      <c r="N384" s="102">
        <f t="shared" si="23"/>
        <v>6</v>
      </c>
    </row>
    <row r="385" spans="2:14" ht="33.75" hidden="1" x14ac:dyDescent="0.25">
      <c r="B385" s="53" t="s">
        <v>390</v>
      </c>
      <c r="C385" s="69">
        <v>102613</v>
      </c>
      <c r="D385" s="56" t="s">
        <v>392</v>
      </c>
      <c r="E385" s="47" t="s">
        <v>166</v>
      </c>
      <c r="F385" s="113"/>
      <c r="G385" s="122"/>
      <c r="H385" s="72"/>
      <c r="I385" s="121"/>
      <c r="J385" s="115">
        <f>'BOLETIM DE MEDIÇÃO 02'!O145-'MEMORIAL DE CALCULO 02'!K385</f>
        <v>0</v>
      </c>
      <c r="K385" s="98">
        <f t="shared" si="21"/>
        <v>0</v>
      </c>
      <c r="L385" s="98">
        <f t="shared" si="22"/>
        <v>0</v>
      </c>
      <c r="M385" s="98">
        <f>'BOLETIM DE MEDIÇÃO 02'!G145</f>
        <v>2</v>
      </c>
      <c r="N385" s="102">
        <f t="shared" si="23"/>
        <v>2</v>
      </c>
    </row>
    <row r="386" spans="2:14" ht="22.5" hidden="1" x14ac:dyDescent="0.25">
      <c r="B386" s="53" t="s">
        <v>393</v>
      </c>
      <c r="C386" s="69">
        <v>102609</v>
      </c>
      <c r="D386" s="56" t="s">
        <v>395</v>
      </c>
      <c r="E386" s="47" t="s">
        <v>166</v>
      </c>
      <c r="F386" s="113"/>
      <c r="G386" s="122"/>
      <c r="H386" s="72"/>
      <c r="I386" s="121"/>
      <c r="J386" s="115">
        <f>'BOLETIM DE MEDIÇÃO 02'!O146-'MEMORIAL DE CALCULO 02'!K386</f>
        <v>0</v>
      </c>
      <c r="K386" s="98">
        <f t="shared" si="21"/>
        <v>0</v>
      </c>
      <c r="L386" s="98">
        <f t="shared" si="22"/>
        <v>0</v>
      </c>
      <c r="M386" s="98">
        <f>'BOLETIM DE MEDIÇÃO 02'!G146</f>
        <v>2</v>
      </c>
      <c r="N386" s="102">
        <f t="shared" si="23"/>
        <v>2</v>
      </c>
    </row>
    <row r="387" spans="2:14" ht="22.5" hidden="1" x14ac:dyDescent="0.25">
      <c r="B387" s="53" t="s">
        <v>396</v>
      </c>
      <c r="C387" s="69">
        <v>94796</v>
      </c>
      <c r="D387" s="56" t="s">
        <v>398</v>
      </c>
      <c r="E387" s="47" t="s">
        <v>166</v>
      </c>
      <c r="F387" s="113"/>
      <c r="G387" s="122"/>
      <c r="H387" s="72"/>
      <c r="I387" s="121"/>
      <c r="J387" s="115">
        <f>'BOLETIM DE MEDIÇÃO 02'!O147-'MEMORIAL DE CALCULO 02'!K387</f>
        <v>0</v>
      </c>
      <c r="K387" s="98">
        <f t="shared" si="21"/>
        <v>0</v>
      </c>
      <c r="L387" s="98">
        <f t="shared" si="22"/>
        <v>0</v>
      </c>
      <c r="M387" s="98">
        <f>'BOLETIM DE MEDIÇÃO 02'!G147</f>
        <v>4</v>
      </c>
      <c r="N387" s="102">
        <f t="shared" si="23"/>
        <v>4</v>
      </c>
    </row>
    <row r="388" spans="2:14" ht="22.5" hidden="1" x14ac:dyDescent="0.25">
      <c r="B388" s="53" t="s">
        <v>399</v>
      </c>
      <c r="C388" s="69">
        <v>94491</v>
      </c>
      <c r="D388" s="56" t="s">
        <v>401</v>
      </c>
      <c r="E388" s="47" t="s">
        <v>166</v>
      </c>
      <c r="F388" s="113"/>
      <c r="G388" s="122"/>
      <c r="H388" s="72"/>
      <c r="I388" s="121"/>
      <c r="J388" s="115">
        <f>'BOLETIM DE MEDIÇÃO 02'!O148-'MEMORIAL DE CALCULO 02'!K388</f>
        <v>0</v>
      </c>
      <c r="K388" s="98">
        <f t="shared" si="21"/>
        <v>0</v>
      </c>
      <c r="L388" s="98">
        <f t="shared" si="22"/>
        <v>0</v>
      </c>
      <c r="M388" s="98">
        <f>'BOLETIM DE MEDIÇÃO 02'!G148</f>
        <v>4</v>
      </c>
      <c r="N388" s="102">
        <f t="shared" si="23"/>
        <v>4</v>
      </c>
    </row>
    <row r="389" spans="2:14" ht="22.5" hidden="1" x14ac:dyDescent="0.25">
      <c r="B389" s="53" t="s">
        <v>402</v>
      </c>
      <c r="C389" s="69">
        <v>94492</v>
      </c>
      <c r="D389" s="56" t="s">
        <v>404</v>
      </c>
      <c r="E389" s="47" t="s">
        <v>166</v>
      </c>
      <c r="F389" s="113"/>
      <c r="G389" s="122"/>
      <c r="H389" s="72"/>
      <c r="I389" s="121"/>
      <c r="J389" s="115">
        <f>'BOLETIM DE MEDIÇÃO 02'!O149-'MEMORIAL DE CALCULO 02'!K389</f>
        <v>0</v>
      </c>
      <c r="K389" s="98">
        <f t="shared" si="21"/>
        <v>0</v>
      </c>
      <c r="L389" s="98">
        <f t="shared" si="22"/>
        <v>0</v>
      </c>
      <c r="M389" s="98">
        <f>'BOLETIM DE MEDIÇÃO 02'!G149</f>
        <v>2</v>
      </c>
      <c r="N389" s="102">
        <f t="shared" si="23"/>
        <v>2</v>
      </c>
    </row>
    <row r="390" spans="2:14" ht="22.5" hidden="1" x14ac:dyDescent="0.25">
      <c r="B390" s="53" t="s">
        <v>405</v>
      </c>
      <c r="C390" s="69">
        <v>95675</v>
      </c>
      <c r="D390" s="56" t="s">
        <v>407</v>
      </c>
      <c r="E390" s="47" t="s">
        <v>166</v>
      </c>
      <c r="F390" s="113"/>
      <c r="G390" s="122"/>
      <c r="H390" s="72"/>
      <c r="I390" s="121"/>
      <c r="J390" s="115">
        <f>'BOLETIM DE MEDIÇÃO 02'!O150-'MEMORIAL DE CALCULO 02'!K390</f>
        <v>0</v>
      </c>
      <c r="K390" s="98">
        <f t="shared" si="21"/>
        <v>0</v>
      </c>
      <c r="L390" s="98">
        <f t="shared" si="22"/>
        <v>0</v>
      </c>
      <c r="M390" s="98">
        <f>'BOLETIM DE MEDIÇÃO 02'!G150</f>
        <v>1</v>
      </c>
      <c r="N390" s="102">
        <f t="shared" si="23"/>
        <v>1</v>
      </c>
    </row>
    <row r="391" spans="2:14" ht="45" hidden="1" x14ac:dyDescent="0.25">
      <c r="B391" s="53" t="s">
        <v>408</v>
      </c>
      <c r="C391" s="69">
        <v>97902</v>
      </c>
      <c r="D391" s="56" t="s">
        <v>410</v>
      </c>
      <c r="E391" s="47" t="s">
        <v>166</v>
      </c>
      <c r="F391" s="113"/>
      <c r="G391" s="122"/>
      <c r="H391" s="72"/>
      <c r="I391" s="121"/>
      <c r="J391" s="115">
        <f>'BOLETIM DE MEDIÇÃO 02'!O151-'MEMORIAL DE CALCULO 02'!K391</f>
        <v>0</v>
      </c>
      <c r="K391" s="98">
        <f t="shared" si="21"/>
        <v>0</v>
      </c>
      <c r="L391" s="98">
        <f t="shared" si="22"/>
        <v>0</v>
      </c>
      <c r="M391" s="98">
        <f>'BOLETIM DE MEDIÇÃO 02'!G151</f>
        <v>7</v>
      </c>
      <c r="N391" s="102">
        <f t="shared" si="23"/>
        <v>7</v>
      </c>
    </row>
    <row r="392" spans="2:14" ht="45" hidden="1" x14ac:dyDescent="0.25">
      <c r="B392" s="53" t="s">
        <v>411</v>
      </c>
      <c r="C392" s="69">
        <v>99258</v>
      </c>
      <c r="D392" s="56" t="s">
        <v>413</v>
      </c>
      <c r="E392" s="47" t="s">
        <v>166</v>
      </c>
      <c r="F392" s="113"/>
      <c r="G392" s="122"/>
      <c r="H392" s="72"/>
      <c r="I392" s="121"/>
      <c r="J392" s="115">
        <f>'BOLETIM DE MEDIÇÃO 02'!O152-'MEMORIAL DE CALCULO 02'!K392</f>
        <v>0</v>
      </c>
      <c r="K392" s="98">
        <f t="shared" si="21"/>
        <v>0</v>
      </c>
      <c r="L392" s="98">
        <f t="shared" si="22"/>
        <v>0</v>
      </c>
      <c r="M392" s="98">
        <f>'BOLETIM DE MEDIÇÃO 02'!G152</f>
        <v>1</v>
      </c>
      <c r="N392" s="102">
        <f t="shared" si="23"/>
        <v>1</v>
      </c>
    </row>
    <row r="393" spans="2:14" ht="33.75" hidden="1" x14ac:dyDescent="0.25">
      <c r="B393" s="53" t="s">
        <v>414</v>
      </c>
      <c r="C393" s="69">
        <v>89482</v>
      </c>
      <c r="D393" s="56" t="s">
        <v>416</v>
      </c>
      <c r="E393" s="47" t="s">
        <v>166</v>
      </c>
      <c r="F393" s="113"/>
      <c r="G393" s="122"/>
      <c r="H393" s="72"/>
      <c r="I393" s="121"/>
      <c r="J393" s="115">
        <f>'BOLETIM DE MEDIÇÃO 02'!O153-'MEMORIAL DE CALCULO 02'!K393</f>
        <v>0</v>
      </c>
      <c r="K393" s="98">
        <f t="shared" si="21"/>
        <v>0</v>
      </c>
      <c r="L393" s="98">
        <f t="shared" si="22"/>
        <v>0</v>
      </c>
      <c r="M393" s="98">
        <f>'BOLETIM DE MEDIÇÃO 02'!G153</f>
        <v>10</v>
      </c>
      <c r="N393" s="102">
        <f t="shared" si="23"/>
        <v>10</v>
      </c>
    </row>
    <row r="394" spans="2:14" ht="56.25" hidden="1" x14ac:dyDescent="0.25">
      <c r="B394" s="53" t="s">
        <v>417</v>
      </c>
      <c r="C394" s="69">
        <v>91792</v>
      </c>
      <c r="D394" s="56" t="s">
        <v>419</v>
      </c>
      <c r="E394" s="47" t="s">
        <v>37</v>
      </c>
      <c r="F394" s="113"/>
      <c r="G394" s="122"/>
      <c r="H394" s="72"/>
      <c r="I394" s="121"/>
      <c r="J394" s="115">
        <f>'BOLETIM DE MEDIÇÃO 02'!O154-'MEMORIAL DE CALCULO 02'!K394</f>
        <v>0</v>
      </c>
      <c r="K394" s="98">
        <f t="shared" si="21"/>
        <v>0</v>
      </c>
      <c r="L394" s="98">
        <f t="shared" si="22"/>
        <v>0</v>
      </c>
      <c r="M394" s="98">
        <f>'BOLETIM DE MEDIÇÃO 02'!G154</f>
        <v>38.85</v>
      </c>
      <c r="N394" s="102">
        <f t="shared" si="23"/>
        <v>38.85</v>
      </c>
    </row>
    <row r="395" spans="2:14" ht="56.25" hidden="1" x14ac:dyDescent="0.25">
      <c r="B395" s="53" t="s">
        <v>420</v>
      </c>
      <c r="C395" s="69">
        <v>91793</v>
      </c>
      <c r="D395" s="56" t="s">
        <v>422</v>
      </c>
      <c r="E395" s="47" t="s">
        <v>37</v>
      </c>
      <c r="F395" s="113"/>
      <c r="G395" s="122"/>
      <c r="H395" s="72"/>
      <c r="I395" s="121"/>
      <c r="J395" s="115">
        <f>'BOLETIM DE MEDIÇÃO 02'!O155-'MEMORIAL DE CALCULO 02'!K395</f>
        <v>0</v>
      </c>
      <c r="K395" s="98">
        <f t="shared" si="21"/>
        <v>0</v>
      </c>
      <c r="L395" s="98">
        <f t="shared" si="22"/>
        <v>0</v>
      </c>
      <c r="M395" s="98">
        <f>'BOLETIM DE MEDIÇÃO 02'!G155</f>
        <v>46.51</v>
      </c>
      <c r="N395" s="102">
        <f t="shared" si="23"/>
        <v>46.51</v>
      </c>
    </row>
    <row r="396" spans="2:14" ht="45" hidden="1" x14ac:dyDescent="0.25">
      <c r="B396" s="53" t="s">
        <v>423</v>
      </c>
      <c r="C396" s="69">
        <v>98107</v>
      </c>
      <c r="D396" s="56" t="s">
        <v>425</v>
      </c>
      <c r="E396" s="47" t="s">
        <v>166</v>
      </c>
      <c r="F396" s="113"/>
      <c r="G396" s="122"/>
      <c r="H396" s="72"/>
      <c r="I396" s="121"/>
      <c r="J396" s="115">
        <f>'BOLETIM DE MEDIÇÃO 02'!O156-'MEMORIAL DE CALCULO 02'!K396</f>
        <v>0</v>
      </c>
      <c r="K396" s="98">
        <f t="shared" si="21"/>
        <v>0</v>
      </c>
      <c r="L396" s="98">
        <f t="shared" si="22"/>
        <v>0</v>
      </c>
      <c r="M396" s="98">
        <f>'BOLETIM DE MEDIÇÃO 02'!G156</f>
        <v>1</v>
      </c>
      <c r="N396" s="102">
        <f t="shared" si="23"/>
        <v>1</v>
      </c>
    </row>
    <row r="397" spans="2:14" ht="56.25" hidden="1" x14ac:dyDescent="0.25">
      <c r="B397" s="53" t="s">
        <v>426</v>
      </c>
      <c r="C397" s="69">
        <v>91795</v>
      </c>
      <c r="D397" s="56" t="s">
        <v>428</v>
      </c>
      <c r="E397" s="47" t="s">
        <v>37</v>
      </c>
      <c r="F397" s="113"/>
      <c r="G397" s="122"/>
      <c r="H397" s="72"/>
      <c r="I397" s="121"/>
      <c r="J397" s="115">
        <f>'BOLETIM DE MEDIÇÃO 02'!O157-'MEMORIAL DE CALCULO 02'!K397</f>
        <v>0</v>
      </c>
      <c r="K397" s="98">
        <f t="shared" si="21"/>
        <v>0</v>
      </c>
      <c r="L397" s="98">
        <f t="shared" si="22"/>
        <v>0</v>
      </c>
      <c r="M397" s="98">
        <f>'BOLETIM DE MEDIÇÃO 02'!G157</f>
        <v>132.77000000000001</v>
      </c>
      <c r="N397" s="102">
        <f t="shared" si="23"/>
        <v>132.77000000000001</v>
      </c>
    </row>
    <row r="398" spans="2:14" ht="45" hidden="1" x14ac:dyDescent="0.25">
      <c r="B398" s="53" t="s">
        <v>429</v>
      </c>
      <c r="C398" s="71">
        <v>99251</v>
      </c>
      <c r="D398" s="70" t="s">
        <v>431</v>
      </c>
      <c r="E398" s="47" t="s">
        <v>166</v>
      </c>
      <c r="F398" s="113"/>
      <c r="G398" s="122"/>
      <c r="H398" s="72"/>
      <c r="I398" s="121"/>
      <c r="J398" s="115">
        <f>'BOLETIM DE MEDIÇÃO 02'!O158-'MEMORIAL DE CALCULO 02'!K398</f>
        <v>0</v>
      </c>
      <c r="K398" s="98">
        <f t="shared" si="21"/>
        <v>0</v>
      </c>
      <c r="L398" s="98">
        <f t="shared" si="22"/>
        <v>0</v>
      </c>
      <c r="M398" s="98">
        <f>'BOLETIM DE MEDIÇÃO 02'!G158</f>
        <v>2</v>
      </c>
      <c r="N398" s="102">
        <f t="shared" si="23"/>
        <v>2</v>
      </c>
    </row>
    <row r="399" spans="2:14" ht="56.25" hidden="1" x14ac:dyDescent="0.25">
      <c r="B399" s="53" t="s">
        <v>432</v>
      </c>
      <c r="C399" s="71">
        <v>91790</v>
      </c>
      <c r="D399" s="70" t="s">
        <v>434</v>
      </c>
      <c r="E399" s="47" t="s">
        <v>37</v>
      </c>
      <c r="F399" s="113"/>
      <c r="G399" s="122"/>
      <c r="H399" s="72"/>
      <c r="I399" s="121"/>
      <c r="J399" s="115">
        <f>'BOLETIM DE MEDIÇÃO 02'!O159-'MEMORIAL DE CALCULO 02'!K399</f>
        <v>0</v>
      </c>
      <c r="K399" s="98">
        <f t="shared" si="21"/>
        <v>0</v>
      </c>
      <c r="L399" s="98">
        <f t="shared" si="22"/>
        <v>0</v>
      </c>
      <c r="M399" s="98">
        <f>'BOLETIM DE MEDIÇÃO 02'!G159</f>
        <v>43.01</v>
      </c>
      <c r="N399" s="102">
        <f t="shared" si="23"/>
        <v>43.01</v>
      </c>
    </row>
    <row r="400" spans="2:14" ht="14.45" hidden="1" customHeight="1" x14ac:dyDescent="0.25">
      <c r="B400" s="54">
        <v>1.1399999999999999</v>
      </c>
      <c r="C400" s="68" t="s">
        <v>436</v>
      </c>
      <c r="D400" s="56"/>
      <c r="E400" s="47"/>
      <c r="F400" s="111"/>
      <c r="G400" s="122"/>
      <c r="H400" s="78"/>
      <c r="I400" s="121"/>
      <c r="J400" s="115"/>
      <c r="K400" s="98">
        <f t="shared" si="21"/>
        <v>0</v>
      </c>
      <c r="L400" s="98"/>
      <c r="M400" s="98"/>
      <c r="N400" s="102"/>
    </row>
    <row r="401" spans="2:14" ht="22.5" hidden="1" x14ac:dyDescent="0.25">
      <c r="B401" s="53" t="s">
        <v>437</v>
      </c>
      <c r="C401" s="62" t="s">
        <v>438</v>
      </c>
      <c r="D401" s="56" t="s">
        <v>439</v>
      </c>
      <c r="E401" s="47" t="s">
        <v>17</v>
      </c>
      <c r="F401" s="111"/>
      <c r="G401" s="122"/>
      <c r="H401" s="78"/>
      <c r="I401" s="121"/>
      <c r="J401" s="115">
        <f>'BOLETIM DE MEDIÇÃO 02'!O161-'MEMORIAL DE CALCULO 02'!K401</f>
        <v>0</v>
      </c>
      <c r="K401" s="98">
        <f t="shared" si="21"/>
        <v>0</v>
      </c>
      <c r="L401" s="98">
        <f t="shared" si="22"/>
        <v>0</v>
      </c>
      <c r="M401" s="98">
        <f>'BOLETIM DE MEDIÇÃO 02'!G161</f>
        <v>14.07</v>
      </c>
      <c r="N401" s="102">
        <f t="shared" si="23"/>
        <v>14.07</v>
      </c>
    </row>
    <row r="402" spans="2:14" ht="33.75" hidden="1" x14ac:dyDescent="0.25">
      <c r="B402" s="53" t="s">
        <v>440</v>
      </c>
      <c r="C402" s="71">
        <v>86906</v>
      </c>
      <c r="D402" s="70" t="s">
        <v>442</v>
      </c>
      <c r="E402" s="47" t="s">
        <v>166</v>
      </c>
      <c r="F402" s="152"/>
      <c r="G402" s="122"/>
      <c r="H402" s="47"/>
      <c r="I402" s="121"/>
      <c r="J402" s="115">
        <f>'BOLETIM DE MEDIÇÃO 02'!O162-'MEMORIAL DE CALCULO 02'!K402</f>
        <v>0</v>
      </c>
      <c r="K402" s="98">
        <f t="shared" si="21"/>
        <v>0</v>
      </c>
      <c r="L402" s="98">
        <f t="shared" si="22"/>
        <v>0</v>
      </c>
      <c r="M402" s="98">
        <f>'BOLETIM DE MEDIÇÃO 02'!G162</f>
        <v>10</v>
      </c>
      <c r="N402" s="102">
        <f t="shared" si="23"/>
        <v>10</v>
      </c>
    </row>
    <row r="403" spans="2:14" ht="33.75" hidden="1" x14ac:dyDescent="0.25">
      <c r="B403" s="53" t="s">
        <v>443</v>
      </c>
      <c r="C403" s="69">
        <v>86911</v>
      </c>
      <c r="D403" s="56" t="s">
        <v>445</v>
      </c>
      <c r="E403" s="47" t="s">
        <v>166</v>
      </c>
      <c r="F403" s="111"/>
      <c r="G403" s="122"/>
      <c r="H403" s="78"/>
      <c r="I403" s="121"/>
      <c r="J403" s="115">
        <f>'BOLETIM DE MEDIÇÃO 02'!O163-'MEMORIAL DE CALCULO 02'!K403</f>
        <v>0</v>
      </c>
      <c r="K403" s="98">
        <f t="shared" si="21"/>
        <v>0</v>
      </c>
      <c r="L403" s="98">
        <f t="shared" si="22"/>
        <v>0</v>
      </c>
      <c r="M403" s="98">
        <f>'BOLETIM DE MEDIÇÃO 02'!G163</f>
        <v>3</v>
      </c>
      <c r="N403" s="102">
        <f t="shared" si="23"/>
        <v>3</v>
      </c>
    </row>
    <row r="404" spans="2:14" ht="33.75" hidden="1" x14ac:dyDescent="0.25">
      <c r="B404" s="53" t="s">
        <v>446</v>
      </c>
      <c r="C404" s="69">
        <v>10428</v>
      </c>
      <c r="D404" s="56" t="s">
        <v>448</v>
      </c>
      <c r="E404" s="47" t="s">
        <v>166</v>
      </c>
      <c r="F404" s="111"/>
      <c r="G404" s="122"/>
      <c r="H404" s="78"/>
      <c r="I404" s="121"/>
      <c r="J404" s="115">
        <f>'BOLETIM DE MEDIÇÃO 02'!O164-'MEMORIAL DE CALCULO 02'!K404</f>
        <v>0</v>
      </c>
      <c r="K404" s="98">
        <f t="shared" si="21"/>
        <v>0</v>
      </c>
      <c r="L404" s="98">
        <f t="shared" si="22"/>
        <v>0</v>
      </c>
      <c r="M404" s="98">
        <f>'BOLETIM DE MEDIÇÃO 02'!G164</f>
        <v>8</v>
      </c>
      <c r="N404" s="102">
        <f t="shared" si="23"/>
        <v>8</v>
      </c>
    </row>
    <row r="405" spans="2:14" ht="45" hidden="1" x14ac:dyDescent="0.25">
      <c r="B405" s="53" t="s">
        <v>449</v>
      </c>
      <c r="C405" s="69">
        <v>86932</v>
      </c>
      <c r="D405" s="56" t="s">
        <v>451</v>
      </c>
      <c r="E405" s="47" t="s">
        <v>166</v>
      </c>
      <c r="F405" s="111"/>
      <c r="G405" s="122"/>
      <c r="H405" s="78"/>
      <c r="I405" s="121"/>
      <c r="J405" s="115">
        <f>'BOLETIM DE MEDIÇÃO 02'!O165-'MEMORIAL DE CALCULO 02'!K405</f>
        <v>0</v>
      </c>
      <c r="K405" s="98">
        <f t="shared" si="21"/>
        <v>0</v>
      </c>
      <c r="L405" s="98">
        <f t="shared" si="22"/>
        <v>0</v>
      </c>
      <c r="M405" s="98">
        <f>'BOLETIM DE MEDIÇÃO 02'!G165</f>
        <v>9</v>
      </c>
      <c r="N405" s="102">
        <f t="shared" si="23"/>
        <v>9</v>
      </c>
    </row>
    <row r="406" spans="2:14" ht="45" hidden="1" x14ac:dyDescent="0.25">
      <c r="B406" s="53" t="s">
        <v>452</v>
      </c>
      <c r="C406" s="69">
        <v>86935</v>
      </c>
      <c r="D406" s="56" t="s">
        <v>454</v>
      </c>
      <c r="E406" s="47" t="s">
        <v>166</v>
      </c>
      <c r="F406" s="111"/>
      <c r="G406" s="122"/>
      <c r="H406" s="78"/>
      <c r="I406" s="121"/>
      <c r="J406" s="115">
        <f>'BOLETIM DE MEDIÇÃO 02'!O166-'MEMORIAL DE CALCULO 02'!K406</f>
        <v>0</v>
      </c>
      <c r="K406" s="98">
        <f t="shared" si="21"/>
        <v>0</v>
      </c>
      <c r="L406" s="98">
        <f t="shared" si="22"/>
        <v>0</v>
      </c>
      <c r="M406" s="98">
        <f>'BOLETIM DE MEDIÇÃO 02'!G166</f>
        <v>2</v>
      </c>
      <c r="N406" s="102">
        <f t="shared" si="23"/>
        <v>2</v>
      </c>
    </row>
    <row r="407" spans="2:14" ht="33.75" hidden="1" x14ac:dyDescent="0.25">
      <c r="B407" s="53" t="s">
        <v>455</v>
      </c>
      <c r="C407" s="69">
        <v>100868</v>
      </c>
      <c r="D407" s="56" t="s">
        <v>457</v>
      </c>
      <c r="E407" s="47" t="s">
        <v>166</v>
      </c>
      <c r="F407" s="111"/>
      <c r="G407" s="122"/>
      <c r="H407" s="78"/>
      <c r="I407" s="121"/>
      <c r="J407" s="115">
        <f>'BOLETIM DE MEDIÇÃO 02'!O167-'MEMORIAL DE CALCULO 02'!K407</f>
        <v>0</v>
      </c>
      <c r="K407" s="98">
        <f t="shared" si="21"/>
        <v>0</v>
      </c>
      <c r="L407" s="98">
        <f t="shared" si="22"/>
        <v>0</v>
      </c>
      <c r="M407" s="98">
        <f>'BOLETIM DE MEDIÇÃO 02'!G167</f>
        <v>2</v>
      </c>
      <c r="N407" s="102">
        <f t="shared" si="23"/>
        <v>2</v>
      </c>
    </row>
    <row r="408" spans="2:14" ht="56.25" hidden="1" x14ac:dyDescent="0.25">
      <c r="B408" s="53" t="s">
        <v>458</v>
      </c>
      <c r="C408" s="69">
        <v>86942</v>
      </c>
      <c r="D408" s="56" t="s">
        <v>460</v>
      </c>
      <c r="E408" s="47" t="s">
        <v>166</v>
      </c>
      <c r="F408" s="111"/>
      <c r="G408" s="122"/>
      <c r="H408" s="78"/>
      <c r="I408" s="121"/>
      <c r="J408" s="115">
        <f>'BOLETIM DE MEDIÇÃO 02'!O168-'MEMORIAL DE CALCULO 02'!K408</f>
        <v>0</v>
      </c>
      <c r="K408" s="98">
        <f t="shared" si="21"/>
        <v>0</v>
      </c>
      <c r="L408" s="98">
        <f t="shared" si="22"/>
        <v>0</v>
      </c>
      <c r="M408" s="98">
        <f>'BOLETIM DE MEDIÇÃO 02'!G168</f>
        <v>1</v>
      </c>
      <c r="N408" s="102">
        <f t="shared" si="23"/>
        <v>1</v>
      </c>
    </row>
    <row r="409" spans="2:14" ht="56.25" hidden="1" x14ac:dyDescent="0.25">
      <c r="B409" s="53" t="s">
        <v>461</v>
      </c>
      <c r="C409" s="69">
        <v>86923</v>
      </c>
      <c r="D409" s="56" t="s">
        <v>463</v>
      </c>
      <c r="E409" s="47" t="s">
        <v>166</v>
      </c>
      <c r="F409" s="111"/>
      <c r="G409" s="122"/>
      <c r="H409" s="78"/>
      <c r="I409" s="121"/>
      <c r="J409" s="115">
        <f>'BOLETIM DE MEDIÇÃO 02'!O169-'MEMORIAL DE CALCULO 02'!K409</f>
        <v>0</v>
      </c>
      <c r="K409" s="98">
        <f t="shared" si="21"/>
        <v>0</v>
      </c>
      <c r="L409" s="98">
        <f t="shared" si="22"/>
        <v>0</v>
      </c>
      <c r="M409" s="98">
        <f>'BOLETIM DE MEDIÇÃO 02'!G169</f>
        <v>1</v>
      </c>
      <c r="N409" s="102">
        <f t="shared" si="23"/>
        <v>1</v>
      </c>
    </row>
    <row r="410" spans="2:14" ht="45" hidden="1" x14ac:dyDescent="0.25">
      <c r="B410" s="53" t="s">
        <v>464</v>
      </c>
      <c r="C410" s="69">
        <v>95472</v>
      </c>
      <c r="D410" s="56" t="s">
        <v>466</v>
      </c>
      <c r="E410" s="47" t="s">
        <v>166</v>
      </c>
      <c r="F410" s="111"/>
      <c r="G410" s="122"/>
      <c r="H410" s="78"/>
      <c r="I410" s="121"/>
      <c r="J410" s="115">
        <f>'BOLETIM DE MEDIÇÃO 02'!O170-'MEMORIAL DE CALCULO 02'!K410</f>
        <v>0</v>
      </c>
      <c r="K410" s="98">
        <f t="shared" si="21"/>
        <v>0</v>
      </c>
      <c r="L410" s="98">
        <f t="shared" si="22"/>
        <v>0</v>
      </c>
      <c r="M410" s="98">
        <f>'BOLETIM DE MEDIÇÃO 02'!G170</f>
        <v>1</v>
      </c>
      <c r="N410" s="102">
        <f t="shared" si="23"/>
        <v>1</v>
      </c>
    </row>
    <row r="411" spans="2:14" ht="33.75" hidden="1" x14ac:dyDescent="0.25">
      <c r="B411" s="53" t="s">
        <v>467</v>
      </c>
      <c r="C411" s="69">
        <v>102253</v>
      </c>
      <c r="D411" s="56" t="s">
        <v>469</v>
      </c>
      <c r="E411" s="47" t="s">
        <v>17</v>
      </c>
      <c r="F411" s="111"/>
      <c r="G411" s="122"/>
      <c r="H411" s="78"/>
      <c r="I411" s="121"/>
      <c r="J411" s="115">
        <f>'BOLETIM DE MEDIÇÃO 02'!O171-'MEMORIAL DE CALCULO 02'!K411</f>
        <v>0</v>
      </c>
      <c r="K411" s="98">
        <f t="shared" si="21"/>
        <v>0</v>
      </c>
      <c r="L411" s="98">
        <f t="shared" si="22"/>
        <v>0</v>
      </c>
      <c r="M411" s="98">
        <f>'BOLETIM DE MEDIÇÃO 02'!G171</f>
        <v>33.92</v>
      </c>
      <c r="N411" s="102">
        <f t="shared" si="23"/>
        <v>33.92</v>
      </c>
    </row>
    <row r="412" spans="2:14" ht="22.5" hidden="1" x14ac:dyDescent="0.25">
      <c r="B412" s="53" t="s">
        <v>470</v>
      </c>
      <c r="C412" s="69">
        <v>100860</v>
      </c>
      <c r="D412" s="56" t="s">
        <v>472</v>
      </c>
      <c r="E412" s="47" t="s">
        <v>166</v>
      </c>
      <c r="F412" s="111"/>
      <c r="G412" s="122"/>
      <c r="H412" s="78"/>
      <c r="I412" s="121"/>
      <c r="J412" s="115">
        <f>'BOLETIM DE MEDIÇÃO 02'!O172-'MEMORIAL DE CALCULO 02'!K412</f>
        <v>0</v>
      </c>
      <c r="K412" s="98">
        <f t="shared" si="21"/>
        <v>0</v>
      </c>
      <c r="L412" s="98">
        <f t="shared" si="22"/>
        <v>0</v>
      </c>
      <c r="M412" s="98">
        <f>'BOLETIM DE MEDIÇÃO 02'!G172</f>
        <v>4</v>
      </c>
      <c r="N412" s="102">
        <f t="shared" si="23"/>
        <v>4</v>
      </c>
    </row>
    <row r="413" spans="2:14" ht="14.45" customHeight="1" x14ac:dyDescent="0.25">
      <c r="B413" s="54">
        <v>1.1499999999999999</v>
      </c>
      <c r="C413" s="68" t="s">
        <v>474</v>
      </c>
      <c r="D413" s="56"/>
      <c r="E413" s="47"/>
      <c r="F413" s="111"/>
      <c r="G413" s="122"/>
      <c r="H413" s="78"/>
      <c r="I413" s="121"/>
      <c r="J413" s="115"/>
      <c r="K413" s="97"/>
      <c r="L413" s="98"/>
      <c r="M413" s="98"/>
      <c r="N413" s="102"/>
    </row>
    <row r="414" spans="2:14" ht="33.75" hidden="1" x14ac:dyDescent="0.25">
      <c r="B414" s="53" t="s">
        <v>475</v>
      </c>
      <c r="C414" s="69">
        <v>99059</v>
      </c>
      <c r="D414" s="56" t="s">
        <v>36</v>
      </c>
      <c r="E414" s="47" t="s">
        <v>37</v>
      </c>
      <c r="F414" s="111">
        <v>1</v>
      </c>
      <c r="G414" s="122">
        <v>130.85</v>
      </c>
      <c r="H414" s="78"/>
      <c r="I414" s="121"/>
      <c r="J414" s="115">
        <f>'BOLETIM DE MEDIÇÃO 02'!O174-'MEMORIAL DE CALCULO 02'!K414</f>
        <v>0</v>
      </c>
      <c r="K414" s="97">
        <f>F414*G414</f>
        <v>130.85</v>
      </c>
      <c r="L414" s="98">
        <f t="shared" si="22"/>
        <v>130.85</v>
      </c>
      <c r="M414" s="98">
        <f>'BOLETIM DE MEDIÇÃO 02'!G174</f>
        <v>130.85</v>
      </c>
      <c r="N414" s="102">
        <f t="shared" si="23"/>
        <v>0</v>
      </c>
    </row>
    <row r="415" spans="2:14" ht="22.5" hidden="1" x14ac:dyDescent="0.25">
      <c r="B415" s="53" t="s">
        <v>476</v>
      </c>
      <c r="C415" s="69">
        <v>93358</v>
      </c>
      <c r="D415" s="56" t="s">
        <v>40</v>
      </c>
      <c r="E415" s="47" t="s">
        <v>41</v>
      </c>
      <c r="F415" s="111"/>
      <c r="G415" s="122"/>
      <c r="H415" s="78"/>
      <c r="I415" s="121"/>
      <c r="J415" s="115">
        <f>'BOLETIM DE MEDIÇÃO 02'!O175-'MEMORIAL DE CALCULO 02'!K415</f>
        <v>3.9520000000052846E-3</v>
      </c>
      <c r="K415" s="97">
        <f>SUM(K416:K417)</f>
        <v>32.676047999999994</v>
      </c>
      <c r="L415" s="98">
        <f t="shared" si="22"/>
        <v>32.68</v>
      </c>
      <c r="M415" s="98">
        <f>'BOLETIM DE MEDIÇÃO 02'!G175</f>
        <v>32.68</v>
      </c>
      <c r="N415" s="102">
        <f t="shared" si="23"/>
        <v>0</v>
      </c>
    </row>
    <row r="416" spans="2:14" hidden="1" x14ac:dyDescent="0.25">
      <c r="B416" s="53"/>
      <c r="C416" s="69"/>
      <c r="D416" s="142" t="s">
        <v>577</v>
      </c>
      <c r="E416" s="47"/>
      <c r="F416" s="111">
        <v>43</v>
      </c>
      <c r="G416" s="122">
        <v>0.6</v>
      </c>
      <c r="H416" s="78">
        <v>0.6</v>
      </c>
      <c r="I416" s="121">
        <v>1.3501000000000001</v>
      </c>
      <c r="J416" s="115"/>
      <c r="K416" s="98">
        <f>F416*(G416*H416*I416)</f>
        <v>20.899547999999999</v>
      </c>
      <c r="L416" s="98"/>
      <c r="M416" s="98"/>
      <c r="N416" s="102"/>
    </row>
    <row r="417" spans="2:14" hidden="1" x14ac:dyDescent="0.25">
      <c r="B417" s="53"/>
      <c r="C417" s="69"/>
      <c r="D417" s="142" t="s">
        <v>578</v>
      </c>
      <c r="E417" s="47"/>
      <c r="F417" s="111">
        <v>1</v>
      </c>
      <c r="G417" s="122">
        <v>130.85</v>
      </c>
      <c r="H417" s="78">
        <v>0.3</v>
      </c>
      <c r="I417" s="121">
        <v>0.3</v>
      </c>
      <c r="J417" s="115"/>
      <c r="K417" s="98">
        <f>F417*(G417*H417*I417)</f>
        <v>11.776499999999999</v>
      </c>
      <c r="L417" s="98"/>
      <c r="M417" s="98"/>
      <c r="N417" s="102"/>
    </row>
    <row r="418" spans="2:14" x14ac:dyDescent="0.25">
      <c r="B418" s="53" t="s">
        <v>477</v>
      </c>
      <c r="C418" s="69">
        <v>96995</v>
      </c>
      <c r="D418" s="56" t="s">
        <v>44</v>
      </c>
      <c r="E418" s="47" t="s">
        <v>41</v>
      </c>
      <c r="F418" s="111"/>
      <c r="G418" s="122"/>
      <c r="H418" s="78"/>
      <c r="I418" s="121"/>
      <c r="J418" s="115">
        <f>'BOLETIM DE MEDIÇÃO 02'!O176-'MEMORIAL DE CALCULO 02'!K418</f>
        <v>0</v>
      </c>
      <c r="K418" s="97">
        <f>G419</f>
        <v>11.01</v>
      </c>
      <c r="L418" s="98">
        <f t="shared" si="22"/>
        <v>11.01</v>
      </c>
      <c r="M418" s="98">
        <f>'BOLETIM DE MEDIÇÃO 02'!G176</f>
        <v>11.01</v>
      </c>
      <c r="N418" s="102">
        <f t="shared" si="23"/>
        <v>0</v>
      </c>
    </row>
    <row r="419" spans="2:14" x14ac:dyDescent="0.25">
      <c r="B419" s="53"/>
      <c r="C419" s="69"/>
      <c r="D419" s="142" t="s">
        <v>709</v>
      </c>
      <c r="E419" s="47"/>
      <c r="F419" s="111">
        <v>1</v>
      </c>
      <c r="G419" s="236">
        <v>11.01</v>
      </c>
      <c r="H419" s="237"/>
      <c r="I419" s="238"/>
      <c r="J419" s="115"/>
      <c r="K419" s="97"/>
      <c r="L419" s="98"/>
      <c r="M419" s="98"/>
      <c r="N419" s="102"/>
    </row>
    <row r="420" spans="2:14" x14ac:dyDescent="0.25">
      <c r="B420" s="53"/>
      <c r="C420" s="69"/>
      <c r="D420" s="142"/>
      <c r="E420" s="47"/>
      <c r="F420" s="111"/>
      <c r="G420" s="122"/>
      <c r="H420" s="78"/>
      <c r="I420" s="121"/>
      <c r="J420" s="115"/>
      <c r="K420" s="97"/>
      <c r="L420" s="98"/>
      <c r="M420" s="98"/>
      <c r="N420" s="102"/>
    </row>
    <row r="421" spans="2:14" ht="22.5" hidden="1" x14ac:dyDescent="0.25">
      <c r="B421" s="53" t="s">
        <v>478</v>
      </c>
      <c r="C421" s="69">
        <v>93205</v>
      </c>
      <c r="D421" s="56" t="s">
        <v>480</v>
      </c>
      <c r="E421" s="47" t="s">
        <v>37</v>
      </c>
      <c r="F421" s="111"/>
      <c r="G421" s="122"/>
      <c r="H421" s="78"/>
      <c r="I421" s="121"/>
      <c r="J421" s="115">
        <f>'BOLETIM DE MEDIÇÃO 02'!O177-'MEMORIAL DE CALCULO 02'!K421</f>
        <v>0</v>
      </c>
      <c r="K421" s="97"/>
      <c r="L421" s="98">
        <f t="shared" si="22"/>
        <v>0</v>
      </c>
      <c r="M421" s="98">
        <f>'BOLETIM DE MEDIÇÃO 02'!G177</f>
        <v>244.5</v>
      </c>
      <c r="N421" s="102">
        <f t="shared" si="23"/>
        <v>244.5</v>
      </c>
    </row>
    <row r="422" spans="2:14" ht="22.5" x14ac:dyDescent="0.25">
      <c r="B422" s="53" t="s">
        <v>481</v>
      </c>
      <c r="C422" s="69">
        <v>101616</v>
      </c>
      <c r="D422" s="56" t="s">
        <v>55</v>
      </c>
      <c r="E422" s="47" t="s">
        <v>17</v>
      </c>
      <c r="F422" s="111">
        <v>8</v>
      </c>
      <c r="G422" s="122">
        <v>0.6</v>
      </c>
      <c r="H422" s="78">
        <v>0.6</v>
      </c>
      <c r="I422" s="121"/>
      <c r="J422" s="115">
        <f>'BOLETIM DE MEDIÇÃO 02'!O178-'MEMORIAL DE CALCULO 02'!K422</f>
        <v>12.600000000000001</v>
      </c>
      <c r="K422" s="97">
        <f>(F422*G422*H422)</f>
        <v>2.88</v>
      </c>
      <c r="L422" s="98">
        <f t="shared" si="22"/>
        <v>15.48</v>
      </c>
      <c r="M422" s="98">
        <f>'BOLETIM DE MEDIÇÃO 02'!G178</f>
        <v>15.48</v>
      </c>
      <c r="N422" s="102">
        <f t="shared" si="23"/>
        <v>0</v>
      </c>
    </row>
    <row r="423" spans="2:14" ht="33.75" x14ac:dyDescent="0.25">
      <c r="B423" s="53" t="s">
        <v>482</v>
      </c>
      <c r="C423" s="69">
        <v>96619</v>
      </c>
      <c r="D423" s="56" t="s">
        <v>58</v>
      </c>
      <c r="E423" s="47" t="s">
        <v>17</v>
      </c>
      <c r="F423" s="111">
        <v>8</v>
      </c>
      <c r="G423" s="122">
        <v>0.6</v>
      </c>
      <c r="H423" s="78">
        <v>0.6</v>
      </c>
      <c r="I423" s="121"/>
      <c r="J423" s="115">
        <f>'BOLETIM DE MEDIÇÃO 02'!O179-'MEMORIAL DE CALCULO 02'!K423</f>
        <v>12.600000000000001</v>
      </c>
      <c r="K423" s="97">
        <f>(F423*G423*H423)</f>
        <v>2.88</v>
      </c>
      <c r="L423" s="98">
        <f t="shared" si="22"/>
        <v>15.48</v>
      </c>
      <c r="M423" s="98">
        <f>'BOLETIM DE MEDIÇÃO 02'!G179</f>
        <v>15.48</v>
      </c>
      <c r="N423" s="102">
        <f t="shared" si="23"/>
        <v>0</v>
      </c>
    </row>
    <row r="424" spans="2:14" ht="22.5" x14ac:dyDescent="0.25">
      <c r="B424" s="53" t="s">
        <v>483</v>
      </c>
      <c r="C424" s="71">
        <v>96545</v>
      </c>
      <c r="D424" s="70" t="s">
        <v>61</v>
      </c>
      <c r="E424" s="47" t="s">
        <v>62</v>
      </c>
      <c r="F424" s="111"/>
      <c r="G424" s="122"/>
      <c r="H424" s="47"/>
      <c r="I424" s="121"/>
      <c r="J424" s="115">
        <f>'BOLETIM DE MEDIÇÃO 02'!O180-'MEMORIAL DE CALCULO 02'!K424</f>
        <v>133.69999999999999</v>
      </c>
      <c r="K424" s="97">
        <f>G425</f>
        <v>33.43</v>
      </c>
      <c r="L424" s="98">
        <f t="shared" si="22"/>
        <v>167.13</v>
      </c>
      <c r="M424" s="98">
        <f>'BOLETIM DE MEDIÇÃO 02'!G180</f>
        <v>167.13</v>
      </c>
      <c r="N424" s="102">
        <f t="shared" si="23"/>
        <v>0</v>
      </c>
    </row>
    <row r="425" spans="2:14" ht="22.5" x14ac:dyDescent="0.25">
      <c r="B425" s="53"/>
      <c r="C425" s="71"/>
      <c r="D425" s="141" t="s">
        <v>710</v>
      </c>
      <c r="E425" s="47"/>
      <c r="F425" s="111">
        <v>1</v>
      </c>
      <c r="G425" s="122">
        <v>33.43</v>
      </c>
      <c r="H425" s="47"/>
      <c r="I425" s="121"/>
      <c r="J425" s="115"/>
      <c r="K425" s="97"/>
      <c r="L425" s="98"/>
      <c r="M425" s="98"/>
      <c r="N425" s="102"/>
    </row>
    <row r="426" spans="2:14" ht="33.75" x14ac:dyDescent="0.25">
      <c r="B426" s="53" t="s">
        <v>484</v>
      </c>
      <c r="C426" s="71">
        <v>94966</v>
      </c>
      <c r="D426" s="70" t="s">
        <v>65</v>
      </c>
      <c r="E426" s="47" t="s">
        <v>41</v>
      </c>
      <c r="F426" s="111"/>
      <c r="G426" s="122"/>
      <c r="H426" s="47"/>
      <c r="I426" s="121"/>
      <c r="J426" s="115">
        <f>'BOLETIM DE MEDIÇÃO 02'!O181-'MEMORIAL DE CALCULO 02'!K426</f>
        <v>4.5500000000000007</v>
      </c>
      <c r="K426" s="97">
        <f>SUM(K427:K428)</f>
        <v>1.04</v>
      </c>
      <c r="L426" s="98">
        <f t="shared" si="22"/>
        <v>5.5900000000000007</v>
      </c>
      <c r="M426" s="98">
        <f>'BOLETIM DE MEDIÇÃO 02'!G181</f>
        <v>9.89</v>
      </c>
      <c r="N426" s="102">
        <f t="shared" si="23"/>
        <v>4.3</v>
      </c>
    </row>
    <row r="427" spans="2:14" x14ac:dyDescent="0.25">
      <c r="B427" s="53"/>
      <c r="C427" s="71"/>
      <c r="D427" s="141" t="s">
        <v>579</v>
      </c>
      <c r="E427" s="47"/>
      <c r="F427" s="111">
        <v>8</v>
      </c>
      <c r="G427" s="153">
        <v>0.6</v>
      </c>
      <c r="H427" s="72">
        <v>0.6</v>
      </c>
      <c r="I427" s="121">
        <v>0.25</v>
      </c>
      <c r="J427" s="115"/>
      <c r="K427" s="97">
        <f>F427*(G427*H427*I427)</f>
        <v>0.72</v>
      </c>
      <c r="L427" s="98"/>
      <c r="M427" s="98"/>
      <c r="N427" s="102"/>
    </row>
    <row r="428" spans="2:14" x14ac:dyDescent="0.25">
      <c r="B428" s="53"/>
      <c r="C428" s="71"/>
      <c r="D428" s="141" t="s">
        <v>580</v>
      </c>
      <c r="E428" s="47"/>
      <c r="F428" s="154">
        <v>8</v>
      </c>
      <c r="G428" s="155">
        <v>0.2</v>
      </c>
      <c r="H428" s="72">
        <v>0.2</v>
      </c>
      <c r="I428" s="147">
        <v>1</v>
      </c>
      <c r="J428" s="115"/>
      <c r="K428" s="97">
        <f>F428*(G428*H428*I428)</f>
        <v>0.32000000000000006</v>
      </c>
      <c r="L428" s="98"/>
      <c r="M428" s="98"/>
      <c r="N428" s="102"/>
    </row>
    <row r="429" spans="2:14" x14ac:dyDescent="0.25">
      <c r="B429" s="53"/>
      <c r="C429" s="71"/>
      <c r="D429" s="70"/>
      <c r="E429" s="47"/>
      <c r="F429" s="111"/>
      <c r="G429" s="122"/>
      <c r="H429" s="47"/>
      <c r="I429" s="121"/>
      <c r="J429" s="115"/>
      <c r="K429" s="97"/>
      <c r="L429" s="98"/>
      <c r="M429" s="98"/>
      <c r="N429" s="102"/>
    </row>
    <row r="430" spans="2:14" ht="45" x14ac:dyDescent="0.25">
      <c r="B430" s="53" t="s">
        <v>485</v>
      </c>
      <c r="C430" s="69">
        <v>103800</v>
      </c>
      <c r="D430" s="56" t="s">
        <v>487</v>
      </c>
      <c r="E430" s="47" t="s">
        <v>41</v>
      </c>
      <c r="F430" s="111">
        <v>1</v>
      </c>
      <c r="G430" s="122">
        <v>120.88</v>
      </c>
      <c r="H430" s="78">
        <v>0.3</v>
      </c>
      <c r="I430" s="121">
        <v>0.3</v>
      </c>
      <c r="J430" s="115">
        <f>'BOLETIM DE MEDIÇÃO 02'!O182-'MEMORIAL DE CALCULO 02'!K430</f>
        <v>0.90080000000000204</v>
      </c>
      <c r="K430" s="97">
        <f>F430*(G430*H430*I430)</f>
        <v>10.879199999999999</v>
      </c>
      <c r="L430" s="98">
        <f t="shared" si="22"/>
        <v>11.780000000000001</v>
      </c>
      <c r="M430" s="98">
        <f>'BOLETIM DE MEDIÇÃO 02'!G182</f>
        <v>11.78</v>
      </c>
      <c r="N430" s="102">
        <f t="shared" si="23"/>
        <v>0</v>
      </c>
    </row>
    <row r="431" spans="2:14" ht="22.5" x14ac:dyDescent="0.25">
      <c r="B431" s="53" t="s">
        <v>488</v>
      </c>
      <c r="C431" s="69">
        <v>103670</v>
      </c>
      <c r="D431" s="56" t="s">
        <v>71</v>
      </c>
      <c r="E431" s="47" t="s">
        <v>41</v>
      </c>
      <c r="F431" s="111"/>
      <c r="G431" s="122"/>
      <c r="H431" s="78"/>
      <c r="I431" s="121"/>
      <c r="J431" s="115">
        <f>'BOLETIM DE MEDIÇÃO 02'!O183-'MEMORIAL DE CALCULO 02'!K431</f>
        <v>4.5500000000000007</v>
      </c>
      <c r="K431" s="97">
        <f>G432</f>
        <v>1.04</v>
      </c>
      <c r="L431" s="98">
        <f t="shared" si="22"/>
        <v>5.5900000000000007</v>
      </c>
      <c r="M431" s="98">
        <f>'BOLETIM DE MEDIÇÃO 02'!G183</f>
        <v>9.89</v>
      </c>
      <c r="N431" s="102">
        <f t="shared" si="23"/>
        <v>4.3</v>
      </c>
    </row>
    <row r="432" spans="2:14" x14ac:dyDescent="0.25">
      <c r="B432" s="53"/>
      <c r="C432" s="69"/>
      <c r="D432" s="142" t="s">
        <v>581</v>
      </c>
      <c r="E432" s="47"/>
      <c r="F432" s="111">
        <v>1</v>
      </c>
      <c r="G432" s="236">
        <f>K426</f>
        <v>1.04</v>
      </c>
      <c r="H432" s="237"/>
      <c r="I432" s="238"/>
      <c r="J432" s="115"/>
      <c r="K432" s="97"/>
      <c r="L432" s="98"/>
      <c r="M432" s="98"/>
      <c r="N432" s="102"/>
    </row>
    <row r="433" spans="1:14" ht="22.5" x14ac:dyDescent="0.25">
      <c r="B433" s="53" t="s">
        <v>489</v>
      </c>
      <c r="C433" s="69">
        <v>96543</v>
      </c>
      <c r="D433" s="56" t="s">
        <v>74</v>
      </c>
      <c r="E433" s="47" t="s">
        <v>62</v>
      </c>
      <c r="F433" s="111"/>
      <c r="G433" s="122" t="s">
        <v>583</v>
      </c>
      <c r="H433" s="78" t="s">
        <v>584</v>
      </c>
      <c r="I433" s="121" t="s">
        <v>585</v>
      </c>
      <c r="J433" s="115">
        <f>'BOLETIM DE MEDIÇÃO 02'!O184-'MEMORIAL DE CALCULO 02'!K433</f>
        <v>42.149799999999992</v>
      </c>
      <c r="K433" s="97">
        <f>K434</f>
        <v>9.6342399999999984</v>
      </c>
      <c r="L433" s="98">
        <f t="shared" si="22"/>
        <v>51.78403999999999</v>
      </c>
      <c r="M433" s="98">
        <f>'BOLETIM DE MEDIÇÃO 02'!G184</f>
        <v>162.02000000000001</v>
      </c>
      <c r="N433" s="102">
        <f t="shared" si="23"/>
        <v>110.23596000000002</v>
      </c>
    </row>
    <row r="434" spans="1:14" x14ac:dyDescent="0.25">
      <c r="B434" s="53"/>
      <c r="C434" s="69"/>
      <c r="D434" s="141" t="s">
        <v>582</v>
      </c>
      <c r="E434" s="47"/>
      <c r="F434" s="111">
        <v>8</v>
      </c>
      <c r="G434" s="122">
        <v>0.68</v>
      </c>
      <c r="H434" s="78">
        <v>0.1</v>
      </c>
      <c r="I434" s="121">
        <v>1.1499999999999999</v>
      </c>
      <c r="J434" s="161"/>
      <c r="K434" s="67">
        <f>(I434/H434)*G434*0.154*F434</f>
        <v>9.6342399999999984</v>
      </c>
      <c r="L434" s="98"/>
      <c r="M434" s="98"/>
      <c r="N434" s="102"/>
    </row>
    <row r="435" spans="1:14" ht="19.899999999999999" customHeight="1" x14ac:dyDescent="0.25">
      <c r="B435" s="53" t="s">
        <v>490</v>
      </c>
      <c r="C435" s="71">
        <v>96546</v>
      </c>
      <c r="D435" s="70" t="s">
        <v>80</v>
      </c>
      <c r="E435" s="47" t="s">
        <v>62</v>
      </c>
      <c r="F435" s="111"/>
      <c r="G435" s="236" t="s">
        <v>586</v>
      </c>
      <c r="H435" s="239"/>
      <c r="I435" s="146" t="s">
        <v>587</v>
      </c>
      <c r="J435" s="115">
        <f>'BOLETIM DE MEDIÇÃO 02'!O185-'MEMORIAL DE CALCULO 02'!K435</f>
        <v>99.336999999999989</v>
      </c>
      <c r="K435" s="97">
        <f>K436</f>
        <v>22.705599999999997</v>
      </c>
      <c r="L435" s="98">
        <f t="shared" si="22"/>
        <v>122.04259999999999</v>
      </c>
      <c r="M435" s="98">
        <f>'BOLETIM DE MEDIÇÃO 02'!G185</f>
        <v>377.8</v>
      </c>
      <c r="N435" s="102">
        <f t="shared" si="23"/>
        <v>255.75740000000002</v>
      </c>
    </row>
    <row r="436" spans="1:14" ht="19.899999999999999" customHeight="1" x14ac:dyDescent="0.25">
      <c r="B436" s="143"/>
      <c r="C436" s="144"/>
      <c r="D436" s="141" t="s">
        <v>582</v>
      </c>
      <c r="E436" s="47"/>
      <c r="F436" s="111">
        <v>8</v>
      </c>
      <c r="G436" s="236">
        <v>4</v>
      </c>
      <c r="H436" s="239"/>
      <c r="I436" s="121">
        <v>1.1499999999999999</v>
      </c>
      <c r="J436" s="161"/>
      <c r="K436" s="67">
        <f>I436*G436*F436*0.617</f>
        <v>22.705599999999997</v>
      </c>
      <c r="L436" s="98"/>
      <c r="M436" s="98"/>
      <c r="N436" s="102"/>
    </row>
    <row r="437" spans="1:14" ht="34.5" thickBot="1" x14ac:dyDescent="0.3">
      <c r="B437" s="143" t="s">
        <v>491</v>
      </c>
      <c r="C437" s="148">
        <v>96536</v>
      </c>
      <c r="D437" s="88" t="s">
        <v>86</v>
      </c>
      <c r="E437" s="89" t="s">
        <v>17</v>
      </c>
      <c r="F437" s="156"/>
      <c r="G437" s="157"/>
      <c r="H437" s="158"/>
      <c r="I437" s="121"/>
      <c r="J437" s="115">
        <f>'BOLETIM DE MEDIÇÃO 02'!O186-'MEMORIAL DE CALCULO 02'!K437</f>
        <v>53.2</v>
      </c>
      <c r="K437" s="97">
        <f>SUM(K438:K439)</f>
        <v>12.16</v>
      </c>
      <c r="L437" s="98">
        <f t="shared" si="22"/>
        <v>65.36</v>
      </c>
      <c r="M437" s="98">
        <f>'BOLETIM DE MEDIÇÃO 02'!G186</f>
        <v>149.6</v>
      </c>
      <c r="N437" s="102">
        <f t="shared" si="23"/>
        <v>84.24</v>
      </c>
    </row>
    <row r="438" spans="1:14" x14ac:dyDescent="0.25">
      <c r="A438" s="93"/>
      <c r="B438" s="53"/>
      <c r="C438" s="71"/>
      <c r="D438" s="141" t="s">
        <v>588</v>
      </c>
      <c r="E438" s="47"/>
      <c r="F438" s="111">
        <v>8</v>
      </c>
      <c r="G438" s="122">
        <v>0.6</v>
      </c>
      <c r="H438" s="145">
        <v>0.6</v>
      </c>
      <c r="I438" s="151">
        <v>0.3</v>
      </c>
      <c r="J438" s="161"/>
      <c r="K438" s="67">
        <f>((G438*I438*2)+(H438*I438*2))*F438</f>
        <v>5.76</v>
      </c>
      <c r="L438" s="98"/>
      <c r="M438" s="98"/>
      <c r="N438" s="102"/>
    </row>
    <row r="439" spans="1:14" ht="15.75" thickBot="1" x14ac:dyDescent="0.3">
      <c r="A439" s="93"/>
      <c r="B439" s="86"/>
      <c r="C439" s="149"/>
      <c r="D439" s="150" t="s">
        <v>582</v>
      </c>
      <c r="E439" s="89"/>
      <c r="F439" s="159">
        <v>8</v>
      </c>
      <c r="G439" s="160">
        <v>0.2</v>
      </c>
      <c r="H439" s="131">
        <v>0.2</v>
      </c>
      <c r="I439" s="123">
        <v>1</v>
      </c>
      <c r="J439" s="161"/>
      <c r="K439" s="92">
        <f>((G439*I439*2)+(H439*I439*2))*F439</f>
        <v>6.4</v>
      </c>
      <c r="L439" s="100"/>
      <c r="M439" s="100"/>
      <c r="N439" s="103"/>
    </row>
    <row r="440" spans="1:14" ht="23.25" hidden="1" thickBot="1" x14ac:dyDescent="0.3">
      <c r="B440" s="127" t="s">
        <v>492</v>
      </c>
      <c r="C440" s="128">
        <v>98557</v>
      </c>
      <c r="D440" s="129" t="s">
        <v>89</v>
      </c>
      <c r="E440" s="130" t="s">
        <v>17</v>
      </c>
      <c r="F440" s="116"/>
      <c r="G440" s="116"/>
      <c r="H440" s="116"/>
      <c r="I440" s="117"/>
      <c r="J440" s="117">
        <f>'BOLETIM DE MEDIÇÃO 02'!O187-'MEMORIAL DE CALCULO 02'!K440</f>
        <v>0</v>
      </c>
      <c r="K440" s="124"/>
      <c r="L440" s="125">
        <f t="shared" si="22"/>
        <v>0</v>
      </c>
      <c r="M440" s="125">
        <f>'BOLETIM DE MEDIÇÃO 02'!G187</f>
        <v>65.430000000000007</v>
      </c>
      <c r="N440" s="126">
        <f t="shared" si="23"/>
        <v>65.430000000000007</v>
      </c>
    </row>
    <row r="441" spans="1:14" ht="45.75" hidden="1" thickBot="1" x14ac:dyDescent="0.3">
      <c r="B441" s="53" t="s">
        <v>493</v>
      </c>
      <c r="C441" s="69">
        <v>103356</v>
      </c>
      <c r="D441" s="56" t="s">
        <v>137</v>
      </c>
      <c r="E441" s="47" t="s">
        <v>17</v>
      </c>
      <c r="F441" s="32"/>
      <c r="G441" s="32"/>
      <c r="H441" s="32"/>
      <c r="I441" s="67"/>
      <c r="J441" s="67">
        <f>'BOLETIM DE MEDIÇÃO 02'!O188-'MEMORIAL DE CALCULO 02'!K441</f>
        <v>0</v>
      </c>
      <c r="K441" s="48"/>
      <c r="L441" s="98">
        <f t="shared" si="22"/>
        <v>0</v>
      </c>
      <c r="M441" s="98">
        <f>'BOLETIM DE MEDIÇÃO 02'!G188</f>
        <v>405.64</v>
      </c>
      <c r="N441" s="102">
        <f t="shared" si="23"/>
        <v>405.64</v>
      </c>
    </row>
    <row r="442" spans="1:14" ht="45.75" hidden="1" thickBot="1" x14ac:dyDescent="0.3">
      <c r="B442" s="53" t="s">
        <v>494</v>
      </c>
      <c r="C442" s="69">
        <v>87893</v>
      </c>
      <c r="D442" s="56" t="s">
        <v>151</v>
      </c>
      <c r="E442" s="47" t="s">
        <v>17</v>
      </c>
      <c r="F442" s="32"/>
      <c r="G442" s="32"/>
      <c r="H442" s="32"/>
      <c r="I442" s="67"/>
      <c r="J442" s="67">
        <f>'BOLETIM DE MEDIÇÃO 02'!O189-'MEMORIAL DE CALCULO 02'!K442</f>
        <v>0</v>
      </c>
      <c r="K442" s="48"/>
      <c r="L442" s="98">
        <f t="shared" si="22"/>
        <v>0</v>
      </c>
      <c r="M442" s="98">
        <f>'BOLETIM DE MEDIÇÃO 02'!G189</f>
        <v>811.27</v>
      </c>
      <c r="N442" s="102">
        <f t="shared" si="23"/>
        <v>811.27</v>
      </c>
    </row>
    <row r="443" spans="1:14" ht="57" hidden="1" thickBot="1" x14ac:dyDescent="0.3">
      <c r="B443" s="53" t="s">
        <v>495</v>
      </c>
      <c r="C443" s="69">
        <v>87548</v>
      </c>
      <c r="D443" s="56" t="s">
        <v>154</v>
      </c>
      <c r="E443" s="47" t="s">
        <v>17</v>
      </c>
      <c r="F443" s="32"/>
      <c r="G443" s="32"/>
      <c r="H443" s="32"/>
      <c r="I443" s="67"/>
      <c r="J443" s="67">
        <f>'BOLETIM DE MEDIÇÃO 02'!O190-'MEMORIAL DE CALCULO 02'!K443</f>
        <v>0</v>
      </c>
      <c r="K443" s="48"/>
      <c r="L443" s="98">
        <f t="shared" si="22"/>
        <v>0</v>
      </c>
      <c r="M443" s="98">
        <f>'BOLETIM DE MEDIÇÃO 02'!G190</f>
        <v>811.27</v>
      </c>
      <c r="N443" s="102">
        <f t="shared" si="23"/>
        <v>811.27</v>
      </c>
    </row>
    <row r="444" spans="1:14" ht="23.25" hidden="1" thickBot="1" x14ac:dyDescent="0.3">
      <c r="B444" s="53" t="s">
        <v>496</v>
      </c>
      <c r="C444" s="69">
        <v>88489</v>
      </c>
      <c r="D444" s="56" t="s">
        <v>198</v>
      </c>
      <c r="E444" s="47" t="s">
        <v>17</v>
      </c>
      <c r="F444" s="32"/>
      <c r="G444" s="32"/>
      <c r="H444" s="32"/>
      <c r="I444" s="67"/>
      <c r="J444" s="67">
        <f>'BOLETIM DE MEDIÇÃO 02'!O191-'MEMORIAL DE CALCULO 02'!K444</f>
        <v>0</v>
      </c>
      <c r="K444" s="48"/>
      <c r="L444" s="98">
        <f t="shared" si="22"/>
        <v>0</v>
      </c>
      <c r="M444" s="98">
        <f>'BOLETIM DE MEDIÇÃO 02'!G191</f>
        <v>811.27</v>
      </c>
      <c r="N444" s="102">
        <f t="shared" si="23"/>
        <v>811.27</v>
      </c>
    </row>
    <row r="445" spans="1:14" ht="23.25" hidden="1" thickBot="1" x14ac:dyDescent="0.3">
      <c r="B445" s="53" t="s">
        <v>497</v>
      </c>
      <c r="C445" s="69">
        <v>95305</v>
      </c>
      <c r="D445" s="56" t="s">
        <v>499</v>
      </c>
      <c r="E445" s="47" t="s">
        <v>17</v>
      </c>
      <c r="F445" s="32"/>
      <c r="G445" s="32"/>
      <c r="H445" s="32"/>
      <c r="I445" s="67"/>
      <c r="J445" s="67">
        <f>'BOLETIM DE MEDIÇÃO 02'!O192-'MEMORIAL DE CALCULO 02'!K445</f>
        <v>0</v>
      </c>
      <c r="K445" s="48"/>
      <c r="L445" s="98">
        <f t="shared" si="22"/>
        <v>0</v>
      </c>
      <c r="M445" s="98">
        <f>'BOLETIM DE MEDIÇÃO 02'!G192</f>
        <v>811.27</v>
      </c>
      <c r="N445" s="102">
        <f t="shared" si="23"/>
        <v>811.27</v>
      </c>
    </row>
    <row r="446" spans="1:14" ht="14.45" hidden="1" customHeight="1" x14ac:dyDescent="0.25">
      <c r="B446" s="54">
        <v>1.1599999999999999</v>
      </c>
      <c r="C446" s="68" t="s">
        <v>501</v>
      </c>
      <c r="D446" s="56"/>
      <c r="E446" s="47"/>
      <c r="F446" s="32"/>
      <c r="G446" s="32"/>
      <c r="H446" s="30"/>
      <c r="I446" s="67"/>
      <c r="J446" s="67"/>
      <c r="K446" s="48"/>
      <c r="L446" s="98"/>
      <c r="M446" s="98"/>
      <c r="N446" s="102"/>
    </row>
    <row r="447" spans="1:14" ht="34.5" hidden="1" thickBot="1" x14ac:dyDescent="0.3">
      <c r="B447" s="53" t="s">
        <v>502</v>
      </c>
      <c r="C447" s="62" t="s">
        <v>503</v>
      </c>
      <c r="D447" s="56" t="s">
        <v>504</v>
      </c>
      <c r="E447" s="47" t="s">
        <v>166</v>
      </c>
      <c r="F447" s="32"/>
      <c r="G447" s="32"/>
      <c r="H447" s="32"/>
      <c r="I447" s="67"/>
      <c r="J447" s="67">
        <f>'BOLETIM DE MEDIÇÃO 02'!O194-'MEMORIAL DE CALCULO 02'!K447</f>
        <v>0</v>
      </c>
      <c r="K447" s="48"/>
      <c r="L447" s="98">
        <f t="shared" si="22"/>
        <v>0</v>
      </c>
      <c r="M447" s="98">
        <f>'BOLETIM DE MEDIÇÃO 02'!G194</f>
        <v>2</v>
      </c>
      <c r="N447" s="102">
        <f t="shared" si="23"/>
        <v>2</v>
      </c>
    </row>
    <row r="448" spans="1:14" ht="45.75" hidden="1" thickBot="1" x14ac:dyDescent="0.3">
      <c r="B448" s="86" t="s">
        <v>505</v>
      </c>
      <c r="C448" s="87" t="s">
        <v>506</v>
      </c>
      <c r="D448" s="88" t="s">
        <v>507</v>
      </c>
      <c r="E448" s="89" t="s">
        <v>166</v>
      </c>
      <c r="F448" s="90"/>
      <c r="G448" s="90"/>
      <c r="H448" s="90"/>
      <c r="I448" s="92"/>
      <c r="J448" s="84">
        <f>'BOLETIM DE MEDIÇÃO 02'!O195-'MEMORIAL DE CALCULO 02'!K448</f>
        <v>0</v>
      </c>
      <c r="K448" s="99"/>
      <c r="L448" s="100">
        <f t="shared" si="22"/>
        <v>0</v>
      </c>
      <c r="M448" s="100">
        <f>'BOLETIM DE MEDIÇÃO 02'!G195</f>
        <v>1</v>
      </c>
      <c r="N448" s="103">
        <f t="shared" si="23"/>
        <v>1</v>
      </c>
    </row>
    <row r="449" spans="10:10" x14ac:dyDescent="0.25">
      <c r="J449" s="101"/>
    </row>
    <row r="451" spans="10:10" ht="24" customHeight="1" x14ac:dyDescent="0.25"/>
  </sheetData>
  <mergeCells count="182">
    <mergeCell ref="G419:I419"/>
    <mergeCell ref="G100:I100"/>
    <mergeCell ref="G108:H108"/>
    <mergeCell ref="G109:H109"/>
    <mergeCell ref="G110:H110"/>
    <mergeCell ref="G111:H111"/>
    <mergeCell ref="G112:H112"/>
    <mergeCell ref="G113:H113"/>
    <mergeCell ref="G114:H114"/>
    <mergeCell ref="G115:H115"/>
    <mergeCell ref="G116:H116"/>
    <mergeCell ref="G117:H117"/>
    <mergeCell ref="G118:H118"/>
    <mergeCell ref="G119:H119"/>
    <mergeCell ref="G120:H120"/>
    <mergeCell ref="G121:H121"/>
    <mergeCell ref="G122:H122"/>
    <mergeCell ref="G123:H123"/>
    <mergeCell ref="G124:H124"/>
    <mergeCell ref="G125:H125"/>
    <mergeCell ref="G126:H126"/>
    <mergeCell ref="G127:H127"/>
    <mergeCell ref="G136:H136"/>
    <mergeCell ref="G54:I54"/>
    <mergeCell ref="G128:H128"/>
    <mergeCell ref="G129:H129"/>
    <mergeCell ref="G130:H130"/>
    <mergeCell ref="G131:H131"/>
    <mergeCell ref="G132:H132"/>
    <mergeCell ref="G133:H133"/>
    <mergeCell ref="G134:H134"/>
    <mergeCell ref="G135:H135"/>
    <mergeCell ref="G137:H137"/>
    <mergeCell ref="G138:H138"/>
    <mergeCell ref="G237:H237"/>
    <mergeCell ref="G154:H154"/>
    <mergeCell ref="G155:H155"/>
    <mergeCell ref="G156:H156"/>
    <mergeCell ref="G157:H157"/>
    <mergeCell ref="G158:H158"/>
    <mergeCell ref="G159:H159"/>
    <mergeCell ref="G160:H160"/>
    <mergeCell ref="G161:H161"/>
    <mergeCell ref="G162:H162"/>
    <mergeCell ref="G163:H163"/>
    <mergeCell ref="G164:H164"/>
    <mergeCell ref="G165:H165"/>
    <mergeCell ref="G166:H166"/>
    <mergeCell ref="G167:H167"/>
    <mergeCell ref="G168:H168"/>
    <mergeCell ref="G232:H232"/>
    <mergeCell ref="G233:H233"/>
    <mergeCell ref="G234:H234"/>
    <mergeCell ref="G235:H235"/>
    <mergeCell ref="G236:H236"/>
    <mergeCell ref="G229:H229"/>
    <mergeCell ref="G222:H222"/>
    <mergeCell ref="G230:H230"/>
    <mergeCell ref="G231:H231"/>
    <mergeCell ref="G224:H224"/>
    <mergeCell ref="G225:H225"/>
    <mergeCell ref="G226:H226"/>
    <mergeCell ref="G227:H227"/>
    <mergeCell ref="G228:H228"/>
    <mergeCell ref="G432:I432"/>
    <mergeCell ref="G247:H247"/>
    <mergeCell ref="G248:H248"/>
    <mergeCell ref="G249:H249"/>
    <mergeCell ref="G250:H250"/>
    <mergeCell ref="G251:H251"/>
    <mergeCell ref="G252:H252"/>
    <mergeCell ref="G253:H253"/>
    <mergeCell ref="G254:H254"/>
    <mergeCell ref="G255:H255"/>
    <mergeCell ref="G256:H256"/>
    <mergeCell ref="G257:H257"/>
    <mergeCell ref="G258:H258"/>
    <mergeCell ref="G259:H259"/>
    <mergeCell ref="G260:H260"/>
    <mergeCell ref="G261:H261"/>
    <mergeCell ref="G435:H435"/>
    <mergeCell ref="G436:H436"/>
    <mergeCell ref="J8:M8"/>
    <mergeCell ref="B10:B11"/>
    <mergeCell ref="C10:C11"/>
    <mergeCell ref="D10:D11"/>
    <mergeCell ref="E10:E11"/>
    <mergeCell ref="F10:F11"/>
    <mergeCell ref="G10:I10"/>
    <mergeCell ref="J10:N10"/>
    <mergeCell ref="G22:I22"/>
    <mergeCell ref="G20:I20"/>
    <mergeCell ref="G50:I50"/>
    <mergeCell ref="G217:H217"/>
    <mergeCell ref="G223:H223"/>
    <mergeCell ref="G51:I51"/>
    <mergeCell ref="G91:H91"/>
    <mergeCell ref="G92:H92"/>
    <mergeCell ref="G93:H93"/>
    <mergeCell ref="G94:H94"/>
    <mergeCell ref="G95:H95"/>
    <mergeCell ref="G96:H96"/>
    <mergeCell ref="G97:H97"/>
    <mergeCell ref="G98:H98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G139:I139"/>
    <mergeCell ref="G149:I149"/>
    <mergeCell ref="G152:I152"/>
    <mergeCell ref="G185:H185"/>
    <mergeCell ref="G186:H186"/>
    <mergeCell ref="G169:H169"/>
    <mergeCell ref="G170:H170"/>
    <mergeCell ref="G171:H171"/>
    <mergeCell ref="G172:H172"/>
    <mergeCell ref="G173:H173"/>
    <mergeCell ref="G174:H174"/>
    <mergeCell ref="G175:H175"/>
    <mergeCell ref="G176:H176"/>
    <mergeCell ref="G177:H177"/>
    <mergeCell ref="G178:H178"/>
    <mergeCell ref="G179:H179"/>
    <mergeCell ref="G180:H180"/>
    <mergeCell ref="G181:H181"/>
    <mergeCell ref="G182:H182"/>
    <mergeCell ref="G183:H183"/>
    <mergeCell ref="G184:H184"/>
    <mergeCell ref="G150:I150"/>
    <mergeCell ref="G187:H187"/>
    <mergeCell ref="G188:H188"/>
    <mergeCell ref="G189:H189"/>
    <mergeCell ref="G190:H190"/>
    <mergeCell ref="G191:H191"/>
    <mergeCell ref="G192:H192"/>
    <mergeCell ref="G194:I194"/>
    <mergeCell ref="G197:H197"/>
    <mergeCell ref="G198:H198"/>
    <mergeCell ref="G199:H199"/>
    <mergeCell ref="G200:H200"/>
    <mergeCell ref="G201:H201"/>
    <mergeCell ref="G202:H202"/>
    <mergeCell ref="G203:H203"/>
    <mergeCell ref="G204:H204"/>
    <mergeCell ref="G205:H205"/>
    <mergeCell ref="G206:H206"/>
    <mergeCell ref="G207:H207"/>
    <mergeCell ref="G208:H208"/>
    <mergeCell ref="G210:H210"/>
    <mergeCell ref="G209:H209"/>
    <mergeCell ref="G211:H211"/>
    <mergeCell ref="G212:H212"/>
    <mergeCell ref="G219:H219"/>
    <mergeCell ref="G220:H220"/>
    <mergeCell ref="G213:H213"/>
    <mergeCell ref="G214:H214"/>
    <mergeCell ref="G215:H215"/>
    <mergeCell ref="G216:H216"/>
    <mergeCell ref="G218:H218"/>
    <mergeCell ref="G262:H262"/>
    <mergeCell ref="G263:H263"/>
    <mergeCell ref="G264:H264"/>
    <mergeCell ref="G274:H274"/>
    <mergeCell ref="G275:H275"/>
    <mergeCell ref="G276:H276"/>
    <mergeCell ref="G277:H277"/>
    <mergeCell ref="G265:H265"/>
    <mergeCell ref="G266:H266"/>
    <mergeCell ref="G267:H267"/>
    <mergeCell ref="G268:H268"/>
    <mergeCell ref="G269:H269"/>
    <mergeCell ref="G270:H270"/>
    <mergeCell ref="G271:H271"/>
    <mergeCell ref="G272:H272"/>
    <mergeCell ref="G273:H273"/>
  </mergeCells>
  <phoneticPr fontId="20" type="noConversion"/>
  <pageMargins left="0.511811024" right="0.511811024" top="0.78740157499999996" bottom="0.78740157499999996" header="0.31496062000000002" footer="0.31496062000000002"/>
  <pageSetup paperSize="9" scale="71" fitToHeight="0" orientation="landscape" r:id="rId1"/>
  <ignoredErrors>
    <ignoredError sqref="K18 K20:K21 G227 G164 G166 G179 G182 K64 K66:K68 G275 K136:K137" formula="1"/>
  </ignoredError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ABFB0-1350-4595-8AE3-574C97085B82}">
  <sheetPr>
    <pageSetUpPr fitToPage="1"/>
  </sheetPr>
  <dimension ref="B1:Z198"/>
  <sheetViews>
    <sheetView topLeftCell="A91" zoomScale="89" zoomScaleNormal="100" workbookViewId="0">
      <selection activeCell="H104" sqref="H10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0" hidden="1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197" t="s">
        <v>567</v>
      </c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W2" s="198"/>
      <c r="X2" s="198"/>
      <c r="Y2" s="198"/>
      <c r="Z2" s="199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200"/>
      <c r="Z3" s="201"/>
    </row>
    <row r="4" spans="2:26" ht="16.5" x14ac:dyDescent="0.25">
      <c r="B4" s="206" t="s">
        <v>542</v>
      </c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16" t="s">
        <v>544</v>
      </c>
      <c r="P4" s="96" t="s">
        <v>555</v>
      </c>
      <c r="Q4" s="208">
        <v>1240378.43</v>
      </c>
      <c r="R4" s="209"/>
      <c r="S4" s="209"/>
      <c r="T4" s="209"/>
      <c r="U4" s="209"/>
      <c r="V4" s="209"/>
      <c r="W4" s="209"/>
      <c r="X4" s="209"/>
      <c r="Y4" s="202"/>
      <c r="Z4" s="203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202"/>
      <c r="Z5" s="203"/>
    </row>
    <row r="6" spans="2:26" ht="16.5" x14ac:dyDescent="0.25">
      <c r="B6" s="206" t="s">
        <v>518</v>
      </c>
      <c r="C6" s="207"/>
      <c r="D6" s="210"/>
      <c r="E6" s="211" t="s">
        <v>519</v>
      </c>
      <c r="F6" s="207"/>
      <c r="G6" s="207"/>
      <c r="H6" s="207"/>
      <c r="I6" s="207"/>
      <c r="J6" s="207"/>
      <c r="K6" s="207"/>
      <c r="L6" s="207"/>
      <c r="M6" s="207"/>
      <c r="N6" s="207"/>
      <c r="O6" s="212" t="s">
        <v>592</v>
      </c>
      <c r="P6" s="213"/>
      <c r="Q6" s="213"/>
      <c r="R6" s="213"/>
      <c r="S6" s="213"/>
      <c r="T6" s="213"/>
      <c r="U6" s="213"/>
      <c r="V6" s="213"/>
      <c r="W6" s="213"/>
      <c r="X6" s="213"/>
      <c r="Y6" s="202"/>
      <c r="Z6" s="203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202"/>
      <c r="Z7" s="203"/>
    </row>
    <row r="8" spans="2:26" ht="17.25" thickBot="1" x14ac:dyDescent="0.3">
      <c r="B8" s="214">
        <v>45281</v>
      </c>
      <c r="C8" s="215"/>
      <c r="D8" s="23" t="s">
        <v>595</v>
      </c>
      <c r="E8" s="231">
        <f>'BOLETIM DE MEDIÇÃO 02'!E8</f>
        <v>61443.00776244999</v>
      </c>
      <c r="F8" s="232"/>
      <c r="G8" s="233"/>
      <c r="H8" s="234">
        <f>'BOLETIM DE MEDIÇÃO 02'!H8</f>
        <v>66571.964737500035</v>
      </c>
      <c r="I8" s="235"/>
      <c r="J8" s="235"/>
      <c r="K8" s="235"/>
      <c r="L8" s="235"/>
      <c r="M8" s="235"/>
      <c r="N8" s="235"/>
      <c r="O8" s="235"/>
      <c r="P8" s="251"/>
      <c r="Q8" s="216" t="s">
        <v>545</v>
      </c>
      <c r="R8" s="217"/>
      <c r="S8" s="217"/>
      <c r="T8" s="217"/>
      <c r="U8" s="217"/>
      <c r="V8" s="217"/>
      <c r="W8" s="217"/>
      <c r="X8" s="217"/>
      <c r="Y8" s="204"/>
      <c r="Z8" s="205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249" t="s">
        <v>565</v>
      </c>
      <c r="C10" s="250"/>
      <c r="D10" s="250"/>
      <c r="E10" s="250"/>
      <c r="F10" s="250"/>
      <c r="G10" s="250"/>
      <c r="H10" s="250"/>
      <c r="I10" s="250"/>
      <c r="J10" s="250"/>
      <c r="K10" s="250"/>
      <c r="L10" s="250"/>
      <c r="M10" s="250"/>
      <c r="N10" s="250"/>
      <c r="O10" s="250"/>
      <c r="P10" s="250"/>
      <c r="Q10" s="250"/>
      <c r="R10" s="250"/>
      <c r="S10" s="250"/>
      <c r="T10" s="250"/>
      <c r="U10" s="250"/>
      <c r="V10" s="250"/>
      <c r="W10" s="250"/>
      <c r="X10" s="250"/>
      <c r="Y10" s="250"/>
      <c r="Z10" s="250"/>
    </row>
    <row r="11" spans="2:26" ht="10.9" customHeight="1" thickBot="1" x14ac:dyDescent="0.3">
      <c r="B11" s="250"/>
      <c r="C11" s="250"/>
      <c r="D11" s="250"/>
      <c r="E11" s="250"/>
      <c r="F11" s="250"/>
      <c r="G11" s="250"/>
      <c r="H11" s="250"/>
      <c r="I11" s="250"/>
      <c r="J11" s="250"/>
      <c r="K11" s="250"/>
      <c r="L11" s="250"/>
      <c r="M11" s="250"/>
      <c r="N11" s="250"/>
      <c r="O11" s="250"/>
      <c r="P11" s="250"/>
      <c r="Q11" s="250"/>
      <c r="R11" s="250"/>
      <c r="S11" s="250"/>
      <c r="T11" s="250"/>
      <c r="U11" s="250"/>
      <c r="V11" s="250"/>
      <c r="W11" s="250"/>
      <c r="X11" s="250"/>
      <c r="Y11" s="250"/>
      <c r="Z11" s="250"/>
    </row>
    <row r="12" spans="2:26" ht="14.45" customHeight="1" x14ac:dyDescent="0.25"/>
    <row r="17" spans="4:4" x14ac:dyDescent="0.25">
      <c r="D17" s="139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B10:Z11"/>
    <mergeCell ref="Q8:X8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60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86A81-4B7E-433C-9690-7CEB2B63339A}">
  <sheetPr>
    <pageSetUpPr fitToPage="1"/>
  </sheetPr>
  <dimension ref="B1:Z198"/>
  <sheetViews>
    <sheetView view="pageBreakPreview" topLeftCell="A52" zoomScale="60" zoomScaleNormal="74" workbookViewId="0">
      <selection activeCell="AF21" sqref="AF21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0" hidden="1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197" t="s">
        <v>598</v>
      </c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W2" s="198"/>
      <c r="X2" s="198"/>
      <c r="Y2" s="198"/>
      <c r="Z2" s="199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200"/>
      <c r="Z3" s="201"/>
    </row>
    <row r="4" spans="2:26" ht="16.5" x14ac:dyDescent="0.25">
      <c r="B4" s="206" t="s">
        <v>542</v>
      </c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16" t="s">
        <v>544</v>
      </c>
      <c r="P4" s="96" t="s">
        <v>555</v>
      </c>
      <c r="Q4" s="208">
        <v>1240378.43</v>
      </c>
      <c r="R4" s="209"/>
      <c r="S4" s="209"/>
      <c r="T4" s="209"/>
      <c r="U4" s="209"/>
      <c r="V4" s="209"/>
      <c r="W4" s="209"/>
      <c r="X4" s="209"/>
      <c r="Y4" s="202"/>
      <c r="Z4" s="203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202"/>
      <c r="Z5" s="203"/>
    </row>
    <row r="6" spans="2:26" ht="16.5" x14ac:dyDescent="0.25">
      <c r="B6" s="206" t="s">
        <v>518</v>
      </c>
      <c r="C6" s="207"/>
      <c r="D6" s="210"/>
      <c r="E6" s="211" t="s">
        <v>519</v>
      </c>
      <c r="F6" s="207"/>
      <c r="G6" s="207"/>
      <c r="H6" s="207"/>
      <c r="I6" s="207"/>
      <c r="J6" s="207"/>
      <c r="K6" s="207"/>
      <c r="L6" s="207"/>
      <c r="M6" s="207"/>
      <c r="N6" s="207"/>
      <c r="O6" s="212" t="s">
        <v>592</v>
      </c>
      <c r="P6" s="213"/>
      <c r="Q6" s="213"/>
      <c r="R6" s="213"/>
      <c r="S6" s="213"/>
      <c r="T6" s="213"/>
      <c r="U6" s="213"/>
      <c r="V6" s="213"/>
      <c r="W6" s="213"/>
      <c r="X6" s="213"/>
      <c r="Y6" s="202"/>
      <c r="Z6" s="203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202"/>
      <c r="Z7" s="203"/>
    </row>
    <row r="8" spans="2:26" ht="17.25" thickBot="1" x14ac:dyDescent="0.3">
      <c r="B8" s="214">
        <v>45291</v>
      </c>
      <c r="C8" s="215"/>
      <c r="D8" s="23" t="s">
        <v>711</v>
      </c>
      <c r="E8" s="231">
        <f>'BOLETIM DE MEDIÇÃO 02'!E8</f>
        <v>61443.00776244999</v>
      </c>
      <c r="F8" s="232"/>
      <c r="G8" s="233"/>
      <c r="H8" s="234">
        <f>'BOLETIM DE MEDIÇÃO 02'!H8</f>
        <v>66571.964737500035</v>
      </c>
      <c r="I8" s="235"/>
      <c r="J8" s="235"/>
      <c r="K8" s="235"/>
      <c r="L8" s="235"/>
      <c r="M8" s="235"/>
      <c r="N8" s="235"/>
      <c r="O8" s="235"/>
      <c r="P8" s="251"/>
      <c r="Q8" s="216" t="s">
        <v>597</v>
      </c>
      <c r="R8" s="217"/>
      <c r="S8" s="217"/>
      <c r="T8" s="217"/>
      <c r="U8" s="217"/>
      <c r="V8" s="217"/>
      <c r="W8" s="217"/>
      <c r="X8" s="217"/>
      <c r="Y8" s="204"/>
      <c r="Z8" s="205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249" t="s">
        <v>565</v>
      </c>
      <c r="C10" s="250"/>
      <c r="D10" s="250"/>
      <c r="E10" s="250"/>
      <c r="F10" s="250"/>
      <c r="G10" s="250"/>
      <c r="H10" s="250"/>
      <c r="I10" s="250"/>
      <c r="J10" s="250"/>
      <c r="K10" s="250"/>
      <c r="L10" s="250"/>
      <c r="M10" s="250"/>
      <c r="N10" s="250"/>
      <c r="O10" s="250"/>
      <c r="P10" s="250"/>
      <c r="Q10" s="250"/>
      <c r="R10" s="250"/>
      <c r="S10" s="250"/>
      <c r="T10" s="250"/>
      <c r="U10" s="250"/>
      <c r="V10" s="250"/>
      <c r="W10" s="250"/>
      <c r="X10" s="250"/>
      <c r="Y10" s="250"/>
      <c r="Z10" s="250"/>
    </row>
    <row r="11" spans="2:26" ht="10.9" customHeight="1" thickBot="1" x14ac:dyDescent="0.3">
      <c r="B11" s="250"/>
      <c r="C11" s="250"/>
      <c r="D11" s="250"/>
      <c r="E11" s="250"/>
      <c r="F11" s="250"/>
      <c r="G11" s="250"/>
      <c r="H11" s="250"/>
      <c r="I11" s="250"/>
      <c r="J11" s="250"/>
      <c r="K11" s="250"/>
      <c r="L11" s="250"/>
      <c r="M11" s="250"/>
      <c r="N11" s="250"/>
      <c r="O11" s="250"/>
      <c r="P11" s="250"/>
      <c r="Q11" s="250"/>
      <c r="R11" s="250"/>
      <c r="S11" s="250"/>
      <c r="T11" s="250"/>
      <c r="U11" s="250"/>
      <c r="V11" s="250"/>
      <c r="W11" s="250"/>
      <c r="X11" s="250"/>
      <c r="Y11" s="250"/>
      <c r="Z11" s="250"/>
    </row>
    <row r="12" spans="2:26" ht="14.45" customHeight="1" x14ac:dyDescent="0.25"/>
    <row r="17" spans="4:4" x14ac:dyDescent="0.25">
      <c r="D17" s="139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60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190"/>
  <sheetViews>
    <sheetView topLeftCell="A37" zoomScale="137" workbookViewId="0">
      <selection activeCell="J47" sqref="J47"/>
    </sheetView>
  </sheetViews>
  <sheetFormatPr defaultRowHeight="15" x14ac:dyDescent="0.25"/>
  <cols>
    <col min="1" max="1" width="7.42578125" customWidth="1"/>
    <col min="2" max="2" width="8.28515625" customWidth="1"/>
    <col min="3" max="3" width="34.140625" bestFit="1"/>
    <col min="4" max="4" width="7.42578125" customWidth="1"/>
    <col min="5" max="5" width="6.7109375" customWidth="1"/>
    <col min="6" max="6" width="8.28515625" customWidth="1"/>
    <col min="7" max="7" width="10" customWidth="1"/>
    <col min="8" max="8" width="13.28515625" customWidth="1"/>
  </cols>
  <sheetData>
    <row r="1" spans="1:8" ht="85.9" customHeight="1" x14ac:dyDescent="0.25">
      <c r="A1" s="254"/>
      <c r="B1" s="254"/>
      <c r="C1" s="254"/>
      <c r="D1" s="254"/>
      <c r="E1" s="254"/>
      <c r="F1" s="254"/>
      <c r="G1" s="254"/>
      <c r="H1" s="254"/>
    </row>
    <row r="2" spans="1:8" ht="10.15" customHeight="1" x14ac:dyDescent="0.25">
      <c r="A2" s="1"/>
      <c r="B2" s="255" t="s">
        <v>0</v>
      </c>
      <c r="C2" s="255"/>
      <c r="D2" s="255"/>
      <c r="E2" s="255"/>
      <c r="F2" s="255"/>
      <c r="G2" s="255"/>
      <c r="H2" s="1"/>
    </row>
    <row r="3" spans="1:8" ht="22.15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ht="19.899999999999999" customHeight="1" x14ac:dyDescent="0.25">
      <c r="A4" s="3" t="s">
        <v>9</v>
      </c>
      <c r="B4" s="253" t="s">
        <v>10</v>
      </c>
      <c r="C4" s="253"/>
      <c r="D4" s="253"/>
      <c r="E4" s="253"/>
      <c r="F4" s="253"/>
      <c r="G4" s="253"/>
      <c r="H4" s="4">
        <v>1240378.43</v>
      </c>
    </row>
    <row r="5" spans="1:8" ht="19.899999999999999" customHeight="1" x14ac:dyDescent="0.25">
      <c r="A5" s="3" t="s">
        <v>11</v>
      </c>
      <c r="B5" s="253" t="s">
        <v>12</v>
      </c>
      <c r="C5" s="253"/>
      <c r="D5" s="253"/>
      <c r="E5" s="253"/>
      <c r="F5" s="253"/>
      <c r="G5" s="253"/>
      <c r="H5" s="4">
        <v>44462.31</v>
      </c>
    </row>
    <row r="6" spans="1:8" ht="16.5" x14ac:dyDescent="0.25">
      <c r="A6" s="5" t="s">
        <v>13</v>
      </c>
      <c r="B6" s="6" t="s">
        <v>14</v>
      </c>
      <c r="C6" s="7" t="s">
        <v>15</v>
      </c>
      <c r="D6" s="6" t="s">
        <v>16</v>
      </c>
      <c r="E6" s="6" t="s">
        <v>17</v>
      </c>
      <c r="F6" s="8">
        <v>6</v>
      </c>
      <c r="G6" s="9">
        <v>414.1</v>
      </c>
      <c r="H6" s="10">
        <v>2484.6</v>
      </c>
    </row>
    <row r="7" spans="1:8" ht="16.5" x14ac:dyDescent="0.25">
      <c r="A7" s="5" t="s">
        <v>18</v>
      </c>
      <c r="B7" s="6" t="s">
        <v>19</v>
      </c>
      <c r="C7" s="7" t="s">
        <v>20</v>
      </c>
      <c r="D7" s="6" t="s">
        <v>21</v>
      </c>
      <c r="E7" s="6" t="s">
        <v>17</v>
      </c>
      <c r="F7" s="8">
        <v>5</v>
      </c>
      <c r="G7" s="9">
        <v>947.21</v>
      </c>
      <c r="H7" s="10">
        <v>4736.05</v>
      </c>
    </row>
    <row r="8" spans="1:8" ht="24.75" x14ac:dyDescent="0.25">
      <c r="A8" s="5" t="s">
        <v>22</v>
      </c>
      <c r="B8" s="6">
        <v>93206</v>
      </c>
      <c r="C8" s="7" t="s">
        <v>23</v>
      </c>
      <c r="D8" s="6" t="s">
        <v>21</v>
      </c>
      <c r="E8" s="6" t="s">
        <v>17</v>
      </c>
      <c r="F8" s="8">
        <v>5</v>
      </c>
      <c r="G8" s="9">
        <v>1086.7</v>
      </c>
      <c r="H8" s="10">
        <v>5433.5</v>
      </c>
    </row>
    <row r="9" spans="1:8" ht="16.5" x14ac:dyDescent="0.25">
      <c r="A9" s="5" t="s">
        <v>24</v>
      </c>
      <c r="B9" s="6" t="s">
        <v>25</v>
      </c>
      <c r="C9" s="7" t="s">
        <v>26</v>
      </c>
      <c r="D9" s="6" t="s">
        <v>16</v>
      </c>
      <c r="E9" s="6" t="s">
        <v>17</v>
      </c>
      <c r="F9" s="8">
        <v>277.39999999999998</v>
      </c>
      <c r="G9" s="9">
        <v>102.24</v>
      </c>
      <c r="H9" s="10">
        <v>28361.38</v>
      </c>
    </row>
    <row r="10" spans="1:8" ht="16.5" x14ac:dyDescent="0.25">
      <c r="A10" s="5" t="s">
        <v>27</v>
      </c>
      <c r="B10" s="6">
        <v>98524</v>
      </c>
      <c r="C10" s="7" t="s">
        <v>28</v>
      </c>
      <c r="D10" s="6" t="s">
        <v>21</v>
      </c>
      <c r="E10" s="6" t="s">
        <v>17</v>
      </c>
      <c r="F10" s="8">
        <v>1430.2</v>
      </c>
      <c r="G10" s="9">
        <v>2.29</v>
      </c>
      <c r="H10" s="10">
        <v>3275.16</v>
      </c>
    </row>
    <row r="11" spans="1:8" ht="16.5" x14ac:dyDescent="0.25">
      <c r="A11" s="5" t="s">
        <v>29</v>
      </c>
      <c r="B11" s="6" t="s">
        <v>30</v>
      </c>
      <c r="C11" s="7" t="s">
        <v>31</v>
      </c>
      <c r="D11" s="6" t="s">
        <v>21</v>
      </c>
      <c r="E11" s="6" t="s">
        <v>17</v>
      </c>
      <c r="F11" s="8">
        <v>1430.2</v>
      </c>
      <c r="G11" s="9">
        <v>0.12</v>
      </c>
      <c r="H11" s="10">
        <v>171.62</v>
      </c>
    </row>
    <row r="12" spans="1:8" ht="19.899999999999999" customHeight="1" x14ac:dyDescent="0.25">
      <c r="A12" s="3" t="s">
        <v>32</v>
      </c>
      <c r="B12" s="253" t="s">
        <v>33</v>
      </c>
      <c r="C12" s="253"/>
      <c r="D12" s="253"/>
      <c r="E12" s="253"/>
      <c r="F12" s="253"/>
      <c r="G12" s="253"/>
      <c r="H12" s="4">
        <v>21705.09</v>
      </c>
    </row>
    <row r="13" spans="1:8" ht="24.75" x14ac:dyDescent="0.25">
      <c r="A13" s="5" t="s">
        <v>34</v>
      </c>
      <c r="B13" s="6" t="s">
        <v>35</v>
      </c>
      <c r="C13" s="7" t="s">
        <v>36</v>
      </c>
      <c r="D13" s="6" t="s">
        <v>21</v>
      </c>
      <c r="E13" s="6" t="s">
        <v>37</v>
      </c>
      <c r="F13" s="8">
        <v>137.5</v>
      </c>
      <c r="G13" s="9">
        <v>52.4</v>
      </c>
      <c r="H13" s="10">
        <v>7205</v>
      </c>
    </row>
    <row r="14" spans="1:8" ht="16.5" x14ac:dyDescent="0.25">
      <c r="A14" s="5" t="s">
        <v>38</v>
      </c>
      <c r="B14" s="6" t="s">
        <v>39</v>
      </c>
      <c r="C14" s="7" t="s">
        <v>40</v>
      </c>
      <c r="D14" s="6" t="s">
        <v>21</v>
      </c>
      <c r="E14" s="6" t="s">
        <v>41</v>
      </c>
      <c r="F14" s="8">
        <v>89.01</v>
      </c>
      <c r="G14" s="9">
        <v>64.95</v>
      </c>
      <c r="H14" s="10">
        <v>5781.2</v>
      </c>
    </row>
    <row r="15" spans="1:8" ht="16.5" x14ac:dyDescent="0.25">
      <c r="A15" s="5" t="s">
        <v>42</v>
      </c>
      <c r="B15" s="6" t="s">
        <v>43</v>
      </c>
      <c r="C15" s="7" t="s">
        <v>44</v>
      </c>
      <c r="D15" s="6" t="s">
        <v>21</v>
      </c>
      <c r="E15" s="6" t="s">
        <v>41</v>
      </c>
      <c r="F15" s="8">
        <v>44.26</v>
      </c>
      <c r="G15" s="9">
        <v>39.369999999999997</v>
      </c>
      <c r="H15" s="10">
        <v>1742.52</v>
      </c>
    </row>
    <row r="16" spans="1:8" ht="16.5" x14ac:dyDescent="0.25">
      <c r="A16" s="5" t="s">
        <v>45</v>
      </c>
      <c r="B16" s="6" t="s">
        <v>46</v>
      </c>
      <c r="C16" s="7" t="s">
        <v>47</v>
      </c>
      <c r="D16" s="6" t="s">
        <v>21</v>
      </c>
      <c r="E16" s="6" t="s">
        <v>41</v>
      </c>
      <c r="F16" s="8">
        <v>93.63</v>
      </c>
      <c r="G16" s="9">
        <v>74.510000000000005</v>
      </c>
      <c r="H16" s="10">
        <v>6976.37</v>
      </c>
    </row>
    <row r="17" spans="1:8" ht="19.899999999999999" customHeight="1" x14ac:dyDescent="0.25">
      <c r="A17" s="3" t="s">
        <v>48</v>
      </c>
      <c r="B17" s="253" t="s">
        <v>49</v>
      </c>
      <c r="C17" s="253"/>
      <c r="D17" s="253"/>
      <c r="E17" s="253"/>
      <c r="F17" s="253"/>
      <c r="G17" s="253"/>
      <c r="H17" s="4">
        <v>103558.14</v>
      </c>
    </row>
    <row r="18" spans="1:8" ht="33" x14ac:dyDescent="0.25">
      <c r="A18" s="5" t="s">
        <v>50</v>
      </c>
      <c r="B18" s="6" t="s">
        <v>51</v>
      </c>
      <c r="C18" s="7" t="s">
        <v>52</v>
      </c>
      <c r="D18" s="6" t="s">
        <v>16</v>
      </c>
      <c r="E18" s="6" t="s">
        <v>41</v>
      </c>
      <c r="F18" s="8">
        <v>13.99</v>
      </c>
      <c r="G18" s="9">
        <v>411.48</v>
      </c>
      <c r="H18" s="10">
        <v>5756.61</v>
      </c>
    </row>
    <row r="19" spans="1:8" ht="16.5" x14ac:dyDescent="0.25">
      <c r="A19" s="5" t="s">
        <v>53</v>
      </c>
      <c r="B19" s="6" t="s">
        <v>54</v>
      </c>
      <c r="C19" s="7" t="s">
        <v>55</v>
      </c>
      <c r="D19" s="6" t="s">
        <v>21</v>
      </c>
      <c r="E19" s="6" t="s">
        <v>17</v>
      </c>
      <c r="F19" s="8">
        <v>37.81</v>
      </c>
      <c r="G19" s="9">
        <v>4.91</v>
      </c>
      <c r="H19" s="10">
        <v>185.65</v>
      </c>
    </row>
    <row r="20" spans="1:8" ht="24.75" x14ac:dyDescent="0.25">
      <c r="A20" s="5" t="s">
        <v>56</v>
      </c>
      <c r="B20" s="6" t="s">
        <v>57</v>
      </c>
      <c r="C20" s="7" t="s">
        <v>58</v>
      </c>
      <c r="D20" s="6" t="s">
        <v>21</v>
      </c>
      <c r="E20" s="6" t="s">
        <v>17</v>
      </c>
      <c r="F20" s="8">
        <v>77.41</v>
      </c>
      <c r="G20" s="9">
        <v>30.67</v>
      </c>
      <c r="H20" s="10">
        <v>2374.16</v>
      </c>
    </row>
    <row r="21" spans="1:8" ht="24.75" x14ac:dyDescent="0.25">
      <c r="A21" s="5" t="s">
        <v>59</v>
      </c>
      <c r="B21" s="6" t="s">
        <v>60</v>
      </c>
      <c r="C21" s="7" t="s">
        <v>61</v>
      </c>
      <c r="D21" s="6" t="s">
        <v>21</v>
      </c>
      <c r="E21" s="6" t="s">
        <v>62</v>
      </c>
      <c r="F21" s="8">
        <v>537.29999999999995</v>
      </c>
      <c r="G21" s="9">
        <v>15.99</v>
      </c>
      <c r="H21" s="10">
        <v>8591.43</v>
      </c>
    </row>
    <row r="22" spans="1:8" ht="24.75" x14ac:dyDescent="0.25">
      <c r="A22" s="5" t="s">
        <v>63</v>
      </c>
      <c r="B22" s="6" t="s">
        <v>64</v>
      </c>
      <c r="C22" s="7" t="s">
        <v>65</v>
      </c>
      <c r="D22" s="6" t="s">
        <v>21</v>
      </c>
      <c r="E22" s="6" t="s">
        <v>41</v>
      </c>
      <c r="F22" s="8">
        <v>21.16</v>
      </c>
      <c r="G22" s="9">
        <v>530.88</v>
      </c>
      <c r="H22" s="10">
        <v>11233.42</v>
      </c>
    </row>
    <row r="23" spans="1:8" ht="24.75" x14ac:dyDescent="0.25">
      <c r="A23" s="5" t="s">
        <v>66</v>
      </c>
      <c r="B23" s="6" t="s">
        <v>67</v>
      </c>
      <c r="C23" s="7" t="s">
        <v>68</v>
      </c>
      <c r="D23" s="6" t="s">
        <v>21</v>
      </c>
      <c r="E23" s="6" t="s">
        <v>41</v>
      </c>
      <c r="F23" s="8">
        <v>9.6</v>
      </c>
      <c r="G23" s="9">
        <v>488.69</v>
      </c>
      <c r="H23" s="10">
        <v>4691.42</v>
      </c>
    </row>
    <row r="24" spans="1:8" ht="24.75" x14ac:dyDescent="0.25">
      <c r="A24" s="5" t="s">
        <v>69</v>
      </c>
      <c r="B24" s="6" t="s">
        <v>70</v>
      </c>
      <c r="C24" s="7" t="s">
        <v>71</v>
      </c>
      <c r="D24" s="6" t="s">
        <v>21</v>
      </c>
      <c r="E24" s="6" t="s">
        <v>41</v>
      </c>
      <c r="F24" s="8">
        <v>30.76</v>
      </c>
      <c r="G24" s="9">
        <v>230.55</v>
      </c>
      <c r="H24" s="10">
        <v>7091.72</v>
      </c>
    </row>
    <row r="25" spans="1:8" ht="24.75" x14ac:dyDescent="0.25">
      <c r="A25" s="5" t="s">
        <v>72</v>
      </c>
      <c r="B25" s="6" t="s">
        <v>73</v>
      </c>
      <c r="C25" s="7" t="s">
        <v>74</v>
      </c>
      <c r="D25" s="6" t="s">
        <v>21</v>
      </c>
      <c r="E25" s="6" t="s">
        <v>62</v>
      </c>
      <c r="F25" s="8">
        <v>404.4</v>
      </c>
      <c r="G25" s="9">
        <v>17.5</v>
      </c>
      <c r="H25" s="10">
        <v>7077</v>
      </c>
    </row>
    <row r="26" spans="1:8" ht="24.75" x14ac:dyDescent="0.25">
      <c r="A26" s="5" t="s">
        <v>75</v>
      </c>
      <c r="B26" s="6" t="s">
        <v>76</v>
      </c>
      <c r="C26" s="7" t="s">
        <v>77</v>
      </c>
      <c r="D26" s="6" t="s">
        <v>21</v>
      </c>
      <c r="E26" s="6" t="s">
        <v>62</v>
      </c>
      <c r="F26" s="8">
        <v>295</v>
      </c>
      <c r="G26" s="9">
        <v>16.59</v>
      </c>
      <c r="H26" s="10">
        <v>4894.05</v>
      </c>
    </row>
    <row r="27" spans="1:8" ht="24.75" x14ac:dyDescent="0.25">
      <c r="A27" s="5" t="s">
        <v>78</v>
      </c>
      <c r="B27" s="6" t="s">
        <v>79</v>
      </c>
      <c r="C27" s="7" t="s">
        <v>80</v>
      </c>
      <c r="D27" s="6" t="s">
        <v>21</v>
      </c>
      <c r="E27" s="6" t="s">
        <v>62</v>
      </c>
      <c r="F27" s="8">
        <v>534.1</v>
      </c>
      <c r="G27" s="9">
        <v>14.35</v>
      </c>
      <c r="H27" s="10">
        <v>7664.34</v>
      </c>
    </row>
    <row r="28" spans="1:8" ht="24.75" x14ac:dyDescent="0.25">
      <c r="A28" s="5" t="s">
        <v>81</v>
      </c>
      <c r="B28" s="6" t="s">
        <v>82</v>
      </c>
      <c r="C28" s="7" t="s">
        <v>83</v>
      </c>
      <c r="D28" s="6" t="s">
        <v>21</v>
      </c>
      <c r="E28" s="6" t="s">
        <v>62</v>
      </c>
      <c r="F28" s="8">
        <v>152.9</v>
      </c>
      <c r="G28" s="9">
        <v>11.9</v>
      </c>
      <c r="H28" s="10">
        <v>1819.51</v>
      </c>
    </row>
    <row r="29" spans="1:8" ht="24.75" x14ac:dyDescent="0.25">
      <c r="A29" s="5" t="s">
        <v>84</v>
      </c>
      <c r="B29" s="6" t="s">
        <v>85</v>
      </c>
      <c r="C29" s="7" t="s">
        <v>86</v>
      </c>
      <c r="D29" s="6" t="s">
        <v>21</v>
      </c>
      <c r="E29" s="6" t="s">
        <v>17</v>
      </c>
      <c r="F29" s="8">
        <v>429.83</v>
      </c>
      <c r="G29" s="9">
        <v>69.64</v>
      </c>
      <c r="H29" s="10">
        <v>29933.360000000001</v>
      </c>
    </row>
    <row r="30" spans="1:8" ht="16.5" x14ac:dyDescent="0.25">
      <c r="A30" s="5" t="s">
        <v>87</v>
      </c>
      <c r="B30" s="6" t="s">
        <v>88</v>
      </c>
      <c r="C30" s="7" t="s">
        <v>89</v>
      </c>
      <c r="D30" s="6" t="s">
        <v>21</v>
      </c>
      <c r="E30" s="6" t="s">
        <v>17</v>
      </c>
      <c r="F30" s="8">
        <v>253.95</v>
      </c>
      <c r="G30" s="9">
        <v>48.22</v>
      </c>
      <c r="H30" s="10">
        <v>12245.47</v>
      </c>
    </row>
    <row r="31" spans="1:8" ht="19.899999999999999" customHeight="1" x14ac:dyDescent="0.25">
      <c r="A31" s="3" t="s">
        <v>90</v>
      </c>
      <c r="B31" s="253" t="s">
        <v>91</v>
      </c>
      <c r="C31" s="253"/>
      <c r="D31" s="253"/>
      <c r="E31" s="253"/>
      <c r="F31" s="253"/>
      <c r="G31" s="253"/>
      <c r="H31" s="4">
        <v>156522.69</v>
      </c>
    </row>
    <row r="32" spans="1:8" ht="33" x14ac:dyDescent="0.25">
      <c r="A32" s="5" t="s">
        <v>92</v>
      </c>
      <c r="B32" s="6" t="s">
        <v>93</v>
      </c>
      <c r="C32" s="7" t="s">
        <v>94</v>
      </c>
      <c r="D32" s="6" t="s">
        <v>21</v>
      </c>
      <c r="E32" s="6" t="s">
        <v>17</v>
      </c>
      <c r="F32" s="8">
        <v>408.7</v>
      </c>
      <c r="G32" s="9">
        <v>40.35</v>
      </c>
      <c r="H32" s="10">
        <v>16491.05</v>
      </c>
    </row>
    <row r="33" spans="1:8" ht="33" x14ac:dyDescent="0.25">
      <c r="A33" s="5" t="s">
        <v>95</v>
      </c>
      <c r="B33" s="6" t="s">
        <v>96</v>
      </c>
      <c r="C33" s="7" t="s">
        <v>97</v>
      </c>
      <c r="D33" s="6" t="s">
        <v>21</v>
      </c>
      <c r="E33" s="6" t="s">
        <v>17</v>
      </c>
      <c r="F33" s="8">
        <v>435.33</v>
      </c>
      <c r="G33" s="9">
        <v>62.17</v>
      </c>
      <c r="H33" s="10">
        <v>27064.47</v>
      </c>
    </row>
    <row r="34" spans="1:8" ht="24.75" x14ac:dyDescent="0.25">
      <c r="A34" s="5" t="s">
        <v>98</v>
      </c>
      <c r="B34" s="6" t="s">
        <v>99</v>
      </c>
      <c r="C34" s="7" t="s">
        <v>100</v>
      </c>
      <c r="D34" s="6" t="s">
        <v>21</v>
      </c>
      <c r="E34" s="6" t="s">
        <v>17</v>
      </c>
      <c r="F34" s="8">
        <v>111.15</v>
      </c>
      <c r="G34" s="9">
        <v>30.99</v>
      </c>
      <c r="H34" s="10">
        <v>3444.54</v>
      </c>
    </row>
    <row r="35" spans="1:8" ht="24.75" x14ac:dyDescent="0.25">
      <c r="A35" s="5" t="s">
        <v>101</v>
      </c>
      <c r="B35" s="6" t="s">
        <v>102</v>
      </c>
      <c r="C35" s="7" t="s">
        <v>103</v>
      </c>
      <c r="D35" s="6" t="s">
        <v>21</v>
      </c>
      <c r="E35" s="6" t="s">
        <v>62</v>
      </c>
      <c r="F35" s="8">
        <v>1027.8</v>
      </c>
      <c r="G35" s="9">
        <v>14.67</v>
      </c>
      <c r="H35" s="10">
        <v>15077.83</v>
      </c>
    </row>
    <row r="36" spans="1:8" ht="24.75" x14ac:dyDescent="0.25">
      <c r="A36" s="5" t="s">
        <v>104</v>
      </c>
      <c r="B36" s="6" t="s">
        <v>105</v>
      </c>
      <c r="C36" s="7" t="s">
        <v>106</v>
      </c>
      <c r="D36" s="6" t="s">
        <v>21</v>
      </c>
      <c r="E36" s="6" t="s">
        <v>62</v>
      </c>
      <c r="F36" s="8">
        <v>39.1</v>
      </c>
      <c r="G36" s="9">
        <v>14.4</v>
      </c>
      <c r="H36" s="10">
        <v>563.04</v>
      </c>
    </row>
    <row r="37" spans="1:8" ht="24.75" x14ac:dyDescent="0.25">
      <c r="A37" s="5" t="s">
        <v>107</v>
      </c>
      <c r="B37" s="6" t="s">
        <v>108</v>
      </c>
      <c r="C37" s="7" t="s">
        <v>109</v>
      </c>
      <c r="D37" s="6" t="s">
        <v>21</v>
      </c>
      <c r="E37" s="6" t="s">
        <v>62</v>
      </c>
      <c r="F37" s="8">
        <v>1000</v>
      </c>
      <c r="G37" s="9">
        <v>14.25</v>
      </c>
      <c r="H37" s="10">
        <v>14250</v>
      </c>
    </row>
    <row r="38" spans="1:8" ht="24.75" x14ac:dyDescent="0.25">
      <c r="A38" s="5" t="s">
        <v>110</v>
      </c>
      <c r="B38" s="6" t="s">
        <v>111</v>
      </c>
      <c r="C38" s="7" t="s">
        <v>112</v>
      </c>
      <c r="D38" s="6" t="s">
        <v>21</v>
      </c>
      <c r="E38" s="6" t="s">
        <v>62</v>
      </c>
      <c r="F38" s="8">
        <v>1306.0999999999999</v>
      </c>
      <c r="G38" s="9">
        <v>12.94</v>
      </c>
      <c r="H38" s="10">
        <v>16900.93</v>
      </c>
    </row>
    <row r="39" spans="1:8" ht="24.75" x14ac:dyDescent="0.25">
      <c r="A39" s="5" t="s">
        <v>113</v>
      </c>
      <c r="B39" s="6" t="s">
        <v>114</v>
      </c>
      <c r="C39" s="7" t="s">
        <v>115</v>
      </c>
      <c r="D39" s="6" t="s">
        <v>21</v>
      </c>
      <c r="E39" s="6" t="s">
        <v>62</v>
      </c>
      <c r="F39" s="8">
        <v>168.2</v>
      </c>
      <c r="G39" s="9">
        <v>10.71</v>
      </c>
      <c r="H39" s="10">
        <v>1801.42</v>
      </c>
    </row>
    <row r="40" spans="1:8" ht="24.75" x14ac:dyDescent="0.25">
      <c r="A40" s="5" t="s">
        <v>116</v>
      </c>
      <c r="B40" s="6" t="s">
        <v>117</v>
      </c>
      <c r="C40" s="7" t="s">
        <v>118</v>
      </c>
      <c r="D40" s="6" t="s">
        <v>21</v>
      </c>
      <c r="E40" s="6" t="s">
        <v>62</v>
      </c>
      <c r="F40" s="8">
        <v>158.69999999999999</v>
      </c>
      <c r="G40" s="9">
        <v>14.31</v>
      </c>
      <c r="H40" s="10">
        <v>2271</v>
      </c>
    </row>
    <row r="41" spans="1:8" ht="24.75" x14ac:dyDescent="0.25">
      <c r="A41" s="5" t="s">
        <v>119</v>
      </c>
      <c r="B41" s="6" t="s">
        <v>120</v>
      </c>
      <c r="C41" s="7" t="s">
        <v>121</v>
      </c>
      <c r="D41" s="6" t="s">
        <v>21</v>
      </c>
      <c r="E41" s="6" t="s">
        <v>62</v>
      </c>
      <c r="F41" s="8">
        <v>170.5</v>
      </c>
      <c r="G41" s="9">
        <v>14.01</v>
      </c>
      <c r="H41" s="10">
        <v>2388.71</v>
      </c>
    </row>
    <row r="42" spans="1:8" ht="24.75" x14ac:dyDescent="0.25">
      <c r="A42" s="5" t="s">
        <v>122</v>
      </c>
      <c r="B42" s="6" t="s">
        <v>123</v>
      </c>
      <c r="C42" s="7" t="s">
        <v>124</v>
      </c>
      <c r="D42" s="6" t="s">
        <v>21</v>
      </c>
      <c r="E42" s="6" t="s">
        <v>62</v>
      </c>
      <c r="F42" s="8">
        <v>279.10000000000002</v>
      </c>
      <c r="G42" s="9">
        <v>13.86</v>
      </c>
      <c r="H42" s="10">
        <v>3868.33</v>
      </c>
    </row>
    <row r="43" spans="1:8" ht="24.75" x14ac:dyDescent="0.25">
      <c r="A43" s="5" t="s">
        <v>125</v>
      </c>
      <c r="B43" s="6" t="s">
        <v>64</v>
      </c>
      <c r="C43" s="7" t="s">
        <v>65</v>
      </c>
      <c r="D43" s="6" t="s">
        <v>21</v>
      </c>
      <c r="E43" s="6" t="s">
        <v>41</v>
      </c>
      <c r="F43" s="8">
        <v>61.56</v>
      </c>
      <c r="G43" s="9">
        <v>530.88</v>
      </c>
      <c r="H43" s="10">
        <v>32680.97</v>
      </c>
    </row>
    <row r="44" spans="1:8" ht="24.75" x14ac:dyDescent="0.25">
      <c r="A44" s="5" t="s">
        <v>126</v>
      </c>
      <c r="B44" s="6" t="s">
        <v>70</v>
      </c>
      <c r="C44" s="7" t="s">
        <v>71</v>
      </c>
      <c r="D44" s="6" t="s">
        <v>21</v>
      </c>
      <c r="E44" s="6" t="s">
        <v>41</v>
      </c>
      <c r="F44" s="8">
        <v>61.56</v>
      </c>
      <c r="G44" s="9">
        <v>230.55</v>
      </c>
      <c r="H44" s="10">
        <v>14192.66</v>
      </c>
    </row>
    <row r="45" spans="1:8" ht="24.75" x14ac:dyDescent="0.25">
      <c r="A45" s="5" t="s">
        <v>127</v>
      </c>
      <c r="B45" s="6" t="s">
        <v>128</v>
      </c>
      <c r="C45" s="7" t="s">
        <v>129</v>
      </c>
      <c r="D45" s="6" t="s">
        <v>21</v>
      </c>
      <c r="E45" s="6" t="s">
        <v>62</v>
      </c>
      <c r="F45" s="8">
        <v>312.3</v>
      </c>
      <c r="G45" s="9">
        <v>12.55</v>
      </c>
      <c r="H45" s="10">
        <v>3919.37</v>
      </c>
    </row>
    <row r="46" spans="1:8" ht="24.75" x14ac:dyDescent="0.25">
      <c r="A46" s="5" t="s">
        <v>130</v>
      </c>
      <c r="B46" s="6" t="s">
        <v>131</v>
      </c>
      <c r="C46" s="7" t="s">
        <v>132</v>
      </c>
      <c r="D46" s="6" t="s">
        <v>21</v>
      </c>
      <c r="E46" s="6" t="s">
        <v>62</v>
      </c>
      <c r="F46" s="8">
        <v>154.80000000000001</v>
      </c>
      <c r="G46" s="9">
        <v>10.39</v>
      </c>
      <c r="H46" s="10">
        <v>1608.37</v>
      </c>
    </row>
    <row r="47" spans="1:8" ht="19.899999999999999" customHeight="1" x14ac:dyDescent="0.25">
      <c r="A47" s="3" t="s">
        <v>133</v>
      </c>
      <c r="B47" s="253" t="s">
        <v>134</v>
      </c>
      <c r="C47" s="253"/>
      <c r="D47" s="253"/>
      <c r="E47" s="253"/>
      <c r="F47" s="253"/>
      <c r="G47" s="253"/>
      <c r="H47" s="4">
        <v>69589.899999999994</v>
      </c>
    </row>
    <row r="48" spans="1:8" ht="33" x14ac:dyDescent="0.25">
      <c r="A48" s="5" t="s">
        <v>135</v>
      </c>
      <c r="B48" s="6" t="s">
        <v>136</v>
      </c>
      <c r="C48" s="7" t="s">
        <v>137</v>
      </c>
      <c r="D48" s="6" t="s">
        <v>21</v>
      </c>
      <c r="E48" s="6" t="s">
        <v>17</v>
      </c>
      <c r="F48" s="8">
        <v>1131.99</v>
      </c>
      <c r="G48" s="9">
        <v>46.86</v>
      </c>
      <c r="H48" s="10">
        <v>53045.05</v>
      </c>
    </row>
    <row r="49" spans="1:8" ht="16.5" x14ac:dyDescent="0.25">
      <c r="A49" s="5" t="s">
        <v>138</v>
      </c>
      <c r="B49" s="6" t="s">
        <v>139</v>
      </c>
      <c r="C49" s="7" t="s">
        <v>140</v>
      </c>
      <c r="D49" s="6" t="s">
        <v>21</v>
      </c>
      <c r="E49" s="6" t="s">
        <v>37</v>
      </c>
      <c r="F49" s="8">
        <v>64.099999999999994</v>
      </c>
      <c r="G49" s="9">
        <v>99.36</v>
      </c>
      <c r="H49" s="10">
        <v>6368.98</v>
      </c>
    </row>
    <row r="50" spans="1:8" ht="24.75" x14ac:dyDescent="0.25">
      <c r="A50" s="5" t="s">
        <v>141</v>
      </c>
      <c r="B50" s="6" t="s">
        <v>142</v>
      </c>
      <c r="C50" s="7" t="s">
        <v>143</v>
      </c>
      <c r="D50" s="6" t="s">
        <v>21</v>
      </c>
      <c r="E50" s="6" t="s">
        <v>37</v>
      </c>
      <c r="F50" s="8">
        <v>72.2</v>
      </c>
      <c r="G50" s="9">
        <v>50.71</v>
      </c>
      <c r="H50" s="10">
        <v>3661.26</v>
      </c>
    </row>
    <row r="51" spans="1:8" ht="24.75" x14ac:dyDescent="0.25">
      <c r="A51" s="5" t="s">
        <v>144</v>
      </c>
      <c r="B51" s="6" t="s">
        <v>145</v>
      </c>
      <c r="C51" s="7" t="s">
        <v>146</v>
      </c>
      <c r="D51" s="6" t="s">
        <v>21</v>
      </c>
      <c r="E51" s="6" t="s">
        <v>37</v>
      </c>
      <c r="F51" s="8">
        <v>72.2</v>
      </c>
      <c r="G51" s="9">
        <v>90.23</v>
      </c>
      <c r="H51" s="10">
        <v>6514.61</v>
      </c>
    </row>
    <row r="52" spans="1:8" ht="19.899999999999999" customHeight="1" x14ac:dyDescent="0.25">
      <c r="A52" s="3" t="s">
        <v>147</v>
      </c>
      <c r="B52" s="253" t="s">
        <v>148</v>
      </c>
      <c r="C52" s="253"/>
      <c r="D52" s="253"/>
      <c r="E52" s="253"/>
      <c r="F52" s="253"/>
      <c r="G52" s="253"/>
      <c r="H52" s="4">
        <v>67976.03</v>
      </c>
    </row>
    <row r="53" spans="1:8" ht="33" x14ac:dyDescent="0.25">
      <c r="A53" s="5" t="s">
        <v>149</v>
      </c>
      <c r="B53" s="6" t="s">
        <v>150</v>
      </c>
      <c r="C53" s="7" t="s">
        <v>151</v>
      </c>
      <c r="D53" s="6" t="s">
        <v>21</v>
      </c>
      <c r="E53" s="6" t="s">
        <v>17</v>
      </c>
      <c r="F53" s="8">
        <v>1348.98</v>
      </c>
      <c r="G53" s="9">
        <v>6.08</v>
      </c>
      <c r="H53" s="10">
        <v>8201.7999999999993</v>
      </c>
    </row>
    <row r="54" spans="1:8" ht="41.25" x14ac:dyDescent="0.25">
      <c r="A54" s="5" t="s">
        <v>152</v>
      </c>
      <c r="B54" s="6" t="s">
        <v>153</v>
      </c>
      <c r="C54" s="7" t="s">
        <v>154</v>
      </c>
      <c r="D54" s="6" t="s">
        <v>21</v>
      </c>
      <c r="E54" s="6" t="s">
        <v>17</v>
      </c>
      <c r="F54" s="8">
        <v>997.11</v>
      </c>
      <c r="G54" s="9">
        <v>22.4</v>
      </c>
      <c r="H54" s="10">
        <v>22335.26</v>
      </c>
    </row>
    <row r="55" spans="1:8" ht="49.5" x14ac:dyDescent="0.25">
      <c r="A55" s="5" t="s">
        <v>155</v>
      </c>
      <c r="B55" s="6" t="s">
        <v>156</v>
      </c>
      <c r="C55" s="7" t="s">
        <v>157</v>
      </c>
      <c r="D55" s="6" t="s">
        <v>21</v>
      </c>
      <c r="E55" s="6" t="s">
        <v>17</v>
      </c>
      <c r="F55" s="8">
        <v>351.87</v>
      </c>
      <c r="G55" s="9">
        <v>31.26</v>
      </c>
      <c r="H55" s="10">
        <v>10999.46</v>
      </c>
    </row>
    <row r="56" spans="1:8" ht="33" x14ac:dyDescent="0.25">
      <c r="A56" s="5" t="s">
        <v>158</v>
      </c>
      <c r="B56" s="6" t="s">
        <v>159</v>
      </c>
      <c r="C56" s="7" t="s">
        <v>160</v>
      </c>
      <c r="D56" s="6" t="s">
        <v>21</v>
      </c>
      <c r="E56" s="6" t="s">
        <v>17</v>
      </c>
      <c r="F56" s="8">
        <v>351.87</v>
      </c>
      <c r="G56" s="9">
        <v>75.14</v>
      </c>
      <c r="H56" s="10">
        <v>26439.51</v>
      </c>
    </row>
    <row r="57" spans="1:8" ht="19.899999999999999" customHeight="1" x14ac:dyDescent="0.25">
      <c r="A57" s="3" t="s">
        <v>161</v>
      </c>
      <c r="B57" s="253" t="s">
        <v>162</v>
      </c>
      <c r="C57" s="253"/>
      <c r="D57" s="253"/>
      <c r="E57" s="253"/>
      <c r="F57" s="253"/>
      <c r="G57" s="253"/>
      <c r="H57" s="4">
        <v>111068.43</v>
      </c>
    </row>
    <row r="58" spans="1:8" ht="49.5" x14ac:dyDescent="0.25">
      <c r="A58" s="5" t="s">
        <v>163</v>
      </c>
      <c r="B58" s="6" t="s">
        <v>164</v>
      </c>
      <c r="C58" s="7" t="s">
        <v>165</v>
      </c>
      <c r="D58" s="6" t="s">
        <v>21</v>
      </c>
      <c r="E58" s="6" t="s">
        <v>166</v>
      </c>
      <c r="F58" s="8">
        <v>18</v>
      </c>
      <c r="G58" s="9">
        <v>919.01</v>
      </c>
      <c r="H58" s="10">
        <v>16542.18</v>
      </c>
    </row>
    <row r="59" spans="1:8" ht="41.25" x14ac:dyDescent="0.25">
      <c r="A59" s="5" t="s">
        <v>167</v>
      </c>
      <c r="B59" s="6" t="s">
        <v>168</v>
      </c>
      <c r="C59" s="7" t="s">
        <v>169</v>
      </c>
      <c r="D59" s="6" t="s">
        <v>21</v>
      </c>
      <c r="E59" s="6" t="s">
        <v>17</v>
      </c>
      <c r="F59" s="8">
        <v>49.7</v>
      </c>
      <c r="G59" s="9">
        <v>960.32</v>
      </c>
      <c r="H59" s="10">
        <v>47727.9</v>
      </c>
    </row>
    <row r="60" spans="1:8" ht="49.5" x14ac:dyDescent="0.25">
      <c r="A60" s="5" t="s">
        <v>170</v>
      </c>
      <c r="B60" s="6" t="s">
        <v>171</v>
      </c>
      <c r="C60" s="7" t="s">
        <v>172</v>
      </c>
      <c r="D60" s="6" t="s">
        <v>21</v>
      </c>
      <c r="E60" s="6" t="s">
        <v>166</v>
      </c>
      <c r="F60" s="8">
        <v>5</v>
      </c>
      <c r="G60" s="9">
        <v>1069.74</v>
      </c>
      <c r="H60" s="10">
        <v>5348.7</v>
      </c>
    </row>
    <row r="61" spans="1:8" ht="24.75" x14ac:dyDescent="0.25">
      <c r="A61" s="5" t="s">
        <v>173</v>
      </c>
      <c r="B61" s="6" t="s">
        <v>174</v>
      </c>
      <c r="C61" s="7" t="s">
        <v>175</v>
      </c>
      <c r="D61" s="6" t="s">
        <v>16</v>
      </c>
      <c r="E61" s="6" t="s">
        <v>5</v>
      </c>
      <c r="F61" s="8">
        <v>1</v>
      </c>
      <c r="G61" s="9">
        <v>2030.34</v>
      </c>
      <c r="H61" s="10">
        <v>2030.34</v>
      </c>
    </row>
    <row r="62" spans="1:8" ht="24.75" x14ac:dyDescent="0.25">
      <c r="A62" s="5" t="s">
        <v>176</v>
      </c>
      <c r="B62" s="6" t="s">
        <v>177</v>
      </c>
      <c r="C62" s="7" t="s">
        <v>178</v>
      </c>
      <c r="D62" s="6" t="s">
        <v>16</v>
      </c>
      <c r="E62" s="6" t="s">
        <v>5</v>
      </c>
      <c r="F62" s="8">
        <v>3</v>
      </c>
      <c r="G62" s="9">
        <v>4697.45</v>
      </c>
      <c r="H62" s="10">
        <v>14092.35</v>
      </c>
    </row>
    <row r="63" spans="1:8" ht="24.75" x14ac:dyDescent="0.25">
      <c r="A63" s="5" t="s">
        <v>179</v>
      </c>
      <c r="B63" s="6" t="s">
        <v>180</v>
      </c>
      <c r="C63" s="7" t="s">
        <v>181</v>
      </c>
      <c r="D63" s="6" t="s">
        <v>21</v>
      </c>
      <c r="E63" s="6" t="s">
        <v>17</v>
      </c>
      <c r="F63" s="8">
        <v>12.96</v>
      </c>
      <c r="G63" s="9">
        <v>976.37</v>
      </c>
      <c r="H63" s="10">
        <v>12653.76</v>
      </c>
    </row>
    <row r="64" spans="1:8" ht="24.75" x14ac:dyDescent="0.25">
      <c r="A64" s="5" t="s">
        <v>182</v>
      </c>
      <c r="B64" s="6" t="s">
        <v>183</v>
      </c>
      <c r="C64" s="7" t="s">
        <v>184</v>
      </c>
      <c r="D64" s="6" t="s">
        <v>21</v>
      </c>
      <c r="E64" s="6" t="s">
        <v>17</v>
      </c>
      <c r="F64" s="8">
        <v>19.96</v>
      </c>
      <c r="G64" s="9">
        <v>579.9</v>
      </c>
      <c r="H64" s="10">
        <v>11574.8</v>
      </c>
    </row>
    <row r="65" spans="1:8" ht="33" x14ac:dyDescent="0.25">
      <c r="A65" s="5" t="s">
        <v>185</v>
      </c>
      <c r="B65" s="6" t="s">
        <v>186</v>
      </c>
      <c r="C65" s="7" t="s">
        <v>187</v>
      </c>
      <c r="D65" s="6" t="s">
        <v>21</v>
      </c>
      <c r="E65" s="6" t="s">
        <v>166</v>
      </c>
      <c r="F65" s="8">
        <v>8</v>
      </c>
      <c r="G65" s="9">
        <v>137.30000000000001</v>
      </c>
      <c r="H65" s="10">
        <v>1098.4000000000001</v>
      </c>
    </row>
    <row r="66" spans="1:8" ht="19.899999999999999" customHeight="1" x14ac:dyDescent="0.25">
      <c r="A66" s="3" t="s">
        <v>188</v>
      </c>
      <c r="B66" s="253" t="s">
        <v>189</v>
      </c>
      <c r="C66" s="253"/>
      <c r="D66" s="253"/>
      <c r="E66" s="253"/>
      <c r="F66" s="253"/>
      <c r="G66" s="253"/>
      <c r="H66" s="4">
        <v>46432.76</v>
      </c>
    </row>
    <row r="67" spans="1:8" ht="16.5" x14ac:dyDescent="0.25">
      <c r="A67" s="5" t="s">
        <v>190</v>
      </c>
      <c r="B67" s="6" t="s">
        <v>191</v>
      </c>
      <c r="C67" s="7" t="s">
        <v>192</v>
      </c>
      <c r="D67" s="6" t="s">
        <v>21</v>
      </c>
      <c r="E67" s="6" t="s">
        <v>17</v>
      </c>
      <c r="F67" s="8">
        <v>997.11</v>
      </c>
      <c r="G67" s="9">
        <v>2.74</v>
      </c>
      <c r="H67" s="10">
        <v>2732.08</v>
      </c>
    </row>
    <row r="68" spans="1:8" ht="16.5" x14ac:dyDescent="0.25">
      <c r="A68" s="5" t="s">
        <v>193</v>
      </c>
      <c r="B68" s="6" t="s">
        <v>194</v>
      </c>
      <c r="C68" s="7" t="s">
        <v>195</v>
      </c>
      <c r="D68" s="6" t="s">
        <v>21</v>
      </c>
      <c r="E68" s="6" t="s">
        <v>17</v>
      </c>
      <c r="F68" s="8">
        <v>997.11</v>
      </c>
      <c r="G68" s="9">
        <v>9.86</v>
      </c>
      <c r="H68" s="10">
        <v>9831.5</v>
      </c>
    </row>
    <row r="69" spans="1:8" ht="16.5" x14ac:dyDescent="0.25">
      <c r="A69" s="5" t="s">
        <v>196</v>
      </c>
      <c r="B69" s="6" t="s">
        <v>197</v>
      </c>
      <c r="C69" s="7" t="s">
        <v>198</v>
      </c>
      <c r="D69" s="6" t="s">
        <v>21</v>
      </c>
      <c r="E69" s="6" t="s">
        <v>17</v>
      </c>
      <c r="F69" s="8">
        <v>997.11</v>
      </c>
      <c r="G69" s="9">
        <v>12.16</v>
      </c>
      <c r="H69" s="10">
        <v>12124.86</v>
      </c>
    </row>
    <row r="70" spans="1:8" ht="16.5" x14ac:dyDescent="0.25">
      <c r="A70" s="5" t="s">
        <v>199</v>
      </c>
      <c r="B70" s="6" t="s">
        <v>200</v>
      </c>
      <c r="C70" s="7" t="s">
        <v>201</v>
      </c>
      <c r="D70" s="6" t="s">
        <v>21</v>
      </c>
      <c r="E70" s="6" t="s">
        <v>17</v>
      </c>
      <c r="F70" s="8">
        <v>634.5</v>
      </c>
      <c r="G70" s="9">
        <v>3.1</v>
      </c>
      <c r="H70" s="10">
        <v>1966.95</v>
      </c>
    </row>
    <row r="71" spans="1:8" ht="16.5" x14ac:dyDescent="0.25">
      <c r="A71" s="5" t="s">
        <v>202</v>
      </c>
      <c r="B71" s="6" t="s">
        <v>203</v>
      </c>
      <c r="C71" s="7" t="s">
        <v>204</v>
      </c>
      <c r="D71" s="6" t="s">
        <v>21</v>
      </c>
      <c r="E71" s="6" t="s">
        <v>17</v>
      </c>
      <c r="F71" s="8">
        <v>634.5</v>
      </c>
      <c r="G71" s="9">
        <v>17.43</v>
      </c>
      <c r="H71" s="10">
        <v>11059.34</v>
      </c>
    </row>
    <row r="72" spans="1:8" ht="16.5" x14ac:dyDescent="0.25">
      <c r="A72" s="5" t="s">
        <v>205</v>
      </c>
      <c r="B72" s="6" t="s">
        <v>206</v>
      </c>
      <c r="C72" s="7" t="s">
        <v>207</v>
      </c>
      <c r="D72" s="6" t="s">
        <v>21</v>
      </c>
      <c r="E72" s="6" t="s">
        <v>17</v>
      </c>
      <c r="F72" s="8">
        <v>634.5</v>
      </c>
      <c r="G72" s="9">
        <v>13.74</v>
      </c>
      <c r="H72" s="10">
        <v>8718.0300000000007</v>
      </c>
    </row>
    <row r="73" spans="1:8" ht="19.899999999999999" customHeight="1" x14ac:dyDescent="0.25">
      <c r="A73" s="3" t="s">
        <v>208</v>
      </c>
      <c r="B73" s="253" t="s">
        <v>209</v>
      </c>
      <c r="C73" s="253"/>
      <c r="D73" s="253"/>
      <c r="E73" s="253"/>
      <c r="F73" s="253"/>
      <c r="G73" s="253"/>
      <c r="H73" s="4">
        <v>42089.25</v>
      </c>
    </row>
    <row r="74" spans="1:8" ht="33" x14ac:dyDescent="0.25">
      <c r="A74" s="5" t="s">
        <v>210</v>
      </c>
      <c r="B74" s="6" t="s">
        <v>211</v>
      </c>
      <c r="C74" s="7" t="s">
        <v>212</v>
      </c>
      <c r="D74" s="6" t="s">
        <v>21</v>
      </c>
      <c r="E74" s="6" t="s">
        <v>17</v>
      </c>
      <c r="F74" s="8">
        <v>466.37</v>
      </c>
      <c r="G74" s="9">
        <v>5.72</v>
      </c>
      <c r="H74" s="10">
        <v>2667.64</v>
      </c>
    </row>
    <row r="75" spans="1:8" ht="41.25" x14ac:dyDescent="0.25">
      <c r="A75" s="5" t="s">
        <v>213</v>
      </c>
      <c r="B75" s="6" t="s">
        <v>214</v>
      </c>
      <c r="C75" s="7" t="s">
        <v>215</v>
      </c>
      <c r="D75" s="6" t="s">
        <v>21</v>
      </c>
      <c r="E75" s="6" t="s">
        <v>17</v>
      </c>
      <c r="F75" s="8">
        <v>466.37</v>
      </c>
      <c r="G75" s="9">
        <v>31.53</v>
      </c>
      <c r="H75" s="10">
        <v>14704.65</v>
      </c>
    </row>
    <row r="76" spans="1:8" ht="24.75" x14ac:dyDescent="0.25">
      <c r="A76" s="5" t="s">
        <v>216</v>
      </c>
      <c r="B76" s="6" t="s">
        <v>217</v>
      </c>
      <c r="C76" s="7" t="s">
        <v>218</v>
      </c>
      <c r="D76" s="6" t="s">
        <v>16</v>
      </c>
      <c r="E76" s="6" t="s">
        <v>17</v>
      </c>
      <c r="F76" s="8">
        <v>32.5</v>
      </c>
      <c r="G76" s="9">
        <v>154.75</v>
      </c>
      <c r="H76" s="10">
        <v>5029.38</v>
      </c>
    </row>
    <row r="77" spans="1:8" ht="24.75" x14ac:dyDescent="0.25">
      <c r="A77" s="5" t="s">
        <v>219</v>
      </c>
      <c r="B77" s="6" t="s">
        <v>220</v>
      </c>
      <c r="C77" s="7" t="s">
        <v>221</v>
      </c>
      <c r="D77" s="6" t="s">
        <v>16</v>
      </c>
      <c r="E77" s="6" t="s">
        <v>222</v>
      </c>
      <c r="F77" s="8">
        <v>29.5</v>
      </c>
      <c r="G77" s="9">
        <v>228.6</v>
      </c>
      <c r="H77" s="10">
        <v>6743.7</v>
      </c>
    </row>
    <row r="78" spans="1:8" ht="16.5" x14ac:dyDescent="0.25">
      <c r="A78" s="5" t="s">
        <v>223</v>
      </c>
      <c r="B78" s="6" t="s">
        <v>191</v>
      </c>
      <c r="C78" s="7" t="s">
        <v>192</v>
      </c>
      <c r="D78" s="6" t="s">
        <v>21</v>
      </c>
      <c r="E78" s="6" t="s">
        <v>17</v>
      </c>
      <c r="F78" s="8">
        <v>404.37</v>
      </c>
      <c r="G78" s="9">
        <v>2.74</v>
      </c>
      <c r="H78" s="10">
        <v>1107.97</v>
      </c>
    </row>
    <row r="79" spans="1:8" ht="16.5" x14ac:dyDescent="0.25">
      <c r="A79" s="5" t="s">
        <v>224</v>
      </c>
      <c r="B79" s="6" t="s">
        <v>225</v>
      </c>
      <c r="C79" s="7" t="s">
        <v>226</v>
      </c>
      <c r="D79" s="6" t="s">
        <v>21</v>
      </c>
      <c r="E79" s="6" t="s">
        <v>17</v>
      </c>
      <c r="F79" s="8">
        <v>404.37</v>
      </c>
      <c r="G79" s="9">
        <v>17.11</v>
      </c>
      <c r="H79" s="10">
        <v>6918.77</v>
      </c>
    </row>
    <row r="80" spans="1:8" ht="16.5" x14ac:dyDescent="0.25">
      <c r="A80" s="5" t="s">
        <v>227</v>
      </c>
      <c r="B80" s="6" t="s">
        <v>197</v>
      </c>
      <c r="C80" s="7" t="s">
        <v>198</v>
      </c>
      <c r="D80" s="6" t="s">
        <v>21</v>
      </c>
      <c r="E80" s="6" t="s">
        <v>17</v>
      </c>
      <c r="F80" s="8">
        <v>404.37</v>
      </c>
      <c r="G80" s="9">
        <v>12.16</v>
      </c>
      <c r="H80" s="10">
        <v>4917.1400000000003</v>
      </c>
    </row>
    <row r="81" spans="1:8" ht="19.899999999999999" customHeight="1" x14ac:dyDescent="0.25">
      <c r="A81" s="3" t="s">
        <v>228</v>
      </c>
      <c r="B81" s="253" t="s">
        <v>229</v>
      </c>
      <c r="C81" s="253"/>
      <c r="D81" s="253"/>
      <c r="E81" s="253"/>
      <c r="F81" s="253"/>
      <c r="G81" s="253"/>
      <c r="H81" s="4">
        <v>40014.01</v>
      </c>
    </row>
    <row r="82" spans="1:8" ht="24.75" x14ac:dyDescent="0.25">
      <c r="A82" s="5" t="s">
        <v>230</v>
      </c>
      <c r="B82" s="6" t="s">
        <v>231</v>
      </c>
      <c r="C82" s="7" t="s">
        <v>232</v>
      </c>
      <c r="D82" s="6" t="s">
        <v>21</v>
      </c>
      <c r="E82" s="6" t="s">
        <v>166</v>
      </c>
      <c r="F82" s="8">
        <v>117</v>
      </c>
      <c r="G82" s="9">
        <v>13.45</v>
      </c>
      <c r="H82" s="10">
        <v>1573.65</v>
      </c>
    </row>
    <row r="83" spans="1:8" ht="16.5" x14ac:dyDescent="0.25">
      <c r="A83" s="5" t="s">
        <v>233</v>
      </c>
      <c r="B83" s="6" t="s">
        <v>234</v>
      </c>
      <c r="C83" s="7" t="s">
        <v>235</v>
      </c>
      <c r="D83" s="6" t="s">
        <v>21</v>
      </c>
      <c r="E83" s="6" t="s">
        <v>166</v>
      </c>
      <c r="F83" s="8">
        <v>76</v>
      </c>
      <c r="G83" s="9">
        <v>11.14</v>
      </c>
      <c r="H83" s="10">
        <v>846.64</v>
      </c>
    </row>
    <row r="84" spans="1:8" ht="24.75" x14ac:dyDescent="0.25">
      <c r="A84" s="5" t="s">
        <v>236</v>
      </c>
      <c r="B84" s="6" t="s">
        <v>237</v>
      </c>
      <c r="C84" s="7" t="s">
        <v>238</v>
      </c>
      <c r="D84" s="6" t="s">
        <v>21</v>
      </c>
      <c r="E84" s="6" t="s">
        <v>37</v>
      </c>
      <c r="F84" s="8">
        <v>1253.8</v>
      </c>
      <c r="G84" s="9">
        <v>2.7</v>
      </c>
      <c r="H84" s="10">
        <v>3385.26</v>
      </c>
    </row>
    <row r="85" spans="1:8" ht="24.75" x14ac:dyDescent="0.25">
      <c r="A85" s="5" t="s">
        <v>239</v>
      </c>
      <c r="B85" s="6" t="s">
        <v>240</v>
      </c>
      <c r="C85" s="7" t="s">
        <v>241</v>
      </c>
      <c r="D85" s="6" t="s">
        <v>21</v>
      </c>
      <c r="E85" s="6" t="s">
        <v>37</v>
      </c>
      <c r="F85" s="8">
        <v>1496.3</v>
      </c>
      <c r="G85" s="9">
        <v>3.98</v>
      </c>
      <c r="H85" s="10">
        <v>5955.27</v>
      </c>
    </row>
    <row r="86" spans="1:8" ht="24.75" x14ac:dyDescent="0.25">
      <c r="A86" s="5" t="s">
        <v>242</v>
      </c>
      <c r="B86" s="6" t="s">
        <v>243</v>
      </c>
      <c r="C86" s="7" t="s">
        <v>244</v>
      </c>
      <c r="D86" s="6" t="s">
        <v>21</v>
      </c>
      <c r="E86" s="6" t="s">
        <v>37</v>
      </c>
      <c r="F86" s="8">
        <v>284.60000000000002</v>
      </c>
      <c r="G86" s="9">
        <v>6.23</v>
      </c>
      <c r="H86" s="10">
        <v>1773.06</v>
      </c>
    </row>
    <row r="87" spans="1:8" ht="24.75" x14ac:dyDescent="0.25">
      <c r="A87" s="5" t="s">
        <v>245</v>
      </c>
      <c r="B87" s="6" t="s">
        <v>246</v>
      </c>
      <c r="C87" s="7" t="s">
        <v>247</v>
      </c>
      <c r="D87" s="6" t="s">
        <v>21</v>
      </c>
      <c r="E87" s="6" t="s">
        <v>37</v>
      </c>
      <c r="F87" s="8">
        <v>224</v>
      </c>
      <c r="G87" s="9">
        <v>9.51</v>
      </c>
      <c r="H87" s="10">
        <v>2130.2399999999998</v>
      </c>
    </row>
    <row r="88" spans="1:8" ht="16.5" x14ac:dyDescent="0.25">
      <c r="A88" s="5" t="s">
        <v>248</v>
      </c>
      <c r="B88" s="6" t="s">
        <v>249</v>
      </c>
      <c r="C88" s="7" t="s">
        <v>250</v>
      </c>
      <c r="D88" s="6" t="s">
        <v>21</v>
      </c>
      <c r="E88" s="6" t="s">
        <v>166</v>
      </c>
      <c r="F88" s="8">
        <v>2</v>
      </c>
      <c r="G88" s="9">
        <v>101.17</v>
      </c>
      <c r="H88" s="10">
        <v>202.34</v>
      </c>
    </row>
    <row r="89" spans="1:8" ht="24.75" x14ac:dyDescent="0.25">
      <c r="A89" s="5" t="s">
        <v>251</v>
      </c>
      <c r="B89" s="6" t="s">
        <v>252</v>
      </c>
      <c r="C89" s="7" t="s">
        <v>253</v>
      </c>
      <c r="D89" s="6" t="s">
        <v>21</v>
      </c>
      <c r="E89" s="6" t="s">
        <v>166</v>
      </c>
      <c r="F89" s="8">
        <v>19</v>
      </c>
      <c r="G89" s="9">
        <v>15.35</v>
      </c>
      <c r="H89" s="10">
        <v>291.64999999999998</v>
      </c>
    </row>
    <row r="90" spans="1:8" ht="16.5" x14ac:dyDescent="0.25">
      <c r="A90" s="5" t="s">
        <v>254</v>
      </c>
      <c r="B90" s="6" t="s">
        <v>255</v>
      </c>
      <c r="C90" s="7" t="s">
        <v>256</v>
      </c>
      <c r="D90" s="6" t="s">
        <v>21</v>
      </c>
      <c r="E90" s="6" t="s">
        <v>166</v>
      </c>
      <c r="F90" s="8">
        <v>1</v>
      </c>
      <c r="G90" s="9">
        <v>73.97</v>
      </c>
      <c r="H90" s="10">
        <v>73.97</v>
      </c>
    </row>
    <row r="91" spans="1:8" ht="16.5" x14ac:dyDescent="0.25">
      <c r="A91" s="5" t="s">
        <v>257</v>
      </c>
      <c r="B91" s="6" t="s">
        <v>258</v>
      </c>
      <c r="C91" s="7" t="s">
        <v>259</v>
      </c>
      <c r="D91" s="6" t="s">
        <v>21</v>
      </c>
      <c r="E91" s="6" t="s">
        <v>166</v>
      </c>
      <c r="F91" s="8">
        <v>1</v>
      </c>
      <c r="G91" s="9">
        <v>77.569999999999993</v>
      </c>
      <c r="H91" s="10">
        <v>77.569999999999993</v>
      </c>
    </row>
    <row r="92" spans="1:8" ht="16.5" x14ac:dyDescent="0.25">
      <c r="A92" s="5" t="s">
        <v>260</v>
      </c>
      <c r="B92" s="6" t="s">
        <v>261</v>
      </c>
      <c r="C92" s="7" t="s">
        <v>262</v>
      </c>
      <c r="D92" s="6" t="s">
        <v>21</v>
      </c>
      <c r="E92" s="6" t="s">
        <v>166</v>
      </c>
      <c r="F92" s="8">
        <v>6</v>
      </c>
      <c r="G92" s="9">
        <v>74.81</v>
      </c>
      <c r="H92" s="10">
        <v>448.86</v>
      </c>
    </row>
    <row r="93" spans="1:8" ht="16.5" x14ac:dyDescent="0.25">
      <c r="A93" s="5" t="s">
        <v>263</v>
      </c>
      <c r="B93" s="6" t="s">
        <v>264</v>
      </c>
      <c r="C93" s="7" t="s">
        <v>265</v>
      </c>
      <c r="D93" s="6" t="s">
        <v>21</v>
      </c>
      <c r="E93" s="6" t="s">
        <v>166</v>
      </c>
      <c r="F93" s="8">
        <v>1</v>
      </c>
      <c r="G93" s="9">
        <v>136.80000000000001</v>
      </c>
      <c r="H93" s="10">
        <v>136.80000000000001</v>
      </c>
    </row>
    <row r="94" spans="1:8" ht="16.5" x14ac:dyDescent="0.25">
      <c r="A94" s="5" t="s">
        <v>266</v>
      </c>
      <c r="B94" s="6" t="s">
        <v>267</v>
      </c>
      <c r="C94" s="7" t="s">
        <v>268</v>
      </c>
      <c r="D94" s="6" t="s">
        <v>21</v>
      </c>
      <c r="E94" s="6" t="s">
        <v>166</v>
      </c>
      <c r="F94" s="8">
        <v>1</v>
      </c>
      <c r="G94" s="9">
        <v>139.25</v>
      </c>
      <c r="H94" s="10">
        <v>139.25</v>
      </c>
    </row>
    <row r="95" spans="1:8" ht="24.75" x14ac:dyDescent="0.25">
      <c r="A95" s="5" t="s">
        <v>269</v>
      </c>
      <c r="B95" s="6" t="s">
        <v>270</v>
      </c>
      <c r="C95" s="7" t="s">
        <v>271</v>
      </c>
      <c r="D95" s="6" t="s">
        <v>21</v>
      </c>
      <c r="E95" s="6" t="s">
        <v>166</v>
      </c>
      <c r="F95" s="8">
        <v>23</v>
      </c>
      <c r="G95" s="9">
        <v>25.8</v>
      </c>
      <c r="H95" s="10">
        <v>593.4</v>
      </c>
    </row>
    <row r="96" spans="1:8" ht="24.75" x14ac:dyDescent="0.25">
      <c r="A96" s="5" t="s">
        <v>272</v>
      </c>
      <c r="B96" s="6" t="s">
        <v>273</v>
      </c>
      <c r="C96" s="7" t="s">
        <v>274</v>
      </c>
      <c r="D96" s="6" t="s">
        <v>21</v>
      </c>
      <c r="E96" s="6" t="s">
        <v>166</v>
      </c>
      <c r="F96" s="8">
        <v>1</v>
      </c>
      <c r="G96" s="9">
        <v>53.44</v>
      </c>
      <c r="H96" s="10">
        <v>53.44</v>
      </c>
    </row>
    <row r="97" spans="1:8" ht="24.75" x14ac:dyDescent="0.25">
      <c r="A97" s="5" t="s">
        <v>275</v>
      </c>
      <c r="B97" s="6" t="s">
        <v>276</v>
      </c>
      <c r="C97" s="7" t="s">
        <v>277</v>
      </c>
      <c r="D97" s="6" t="s">
        <v>21</v>
      </c>
      <c r="E97" s="6" t="s">
        <v>166</v>
      </c>
      <c r="F97" s="8">
        <v>54</v>
      </c>
      <c r="G97" s="9">
        <v>27.19</v>
      </c>
      <c r="H97" s="10">
        <v>1468.26</v>
      </c>
    </row>
    <row r="98" spans="1:8" ht="24.75" x14ac:dyDescent="0.25">
      <c r="A98" s="5" t="s">
        <v>278</v>
      </c>
      <c r="B98" s="6" t="s">
        <v>279</v>
      </c>
      <c r="C98" s="7" t="s">
        <v>280</v>
      </c>
      <c r="D98" s="6" t="s">
        <v>21</v>
      </c>
      <c r="E98" s="6" t="s">
        <v>166</v>
      </c>
      <c r="F98" s="8">
        <v>8</v>
      </c>
      <c r="G98" s="9">
        <v>42.35</v>
      </c>
      <c r="H98" s="10">
        <v>338.8</v>
      </c>
    </row>
    <row r="99" spans="1:8" ht="24.75" x14ac:dyDescent="0.25">
      <c r="A99" s="5" t="s">
        <v>281</v>
      </c>
      <c r="B99" s="6" t="s">
        <v>282</v>
      </c>
      <c r="C99" s="7" t="s">
        <v>283</v>
      </c>
      <c r="D99" s="6" t="s">
        <v>21</v>
      </c>
      <c r="E99" s="6" t="s">
        <v>166</v>
      </c>
      <c r="F99" s="8">
        <v>2</v>
      </c>
      <c r="G99" s="9">
        <v>39.619999999999997</v>
      </c>
      <c r="H99" s="10">
        <v>79.239999999999995</v>
      </c>
    </row>
    <row r="100" spans="1:8" ht="24.75" x14ac:dyDescent="0.25">
      <c r="A100" s="5" t="s">
        <v>284</v>
      </c>
      <c r="B100" s="6" t="s">
        <v>285</v>
      </c>
      <c r="C100" s="7" t="s">
        <v>286</v>
      </c>
      <c r="D100" s="6" t="s">
        <v>21</v>
      </c>
      <c r="E100" s="6" t="s">
        <v>37</v>
      </c>
      <c r="F100" s="8">
        <v>830.48</v>
      </c>
      <c r="G100" s="9">
        <v>9.77</v>
      </c>
      <c r="H100" s="10">
        <v>8113.79</v>
      </c>
    </row>
    <row r="101" spans="1:8" ht="24.75" x14ac:dyDescent="0.25">
      <c r="A101" s="5" t="s">
        <v>287</v>
      </c>
      <c r="B101" s="6" t="s">
        <v>288</v>
      </c>
      <c r="C101" s="7" t="s">
        <v>289</v>
      </c>
      <c r="D101" s="6" t="s">
        <v>21</v>
      </c>
      <c r="E101" s="6" t="s">
        <v>37</v>
      </c>
      <c r="F101" s="8">
        <v>55.97</v>
      </c>
      <c r="G101" s="9">
        <v>13.05</v>
      </c>
      <c r="H101" s="10">
        <v>730.41</v>
      </c>
    </row>
    <row r="102" spans="1:8" ht="24.75" x14ac:dyDescent="0.25">
      <c r="A102" s="5" t="s">
        <v>290</v>
      </c>
      <c r="B102" s="6" t="s">
        <v>291</v>
      </c>
      <c r="C102" s="7" t="s">
        <v>292</v>
      </c>
      <c r="D102" s="6" t="s">
        <v>21</v>
      </c>
      <c r="E102" s="6" t="s">
        <v>37</v>
      </c>
      <c r="F102" s="8">
        <v>36.19</v>
      </c>
      <c r="G102" s="9">
        <v>9.18</v>
      </c>
      <c r="H102" s="10">
        <v>332.22</v>
      </c>
    </row>
    <row r="103" spans="1:8" ht="24.75" x14ac:dyDescent="0.25">
      <c r="A103" s="5" t="s">
        <v>293</v>
      </c>
      <c r="B103" s="6" t="s">
        <v>294</v>
      </c>
      <c r="C103" s="7" t="s">
        <v>295</v>
      </c>
      <c r="D103" s="6" t="s">
        <v>21</v>
      </c>
      <c r="E103" s="6" t="s">
        <v>166</v>
      </c>
      <c r="F103" s="8">
        <v>15</v>
      </c>
      <c r="G103" s="9">
        <v>289.93</v>
      </c>
      <c r="H103" s="10">
        <v>4348.95</v>
      </c>
    </row>
    <row r="104" spans="1:8" ht="24.75" x14ac:dyDescent="0.25">
      <c r="A104" s="5" t="s">
        <v>296</v>
      </c>
      <c r="B104" s="6" t="s">
        <v>297</v>
      </c>
      <c r="C104" s="7" t="s">
        <v>298</v>
      </c>
      <c r="D104" s="6" t="s">
        <v>21</v>
      </c>
      <c r="E104" s="6" t="s">
        <v>166</v>
      </c>
      <c r="F104" s="8">
        <v>76</v>
      </c>
      <c r="G104" s="9">
        <v>33.380000000000003</v>
      </c>
      <c r="H104" s="10">
        <v>2536.88</v>
      </c>
    </row>
    <row r="105" spans="1:8" ht="33" x14ac:dyDescent="0.25">
      <c r="A105" s="5" t="s">
        <v>299</v>
      </c>
      <c r="B105" s="6" t="s">
        <v>300</v>
      </c>
      <c r="C105" s="7" t="s">
        <v>301</v>
      </c>
      <c r="D105" s="6" t="s">
        <v>21</v>
      </c>
      <c r="E105" s="6" t="s">
        <v>166</v>
      </c>
      <c r="F105" s="8">
        <v>1</v>
      </c>
      <c r="G105" s="9">
        <v>1759.39</v>
      </c>
      <c r="H105" s="10">
        <v>1759.39</v>
      </c>
    </row>
    <row r="106" spans="1:8" ht="24.75" x14ac:dyDescent="0.25">
      <c r="A106" s="5" t="s">
        <v>302</v>
      </c>
      <c r="B106" s="6" t="s">
        <v>303</v>
      </c>
      <c r="C106" s="7" t="s">
        <v>304</v>
      </c>
      <c r="D106" s="6" t="s">
        <v>21</v>
      </c>
      <c r="E106" s="6" t="s">
        <v>166</v>
      </c>
      <c r="F106" s="8">
        <v>1</v>
      </c>
      <c r="G106" s="9">
        <v>924.88</v>
      </c>
      <c r="H106" s="10">
        <v>924.88</v>
      </c>
    </row>
    <row r="107" spans="1:8" ht="33" x14ac:dyDescent="0.25">
      <c r="A107" s="5" t="s">
        <v>305</v>
      </c>
      <c r="B107" s="6" t="s">
        <v>306</v>
      </c>
      <c r="C107" s="7" t="s">
        <v>307</v>
      </c>
      <c r="D107" s="6" t="s">
        <v>21</v>
      </c>
      <c r="E107" s="6" t="s">
        <v>166</v>
      </c>
      <c r="F107" s="8">
        <v>1</v>
      </c>
      <c r="G107" s="9">
        <v>555.51</v>
      </c>
      <c r="H107" s="10">
        <v>555.51</v>
      </c>
    </row>
    <row r="108" spans="1:8" ht="24.75" x14ac:dyDescent="0.25">
      <c r="A108" s="5" t="s">
        <v>308</v>
      </c>
      <c r="B108" s="6" t="s">
        <v>303</v>
      </c>
      <c r="C108" s="7" t="s">
        <v>304</v>
      </c>
      <c r="D108" s="6" t="s">
        <v>21</v>
      </c>
      <c r="E108" s="6" t="s">
        <v>166</v>
      </c>
      <c r="F108" s="8">
        <v>1</v>
      </c>
      <c r="G108" s="9">
        <v>924.88</v>
      </c>
      <c r="H108" s="10">
        <v>924.88</v>
      </c>
    </row>
    <row r="109" spans="1:8" ht="24.75" x14ac:dyDescent="0.25">
      <c r="A109" s="5" t="s">
        <v>309</v>
      </c>
      <c r="B109" s="6" t="s">
        <v>310</v>
      </c>
      <c r="C109" s="7" t="s">
        <v>311</v>
      </c>
      <c r="D109" s="6" t="s">
        <v>21</v>
      </c>
      <c r="E109" s="6" t="s">
        <v>166</v>
      </c>
      <c r="F109" s="8">
        <v>5</v>
      </c>
      <c r="G109" s="9">
        <v>43.88</v>
      </c>
      <c r="H109" s="10">
        <v>219.4</v>
      </c>
    </row>
    <row r="110" spans="1:8" ht="19.899999999999999" customHeight="1" x14ac:dyDescent="0.25">
      <c r="A110" s="3" t="s">
        <v>312</v>
      </c>
      <c r="B110" s="253" t="s">
        <v>313</v>
      </c>
      <c r="C110" s="253"/>
      <c r="D110" s="253"/>
      <c r="E110" s="253"/>
      <c r="F110" s="253"/>
      <c r="G110" s="253"/>
      <c r="H110" s="4">
        <v>152184.26</v>
      </c>
    </row>
    <row r="111" spans="1:8" ht="16.5" x14ac:dyDescent="0.25">
      <c r="A111" s="5" t="s">
        <v>314</v>
      </c>
      <c r="B111" s="6" t="s">
        <v>315</v>
      </c>
      <c r="C111" s="7" t="s">
        <v>316</v>
      </c>
      <c r="D111" s="6" t="s">
        <v>21</v>
      </c>
      <c r="E111" s="6" t="s">
        <v>41</v>
      </c>
      <c r="F111" s="8">
        <v>31.73</v>
      </c>
      <c r="G111" s="9">
        <v>593.44000000000005</v>
      </c>
      <c r="H111" s="10">
        <v>18829.849999999999</v>
      </c>
    </row>
    <row r="112" spans="1:8" ht="49.5" x14ac:dyDescent="0.25">
      <c r="A112" s="5" t="s">
        <v>317</v>
      </c>
      <c r="B112" s="6" t="s">
        <v>318</v>
      </c>
      <c r="C112" s="7" t="s">
        <v>319</v>
      </c>
      <c r="D112" s="6" t="s">
        <v>21</v>
      </c>
      <c r="E112" s="6" t="s">
        <v>17</v>
      </c>
      <c r="F112" s="8">
        <v>634.5</v>
      </c>
      <c r="G112" s="9">
        <v>46.08</v>
      </c>
      <c r="H112" s="10">
        <v>29237.759999999998</v>
      </c>
    </row>
    <row r="113" spans="1:8" ht="33" x14ac:dyDescent="0.25">
      <c r="A113" s="5" t="s">
        <v>320</v>
      </c>
      <c r="B113" s="6" t="s">
        <v>321</v>
      </c>
      <c r="C113" s="7" t="s">
        <v>322</v>
      </c>
      <c r="D113" s="6" t="s">
        <v>21</v>
      </c>
      <c r="E113" s="6" t="s">
        <v>17</v>
      </c>
      <c r="F113" s="8">
        <v>634.5</v>
      </c>
      <c r="G113" s="9">
        <v>95.14</v>
      </c>
      <c r="H113" s="10">
        <v>60366.33</v>
      </c>
    </row>
    <row r="114" spans="1:8" ht="24.75" x14ac:dyDescent="0.25">
      <c r="A114" s="5" t="s">
        <v>323</v>
      </c>
      <c r="B114" s="6" t="s">
        <v>324</v>
      </c>
      <c r="C114" s="7" t="s">
        <v>325</v>
      </c>
      <c r="D114" s="6" t="s">
        <v>21</v>
      </c>
      <c r="E114" s="6" t="s">
        <v>17</v>
      </c>
      <c r="F114" s="8">
        <v>629.38</v>
      </c>
      <c r="G114" s="9">
        <v>51.12</v>
      </c>
      <c r="H114" s="10">
        <v>32173.91</v>
      </c>
    </row>
    <row r="115" spans="1:8" ht="41.25" x14ac:dyDescent="0.25">
      <c r="A115" s="5" t="s">
        <v>326</v>
      </c>
      <c r="B115" s="6" t="s">
        <v>327</v>
      </c>
      <c r="C115" s="7" t="s">
        <v>328</v>
      </c>
      <c r="D115" s="6" t="s">
        <v>21</v>
      </c>
      <c r="E115" s="6" t="s">
        <v>37</v>
      </c>
      <c r="F115" s="8">
        <v>126.37</v>
      </c>
      <c r="G115" s="9">
        <v>47.25</v>
      </c>
      <c r="H115" s="10">
        <v>5970.98</v>
      </c>
    </row>
    <row r="116" spans="1:8" ht="16.5" x14ac:dyDescent="0.25">
      <c r="A116" s="5" t="s">
        <v>329</v>
      </c>
      <c r="B116" s="6" t="s">
        <v>330</v>
      </c>
      <c r="C116" s="7" t="s">
        <v>331</v>
      </c>
      <c r="D116" s="6" t="s">
        <v>21</v>
      </c>
      <c r="E116" s="6" t="s">
        <v>41</v>
      </c>
      <c r="F116" s="8">
        <v>7.46</v>
      </c>
      <c r="G116" s="9">
        <v>70.77</v>
      </c>
      <c r="H116" s="10">
        <v>527.94000000000005</v>
      </c>
    </row>
    <row r="117" spans="1:8" x14ac:dyDescent="0.25">
      <c r="A117" s="5" t="s">
        <v>332</v>
      </c>
      <c r="B117" s="6" t="s">
        <v>333</v>
      </c>
      <c r="C117" s="7" t="s">
        <v>334</v>
      </c>
      <c r="D117" s="6" t="s">
        <v>21</v>
      </c>
      <c r="E117" s="6" t="s">
        <v>17</v>
      </c>
      <c r="F117" s="8">
        <v>25.6</v>
      </c>
      <c r="G117" s="9">
        <v>15.87</v>
      </c>
      <c r="H117" s="10">
        <v>406.27</v>
      </c>
    </row>
    <row r="118" spans="1:8" ht="24.75" x14ac:dyDescent="0.25">
      <c r="A118" s="5" t="s">
        <v>335</v>
      </c>
      <c r="B118" s="6" t="s">
        <v>336</v>
      </c>
      <c r="C118" s="7" t="s">
        <v>337</v>
      </c>
      <c r="D118" s="6" t="s">
        <v>21</v>
      </c>
      <c r="E118" s="6" t="s">
        <v>17</v>
      </c>
      <c r="F118" s="8">
        <v>39.6</v>
      </c>
      <c r="G118" s="9">
        <v>117.96</v>
      </c>
      <c r="H118" s="10">
        <v>4671.22</v>
      </c>
    </row>
    <row r="119" spans="1:8" ht="19.899999999999999" customHeight="1" x14ac:dyDescent="0.25">
      <c r="A119" s="3" t="s">
        <v>338</v>
      </c>
      <c r="B119" s="253" t="s">
        <v>339</v>
      </c>
      <c r="C119" s="253"/>
      <c r="D119" s="253"/>
      <c r="E119" s="253"/>
      <c r="F119" s="253"/>
      <c r="G119" s="253"/>
      <c r="H119" s="4">
        <v>172109.59</v>
      </c>
    </row>
    <row r="120" spans="1:8" ht="41.25" x14ac:dyDescent="0.25">
      <c r="A120" s="5" t="s">
        <v>340</v>
      </c>
      <c r="B120" s="6" t="s">
        <v>341</v>
      </c>
      <c r="C120" s="7" t="s">
        <v>342</v>
      </c>
      <c r="D120" s="6" t="s">
        <v>21</v>
      </c>
      <c r="E120" s="6" t="s">
        <v>17</v>
      </c>
      <c r="F120" s="8">
        <v>610.20000000000005</v>
      </c>
      <c r="G120" s="9">
        <v>69.180000000000007</v>
      </c>
      <c r="H120" s="10">
        <v>42213.64</v>
      </c>
    </row>
    <row r="121" spans="1:8" ht="24.75" x14ac:dyDescent="0.25">
      <c r="A121" s="5" t="s">
        <v>343</v>
      </c>
      <c r="B121" s="6" t="s">
        <v>344</v>
      </c>
      <c r="C121" s="7" t="s">
        <v>345</v>
      </c>
      <c r="D121" s="6" t="s">
        <v>21</v>
      </c>
      <c r="E121" s="6" t="s">
        <v>17</v>
      </c>
      <c r="F121" s="8">
        <v>181.61</v>
      </c>
      <c r="G121" s="9">
        <v>109.11</v>
      </c>
      <c r="H121" s="10">
        <v>19815.47</v>
      </c>
    </row>
    <row r="122" spans="1:8" ht="24.75" x14ac:dyDescent="0.25">
      <c r="A122" s="5" t="s">
        <v>346</v>
      </c>
      <c r="B122" s="6" t="s">
        <v>347</v>
      </c>
      <c r="C122" s="7" t="s">
        <v>348</v>
      </c>
      <c r="D122" s="6" t="s">
        <v>21</v>
      </c>
      <c r="E122" s="6" t="s">
        <v>17</v>
      </c>
      <c r="F122" s="8">
        <v>181.61</v>
      </c>
      <c r="G122" s="9">
        <v>46.12</v>
      </c>
      <c r="H122" s="10">
        <v>8375.85</v>
      </c>
    </row>
    <row r="123" spans="1:8" ht="41.25" x14ac:dyDescent="0.25">
      <c r="A123" s="5" t="s">
        <v>349</v>
      </c>
      <c r="B123" s="6" t="s">
        <v>350</v>
      </c>
      <c r="C123" s="7" t="s">
        <v>351</v>
      </c>
      <c r="D123" s="6" t="s">
        <v>21</v>
      </c>
      <c r="E123" s="6" t="s">
        <v>166</v>
      </c>
      <c r="F123" s="8">
        <v>10</v>
      </c>
      <c r="G123" s="9">
        <v>2472.0700000000002</v>
      </c>
      <c r="H123" s="10">
        <v>24720.7</v>
      </c>
    </row>
    <row r="124" spans="1:8" ht="41.25" x14ac:dyDescent="0.25">
      <c r="A124" s="5" t="s">
        <v>352</v>
      </c>
      <c r="B124" s="6" t="s">
        <v>353</v>
      </c>
      <c r="C124" s="7" t="s">
        <v>354</v>
      </c>
      <c r="D124" s="6" t="s">
        <v>21</v>
      </c>
      <c r="E124" s="6" t="s">
        <v>166</v>
      </c>
      <c r="F124" s="8">
        <v>10</v>
      </c>
      <c r="G124" s="9">
        <v>2766.14</v>
      </c>
      <c r="H124" s="10">
        <v>27661.4</v>
      </c>
    </row>
    <row r="125" spans="1:8" ht="33" x14ac:dyDescent="0.25">
      <c r="A125" s="5" t="s">
        <v>355</v>
      </c>
      <c r="B125" s="6" t="s">
        <v>356</v>
      </c>
      <c r="C125" s="7" t="s">
        <v>357</v>
      </c>
      <c r="D125" s="6" t="s">
        <v>21</v>
      </c>
      <c r="E125" s="6" t="s">
        <v>17</v>
      </c>
      <c r="F125" s="8">
        <v>610.20000000000005</v>
      </c>
      <c r="G125" s="9">
        <v>15.3</v>
      </c>
      <c r="H125" s="10">
        <v>9336.06</v>
      </c>
    </row>
    <row r="126" spans="1:8" ht="24.75" x14ac:dyDescent="0.25">
      <c r="A126" s="5" t="s">
        <v>358</v>
      </c>
      <c r="B126" s="6" t="s">
        <v>359</v>
      </c>
      <c r="C126" s="7" t="s">
        <v>360</v>
      </c>
      <c r="D126" s="6" t="s">
        <v>21</v>
      </c>
      <c r="E126" s="6" t="s">
        <v>37</v>
      </c>
      <c r="F126" s="8">
        <v>113.1</v>
      </c>
      <c r="G126" s="9">
        <v>84.59</v>
      </c>
      <c r="H126" s="10">
        <v>9567.1299999999992</v>
      </c>
    </row>
    <row r="127" spans="1:8" ht="24.75" x14ac:dyDescent="0.25">
      <c r="A127" s="5" t="s">
        <v>361</v>
      </c>
      <c r="B127" s="6" t="s">
        <v>362</v>
      </c>
      <c r="C127" s="7" t="s">
        <v>363</v>
      </c>
      <c r="D127" s="6" t="s">
        <v>21</v>
      </c>
      <c r="E127" s="6" t="s">
        <v>37</v>
      </c>
      <c r="F127" s="8">
        <v>52.64</v>
      </c>
      <c r="G127" s="9">
        <v>165.04</v>
      </c>
      <c r="H127" s="10">
        <v>8687.7099999999991</v>
      </c>
    </row>
    <row r="128" spans="1:8" ht="16.5" x14ac:dyDescent="0.25">
      <c r="A128" s="5" t="s">
        <v>364</v>
      </c>
      <c r="B128" s="6" t="s">
        <v>365</v>
      </c>
      <c r="C128" s="7" t="s">
        <v>366</v>
      </c>
      <c r="D128" s="6" t="s">
        <v>21</v>
      </c>
      <c r="E128" s="6" t="s">
        <v>17</v>
      </c>
      <c r="F128" s="8">
        <v>634.5</v>
      </c>
      <c r="G128" s="9">
        <v>34.25</v>
      </c>
      <c r="H128" s="10">
        <v>21731.63</v>
      </c>
    </row>
    <row r="129" spans="1:8" ht="19.899999999999999" customHeight="1" x14ac:dyDescent="0.25">
      <c r="A129" s="3" t="s">
        <v>367</v>
      </c>
      <c r="B129" s="253" t="s">
        <v>368</v>
      </c>
      <c r="C129" s="253"/>
      <c r="D129" s="253"/>
      <c r="E129" s="253"/>
      <c r="F129" s="253"/>
      <c r="G129" s="253"/>
      <c r="H129" s="4">
        <v>36628.07</v>
      </c>
    </row>
    <row r="130" spans="1:8" ht="49.5" x14ac:dyDescent="0.25">
      <c r="A130" s="5" t="s">
        <v>369</v>
      </c>
      <c r="B130" s="6" t="s">
        <v>370</v>
      </c>
      <c r="C130" s="7" t="s">
        <v>371</v>
      </c>
      <c r="D130" s="6" t="s">
        <v>21</v>
      </c>
      <c r="E130" s="6" t="s">
        <v>37</v>
      </c>
      <c r="F130" s="8">
        <v>98.77</v>
      </c>
      <c r="G130" s="9">
        <v>39.15</v>
      </c>
      <c r="H130" s="10">
        <v>3866.85</v>
      </c>
    </row>
    <row r="131" spans="1:8" ht="41.25" x14ac:dyDescent="0.25">
      <c r="A131" s="5" t="s">
        <v>372</v>
      </c>
      <c r="B131" s="6" t="s">
        <v>373</v>
      </c>
      <c r="C131" s="7" t="s">
        <v>374</v>
      </c>
      <c r="D131" s="6" t="s">
        <v>21</v>
      </c>
      <c r="E131" s="6" t="s">
        <v>37</v>
      </c>
      <c r="F131" s="8">
        <v>62.17</v>
      </c>
      <c r="G131" s="9">
        <v>40.17</v>
      </c>
      <c r="H131" s="10">
        <v>2497.37</v>
      </c>
    </row>
    <row r="132" spans="1:8" ht="49.5" x14ac:dyDescent="0.25">
      <c r="A132" s="5" t="s">
        <v>375</v>
      </c>
      <c r="B132" s="6" t="s">
        <v>376</v>
      </c>
      <c r="C132" s="7" t="s">
        <v>377</v>
      </c>
      <c r="D132" s="6" t="s">
        <v>21</v>
      </c>
      <c r="E132" s="6" t="s">
        <v>37</v>
      </c>
      <c r="F132" s="8">
        <v>24.75</v>
      </c>
      <c r="G132" s="9">
        <v>30.41</v>
      </c>
      <c r="H132" s="10">
        <v>752.65</v>
      </c>
    </row>
    <row r="133" spans="1:8" ht="41.25" x14ac:dyDescent="0.25">
      <c r="A133" s="5" t="s">
        <v>378</v>
      </c>
      <c r="B133" s="6" t="s">
        <v>379</v>
      </c>
      <c r="C133" s="7" t="s">
        <v>380</v>
      </c>
      <c r="D133" s="6" t="s">
        <v>21</v>
      </c>
      <c r="E133" s="6" t="s">
        <v>37</v>
      </c>
      <c r="F133" s="8">
        <v>25.92</v>
      </c>
      <c r="G133" s="9">
        <v>36.86</v>
      </c>
      <c r="H133" s="10">
        <v>955.41</v>
      </c>
    </row>
    <row r="134" spans="1:8" ht="24.75" x14ac:dyDescent="0.25">
      <c r="A134" s="5" t="s">
        <v>381</v>
      </c>
      <c r="B134" s="6" t="s">
        <v>382</v>
      </c>
      <c r="C134" s="7" t="s">
        <v>383</v>
      </c>
      <c r="D134" s="6" t="s">
        <v>21</v>
      </c>
      <c r="E134" s="6" t="s">
        <v>166</v>
      </c>
      <c r="F134" s="8">
        <v>10</v>
      </c>
      <c r="G134" s="9">
        <v>102.73</v>
      </c>
      <c r="H134" s="10">
        <v>1027.3</v>
      </c>
    </row>
    <row r="135" spans="1:8" ht="24.75" x14ac:dyDescent="0.25">
      <c r="A135" s="5" t="s">
        <v>384</v>
      </c>
      <c r="B135" s="6" t="s">
        <v>385</v>
      </c>
      <c r="C135" s="7" t="s">
        <v>386</v>
      </c>
      <c r="D135" s="6" t="s">
        <v>21</v>
      </c>
      <c r="E135" s="6" t="s">
        <v>166</v>
      </c>
      <c r="F135" s="8">
        <v>2</v>
      </c>
      <c r="G135" s="9">
        <v>29.96</v>
      </c>
      <c r="H135" s="10">
        <v>59.92</v>
      </c>
    </row>
    <row r="136" spans="1:8" ht="24.75" x14ac:dyDescent="0.25">
      <c r="A136" s="5" t="s">
        <v>387</v>
      </c>
      <c r="B136" s="6" t="s">
        <v>388</v>
      </c>
      <c r="C136" s="7" t="s">
        <v>389</v>
      </c>
      <c r="D136" s="6" t="s">
        <v>21</v>
      </c>
      <c r="E136" s="6" t="s">
        <v>166</v>
      </c>
      <c r="F136" s="8">
        <v>6</v>
      </c>
      <c r="G136" s="9">
        <v>97.38</v>
      </c>
      <c r="H136" s="10">
        <v>584.28</v>
      </c>
    </row>
    <row r="137" spans="1:8" ht="24.75" x14ac:dyDescent="0.25">
      <c r="A137" s="5" t="s">
        <v>390</v>
      </c>
      <c r="B137" s="6" t="s">
        <v>391</v>
      </c>
      <c r="C137" s="7" t="s">
        <v>392</v>
      </c>
      <c r="D137" s="6" t="s">
        <v>21</v>
      </c>
      <c r="E137" s="6" t="s">
        <v>166</v>
      </c>
      <c r="F137" s="8">
        <v>2</v>
      </c>
      <c r="G137" s="9">
        <v>742.5</v>
      </c>
      <c r="H137" s="10">
        <v>1485</v>
      </c>
    </row>
    <row r="138" spans="1:8" ht="16.5" x14ac:dyDescent="0.25">
      <c r="A138" s="5" t="s">
        <v>393</v>
      </c>
      <c r="B138" s="6" t="s">
        <v>394</v>
      </c>
      <c r="C138" s="7" t="s">
        <v>395</v>
      </c>
      <c r="D138" s="6" t="s">
        <v>21</v>
      </c>
      <c r="E138" s="6" t="s">
        <v>166</v>
      </c>
      <c r="F138" s="8">
        <v>2</v>
      </c>
      <c r="G138" s="9">
        <v>1379.9</v>
      </c>
      <c r="H138" s="10">
        <v>2759.8</v>
      </c>
    </row>
    <row r="139" spans="1:8" ht="16.5" x14ac:dyDescent="0.25">
      <c r="A139" s="5" t="s">
        <v>396</v>
      </c>
      <c r="B139" s="6" t="s">
        <v>397</v>
      </c>
      <c r="C139" s="7" t="s">
        <v>398</v>
      </c>
      <c r="D139" s="6" t="s">
        <v>21</v>
      </c>
      <c r="E139" s="6" t="s">
        <v>166</v>
      </c>
      <c r="F139" s="8">
        <v>4</v>
      </c>
      <c r="G139" s="9">
        <v>47</v>
      </c>
      <c r="H139" s="10">
        <v>188</v>
      </c>
    </row>
    <row r="140" spans="1:8" ht="24.75" x14ac:dyDescent="0.25">
      <c r="A140" s="5" t="s">
        <v>399</v>
      </c>
      <c r="B140" s="6" t="s">
        <v>400</v>
      </c>
      <c r="C140" s="7" t="s">
        <v>401</v>
      </c>
      <c r="D140" s="6" t="s">
        <v>21</v>
      </c>
      <c r="E140" s="6" t="s">
        <v>166</v>
      </c>
      <c r="F140" s="8">
        <v>4</v>
      </c>
      <c r="G140" s="9">
        <v>40.99</v>
      </c>
      <c r="H140" s="10">
        <v>163.96</v>
      </c>
    </row>
    <row r="141" spans="1:8" ht="24.75" x14ac:dyDescent="0.25">
      <c r="A141" s="5" t="s">
        <v>402</v>
      </c>
      <c r="B141" s="6" t="s">
        <v>403</v>
      </c>
      <c r="C141" s="7" t="s">
        <v>404</v>
      </c>
      <c r="D141" s="6" t="s">
        <v>21</v>
      </c>
      <c r="E141" s="6" t="s">
        <v>166</v>
      </c>
      <c r="F141" s="8">
        <v>2</v>
      </c>
      <c r="G141" s="9">
        <v>42.12</v>
      </c>
      <c r="H141" s="10">
        <v>84.24</v>
      </c>
    </row>
    <row r="142" spans="1:8" ht="16.5" x14ac:dyDescent="0.25">
      <c r="A142" s="5" t="s">
        <v>405</v>
      </c>
      <c r="B142" s="6" t="s">
        <v>406</v>
      </c>
      <c r="C142" s="7" t="s">
        <v>407</v>
      </c>
      <c r="D142" s="6" t="s">
        <v>21</v>
      </c>
      <c r="E142" s="6" t="s">
        <v>166</v>
      </c>
      <c r="F142" s="8">
        <v>1</v>
      </c>
      <c r="G142" s="9">
        <v>147.76</v>
      </c>
      <c r="H142" s="10">
        <v>147.76</v>
      </c>
    </row>
    <row r="143" spans="1:8" ht="33" x14ac:dyDescent="0.25">
      <c r="A143" s="5" t="s">
        <v>408</v>
      </c>
      <c r="B143" s="6" t="s">
        <v>409</v>
      </c>
      <c r="C143" s="7" t="s">
        <v>410</v>
      </c>
      <c r="D143" s="6" t="s">
        <v>21</v>
      </c>
      <c r="E143" s="6" t="s">
        <v>166</v>
      </c>
      <c r="F143" s="8">
        <v>7</v>
      </c>
      <c r="G143" s="9">
        <v>503.94</v>
      </c>
      <c r="H143" s="10">
        <v>3527.58</v>
      </c>
    </row>
    <row r="144" spans="1:8" ht="33" x14ac:dyDescent="0.25">
      <c r="A144" s="5" t="s">
        <v>411</v>
      </c>
      <c r="B144" s="6" t="s">
        <v>412</v>
      </c>
      <c r="C144" s="7" t="s">
        <v>413</v>
      </c>
      <c r="D144" s="6" t="s">
        <v>21</v>
      </c>
      <c r="E144" s="6" t="s">
        <v>166</v>
      </c>
      <c r="F144" s="8">
        <v>1</v>
      </c>
      <c r="G144" s="9">
        <v>206.7</v>
      </c>
      <c r="H144" s="10">
        <v>206.7</v>
      </c>
    </row>
    <row r="145" spans="1:8" ht="24.75" x14ac:dyDescent="0.25">
      <c r="A145" s="5" t="s">
        <v>414</v>
      </c>
      <c r="B145" s="6" t="s">
        <v>415</v>
      </c>
      <c r="C145" s="7" t="s">
        <v>416</v>
      </c>
      <c r="D145" s="6" t="s">
        <v>21</v>
      </c>
      <c r="E145" s="6" t="s">
        <v>166</v>
      </c>
      <c r="F145" s="8">
        <v>10</v>
      </c>
      <c r="G145" s="9">
        <v>32.83</v>
      </c>
      <c r="H145" s="10">
        <v>328.3</v>
      </c>
    </row>
    <row r="146" spans="1:8" ht="49.5" x14ac:dyDescent="0.25">
      <c r="A146" s="5" t="s">
        <v>417</v>
      </c>
      <c r="B146" s="6" t="s">
        <v>418</v>
      </c>
      <c r="C146" s="7" t="s">
        <v>419</v>
      </c>
      <c r="D146" s="6" t="s">
        <v>21</v>
      </c>
      <c r="E146" s="6" t="s">
        <v>37</v>
      </c>
      <c r="F146" s="8">
        <v>38.85</v>
      </c>
      <c r="G146" s="9">
        <v>54.23</v>
      </c>
      <c r="H146" s="10">
        <v>2106.84</v>
      </c>
    </row>
    <row r="147" spans="1:8" ht="49.5" x14ac:dyDescent="0.25">
      <c r="A147" s="5" t="s">
        <v>420</v>
      </c>
      <c r="B147" s="6" t="s">
        <v>421</v>
      </c>
      <c r="C147" s="7" t="s">
        <v>422</v>
      </c>
      <c r="D147" s="6" t="s">
        <v>21</v>
      </c>
      <c r="E147" s="6" t="s">
        <v>37</v>
      </c>
      <c r="F147" s="8">
        <v>46.51</v>
      </c>
      <c r="G147" s="9">
        <v>87.3</v>
      </c>
      <c r="H147" s="10">
        <v>4060.32</v>
      </c>
    </row>
    <row r="148" spans="1:8" ht="33" x14ac:dyDescent="0.25">
      <c r="A148" s="5" t="s">
        <v>423</v>
      </c>
      <c r="B148" s="6" t="s">
        <v>424</v>
      </c>
      <c r="C148" s="7" t="s">
        <v>425</v>
      </c>
      <c r="D148" s="6" t="s">
        <v>21</v>
      </c>
      <c r="E148" s="6" t="s">
        <v>166</v>
      </c>
      <c r="F148" s="8">
        <v>1</v>
      </c>
      <c r="G148" s="9">
        <v>243.02</v>
      </c>
      <c r="H148" s="10">
        <v>243.02</v>
      </c>
    </row>
    <row r="149" spans="1:8" ht="49.5" x14ac:dyDescent="0.25">
      <c r="A149" s="5" t="s">
        <v>426</v>
      </c>
      <c r="B149" s="6" t="s">
        <v>427</v>
      </c>
      <c r="C149" s="7" t="s">
        <v>428</v>
      </c>
      <c r="D149" s="6" t="s">
        <v>21</v>
      </c>
      <c r="E149" s="6" t="s">
        <v>37</v>
      </c>
      <c r="F149" s="8">
        <v>132.77000000000001</v>
      </c>
      <c r="G149" s="9">
        <v>65.239999999999995</v>
      </c>
      <c r="H149" s="10">
        <v>8661.91</v>
      </c>
    </row>
    <row r="150" spans="1:8" ht="33" x14ac:dyDescent="0.25">
      <c r="A150" s="5" t="s">
        <v>429</v>
      </c>
      <c r="B150" s="6" t="s">
        <v>430</v>
      </c>
      <c r="C150" s="7" t="s">
        <v>431</v>
      </c>
      <c r="D150" s="6" t="s">
        <v>21</v>
      </c>
      <c r="E150" s="6" t="s">
        <v>166</v>
      </c>
      <c r="F150" s="8">
        <v>2</v>
      </c>
      <c r="G150" s="9">
        <v>247.12</v>
      </c>
      <c r="H150" s="10">
        <v>494.24</v>
      </c>
    </row>
    <row r="151" spans="1:8" ht="49.5" x14ac:dyDescent="0.25">
      <c r="A151" s="5" t="s">
        <v>432</v>
      </c>
      <c r="B151" s="6" t="s">
        <v>433</v>
      </c>
      <c r="C151" s="7" t="s">
        <v>434</v>
      </c>
      <c r="D151" s="6" t="s">
        <v>21</v>
      </c>
      <c r="E151" s="6" t="s">
        <v>37</v>
      </c>
      <c r="F151" s="8">
        <v>43.01</v>
      </c>
      <c r="G151" s="9">
        <v>56.42</v>
      </c>
      <c r="H151" s="10">
        <v>2426.62</v>
      </c>
    </row>
    <row r="152" spans="1:8" ht="19.899999999999999" customHeight="1" x14ac:dyDescent="0.25">
      <c r="A152" s="3" t="s">
        <v>435</v>
      </c>
      <c r="B152" s="253" t="s">
        <v>436</v>
      </c>
      <c r="C152" s="253"/>
      <c r="D152" s="253"/>
      <c r="E152" s="253"/>
      <c r="F152" s="253"/>
      <c r="G152" s="253"/>
      <c r="H152" s="4">
        <v>44112.13</v>
      </c>
    </row>
    <row r="153" spans="1:8" ht="16.5" x14ac:dyDescent="0.25">
      <c r="A153" s="5" t="s">
        <v>437</v>
      </c>
      <c r="B153" s="6" t="s">
        <v>438</v>
      </c>
      <c r="C153" s="7" t="s">
        <v>439</v>
      </c>
      <c r="D153" s="6" t="s">
        <v>16</v>
      </c>
      <c r="E153" s="6" t="s">
        <v>17</v>
      </c>
      <c r="F153" s="8">
        <v>14.07</v>
      </c>
      <c r="G153" s="9">
        <v>530.87</v>
      </c>
      <c r="H153" s="10">
        <v>7469.34</v>
      </c>
    </row>
    <row r="154" spans="1:8" ht="24.75" x14ac:dyDescent="0.25">
      <c r="A154" s="5" t="s">
        <v>440</v>
      </c>
      <c r="B154" s="6" t="s">
        <v>441</v>
      </c>
      <c r="C154" s="7" t="s">
        <v>442</v>
      </c>
      <c r="D154" s="6" t="s">
        <v>21</v>
      </c>
      <c r="E154" s="6" t="s">
        <v>166</v>
      </c>
      <c r="F154" s="8">
        <v>10</v>
      </c>
      <c r="G154" s="9">
        <v>70.64</v>
      </c>
      <c r="H154" s="10">
        <v>706.4</v>
      </c>
    </row>
    <row r="155" spans="1:8" ht="24.75" x14ac:dyDescent="0.25">
      <c r="A155" s="5" t="s">
        <v>443</v>
      </c>
      <c r="B155" s="6" t="s">
        <v>444</v>
      </c>
      <c r="C155" s="7" t="s">
        <v>445</v>
      </c>
      <c r="D155" s="6" t="s">
        <v>21</v>
      </c>
      <c r="E155" s="6" t="s">
        <v>166</v>
      </c>
      <c r="F155" s="8">
        <v>3</v>
      </c>
      <c r="G155" s="9">
        <v>82.65</v>
      </c>
      <c r="H155" s="10">
        <v>247.95</v>
      </c>
    </row>
    <row r="156" spans="1:8" ht="24.75" x14ac:dyDescent="0.25">
      <c r="A156" s="5" t="s">
        <v>446</v>
      </c>
      <c r="B156" s="6" t="s">
        <v>447</v>
      </c>
      <c r="C156" s="7" t="s">
        <v>448</v>
      </c>
      <c r="D156" s="6" t="s">
        <v>21</v>
      </c>
      <c r="E156" s="6" t="s">
        <v>166</v>
      </c>
      <c r="F156" s="8">
        <v>8</v>
      </c>
      <c r="G156" s="9">
        <v>500.75</v>
      </c>
      <c r="H156" s="10">
        <v>4006</v>
      </c>
    </row>
    <row r="157" spans="1:8" ht="33" x14ac:dyDescent="0.25">
      <c r="A157" s="5" t="s">
        <v>449</v>
      </c>
      <c r="B157" s="6" t="s">
        <v>450</v>
      </c>
      <c r="C157" s="7" t="s">
        <v>451</v>
      </c>
      <c r="D157" s="6" t="s">
        <v>21</v>
      </c>
      <c r="E157" s="6" t="s">
        <v>166</v>
      </c>
      <c r="F157" s="8">
        <v>9</v>
      </c>
      <c r="G157" s="9">
        <v>530.35</v>
      </c>
      <c r="H157" s="10">
        <v>4773.1499999999996</v>
      </c>
    </row>
    <row r="158" spans="1:8" ht="33" x14ac:dyDescent="0.25">
      <c r="A158" s="5" t="s">
        <v>452</v>
      </c>
      <c r="B158" s="6" t="s">
        <v>453</v>
      </c>
      <c r="C158" s="7" t="s">
        <v>454</v>
      </c>
      <c r="D158" s="6" t="s">
        <v>21</v>
      </c>
      <c r="E158" s="6" t="s">
        <v>166</v>
      </c>
      <c r="F158" s="8">
        <v>2</v>
      </c>
      <c r="G158" s="9">
        <v>324.29000000000002</v>
      </c>
      <c r="H158" s="10">
        <v>648.58000000000004</v>
      </c>
    </row>
    <row r="159" spans="1:8" ht="24.75" x14ac:dyDescent="0.25">
      <c r="A159" s="5" t="s">
        <v>455</v>
      </c>
      <c r="B159" s="6" t="s">
        <v>456</v>
      </c>
      <c r="C159" s="7" t="s">
        <v>457</v>
      </c>
      <c r="D159" s="6" t="s">
        <v>21</v>
      </c>
      <c r="E159" s="6" t="s">
        <v>166</v>
      </c>
      <c r="F159" s="8">
        <v>2</v>
      </c>
      <c r="G159" s="9">
        <v>353.45</v>
      </c>
      <c r="H159" s="10">
        <v>706.9</v>
      </c>
    </row>
    <row r="160" spans="1:8" ht="49.5" x14ac:dyDescent="0.25">
      <c r="A160" s="5" t="s">
        <v>458</v>
      </c>
      <c r="B160" s="6" t="s">
        <v>459</v>
      </c>
      <c r="C160" s="7" t="s">
        <v>460</v>
      </c>
      <c r="D160" s="6" t="s">
        <v>21</v>
      </c>
      <c r="E160" s="6" t="s">
        <v>166</v>
      </c>
      <c r="F160" s="8">
        <v>1</v>
      </c>
      <c r="G160" s="9">
        <v>260.25</v>
      </c>
      <c r="H160" s="10">
        <v>260.25</v>
      </c>
    </row>
    <row r="161" spans="1:8" ht="41.25" x14ac:dyDescent="0.25">
      <c r="A161" s="5" t="s">
        <v>461</v>
      </c>
      <c r="B161" s="6" t="s">
        <v>462</v>
      </c>
      <c r="C161" s="7" t="s">
        <v>463</v>
      </c>
      <c r="D161" s="6" t="s">
        <v>21</v>
      </c>
      <c r="E161" s="6" t="s">
        <v>166</v>
      </c>
      <c r="F161" s="8">
        <v>1</v>
      </c>
      <c r="G161" s="9">
        <v>586.14</v>
      </c>
      <c r="H161" s="10">
        <v>586.14</v>
      </c>
    </row>
    <row r="162" spans="1:8" ht="41.25" x14ac:dyDescent="0.25">
      <c r="A162" s="5" t="s">
        <v>464</v>
      </c>
      <c r="B162" s="6" t="s">
        <v>465</v>
      </c>
      <c r="C162" s="7" t="s">
        <v>466</v>
      </c>
      <c r="D162" s="6" t="s">
        <v>21</v>
      </c>
      <c r="E162" s="6" t="s">
        <v>166</v>
      </c>
      <c r="F162" s="8">
        <v>1</v>
      </c>
      <c r="G162" s="9">
        <v>769.27</v>
      </c>
      <c r="H162" s="10">
        <v>769.27</v>
      </c>
    </row>
    <row r="163" spans="1:8" ht="24.75" x14ac:dyDescent="0.25">
      <c r="A163" s="5" t="s">
        <v>467</v>
      </c>
      <c r="B163" s="6" t="s">
        <v>468</v>
      </c>
      <c r="C163" s="7" t="s">
        <v>469</v>
      </c>
      <c r="D163" s="6" t="s">
        <v>21</v>
      </c>
      <c r="E163" s="6" t="s">
        <v>17</v>
      </c>
      <c r="F163" s="8">
        <v>33.92</v>
      </c>
      <c r="G163" s="9">
        <v>692.62</v>
      </c>
      <c r="H163" s="10">
        <v>23493.67</v>
      </c>
    </row>
    <row r="164" spans="1:8" ht="16.5" x14ac:dyDescent="0.25">
      <c r="A164" s="5" t="s">
        <v>470</v>
      </c>
      <c r="B164" s="6" t="s">
        <v>471</v>
      </c>
      <c r="C164" s="7" t="s">
        <v>472</v>
      </c>
      <c r="D164" s="6" t="s">
        <v>21</v>
      </c>
      <c r="E164" s="6" t="s">
        <v>166</v>
      </c>
      <c r="F164" s="8">
        <v>4</v>
      </c>
      <c r="G164" s="9">
        <v>111.12</v>
      </c>
      <c r="H164" s="10">
        <v>444.48</v>
      </c>
    </row>
    <row r="165" spans="1:8" ht="19.899999999999999" customHeight="1" x14ac:dyDescent="0.25">
      <c r="A165" s="3" t="s">
        <v>473</v>
      </c>
      <c r="B165" s="253" t="s">
        <v>474</v>
      </c>
      <c r="C165" s="253"/>
      <c r="D165" s="253"/>
      <c r="E165" s="253"/>
      <c r="F165" s="253"/>
      <c r="G165" s="253"/>
      <c r="H165" s="4">
        <v>118436.8</v>
      </c>
    </row>
    <row r="166" spans="1:8" ht="24.75" x14ac:dyDescent="0.25">
      <c r="A166" s="5" t="s">
        <v>475</v>
      </c>
      <c r="B166" s="6" t="s">
        <v>35</v>
      </c>
      <c r="C166" s="7" t="s">
        <v>36</v>
      </c>
      <c r="D166" s="6" t="s">
        <v>21</v>
      </c>
      <c r="E166" s="6" t="s">
        <v>37</v>
      </c>
      <c r="F166" s="8">
        <v>130.85</v>
      </c>
      <c r="G166" s="9">
        <v>52.4</v>
      </c>
      <c r="H166" s="10">
        <v>6856.54</v>
      </c>
    </row>
    <row r="167" spans="1:8" ht="16.5" x14ac:dyDescent="0.25">
      <c r="A167" s="5" t="s">
        <v>476</v>
      </c>
      <c r="B167" s="6" t="s">
        <v>39</v>
      </c>
      <c r="C167" s="7" t="s">
        <v>40</v>
      </c>
      <c r="D167" s="6" t="s">
        <v>21</v>
      </c>
      <c r="E167" s="6" t="s">
        <v>41</v>
      </c>
      <c r="F167" s="8">
        <v>32.68</v>
      </c>
      <c r="G167" s="9">
        <v>64.95</v>
      </c>
      <c r="H167" s="10">
        <v>2122.5700000000002</v>
      </c>
    </row>
    <row r="168" spans="1:8" ht="16.5" x14ac:dyDescent="0.25">
      <c r="A168" s="5" t="s">
        <v>477</v>
      </c>
      <c r="B168" s="6" t="s">
        <v>43</v>
      </c>
      <c r="C168" s="7" t="s">
        <v>44</v>
      </c>
      <c r="D168" s="6" t="s">
        <v>21</v>
      </c>
      <c r="E168" s="6" t="s">
        <v>41</v>
      </c>
      <c r="F168" s="8">
        <v>11.01</v>
      </c>
      <c r="G168" s="9">
        <v>39.369999999999997</v>
      </c>
      <c r="H168" s="10">
        <v>433.46</v>
      </c>
    </row>
    <row r="169" spans="1:8" ht="24.75" x14ac:dyDescent="0.25">
      <c r="A169" s="5" t="s">
        <v>478</v>
      </c>
      <c r="B169" s="6" t="s">
        <v>479</v>
      </c>
      <c r="C169" s="7" t="s">
        <v>480</v>
      </c>
      <c r="D169" s="6" t="s">
        <v>21</v>
      </c>
      <c r="E169" s="6" t="s">
        <v>37</v>
      </c>
      <c r="F169" s="8">
        <v>244.5</v>
      </c>
      <c r="G169" s="9">
        <v>39.79</v>
      </c>
      <c r="H169" s="10">
        <v>9728.66</v>
      </c>
    </row>
    <row r="170" spans="1:8" ht="16.5" x14ac:dyDescent="0.25">
      <c r="A170" s="5" t="s">
        <v>481</v>
      </c>
      <c r="B170" s="6" t="s">
        <v>54</v>
      </c>
      <c r="C170" s="7" t="s">
        <v>55</v>
      </c>
      <c r="D170" s="6" t="s">
        <v>21</v>
      </c>
      <c r="E170" s="6" t="s">
        <v>17</v>
      </c>
      <c r="F170" s="8">
        <v>15.48</v>
      </c>
      <c r="G170" s="9">
        <v>4.91</v>
      </c>
      <c r="H170" s="10">
        <v>76.010000000000005</v>
      </c>
    </row>
    <row r="171" spans="1:8" ht="24.75" x14ac:dyDescent="0.25">
      <c r="A171" s="5" t="s">
        <v>482</v>
      </c>
      <c r="B171" s="6" t="s">
        <v>57</v>
      </c>
      <c r="C171" s="7" t="s">
        <v>58</v>
      </c>
      <c r="D171" s="6" t="s">
        <v>21</v>
      </c>
      <c r="E171" s="6" t="s">
        <v>17</v>
      </c>
      <c r="F171" s="8">
        <v>15.48</v>
      </c>
      <c r="G171" s="9">
        <v>30.67</v>
      </c>
      <c r="H171" s="10">
        <v>474.77</v>
      </c>
    </row>
    <row r="172" spans="1:8" ht="24.75" x14ac:dyDescent="0.25">
      <c r="A172" s="5" t="s">
        <v>483</v>
      </c>
      <c r="B172" s="6" t="s">
        <v>60</v>
      </c>
      <c r="C172" s="7" t="s">
        <v>61</v>
      </c>
      <c r="D172" s="6" t="s">
        <v>21</v>
      </c>
      <c r="E172" s="6" t="s">
        <v>62</v>
      </c>
      <c r="F172" s="8">
        <v>167.13</v>
      </c>
      <c r="G172" s="9">
        <v>15.99</v>
      </c>
      <c r="H172" s="10">
        <v>2672.41</v>
      </c>
    </row>
    <row r="173" spans="1:8" ht="24.75" x14ac:dyDescent="0.25">
      <c r="A173" s="5" t="s">
        <v>484</v>
      </c>
      <c r="B173" s="6" t="s">
        <v>64</v>
      </c>
      <c r="C173" s="7" t="s">
        <v>65</v>
      </c>
      <c r="D173" s="6" t="s">
        <v>21</v>
      </c>
      <c r="E173" s="6" t="s">
        <v>41</v>
      </c>
      <c r="F173" s="8">
        <v>9.89</v>
      </c>
      <c r="G173" s="9">
        <v>530.88</v>
      </c>
      <c r="H173" s="10">
        <v>5250.4</v>
      </c>
    </row>
    <row r="174" spans="1:8" ht="33" x14ac:dyDescent="0.25">
      <c r="A174" s="5" t="s">
        <v>485</v>
      </c>
      <c r="B174" s="6" t="s">
        <v>486</v>
      </c>
      <c r="C174" s="7" t="s">
        <v>487</v>
      </c>
      <c r="D174" s="6" t="s">
        <v>21</v>
      </c>
      <c r="E174" s="6" t="s">
        <v>41</v>
      </c>
      <c r="F174" s="8">
        <v>11.78</v>
      </c>
      <c r="G174" s="9">
        <v>496.62</v>
      </c>
      <c r="H174" s="10">
        <v>5850.18</v>
      </c>
    </row>
    <row r="175" spans="1:8" ht="24.75" x14ac:dyDescent="0.25">
      <c r="A175" s="5" t="s">
        <v>488</v>
      </c>
      <c r="B175" s="6" t="s">
        <v>70</v>
      </c>
      <c r="C175" s="7" t="s">
        <v>71</v>
      </c>
      <c r="D175" s="6" t="s">
        <v>21</v>
      </c>
      <c r="E175" s="6" t="s">
        <v>41</v>
      </c>
      <c r="F175" s="8">
        <v>9.89</v>
      </c>
      <c r="G175" s="9">
        <v>230.55</v>
      </c>
      <c r="H175" s="10">
        <v>2280.14</v>
      </c>
    </row>
    <row r="176" spans="1:8" ht="24.75" x14ac:dyDescent="0.25">
      <c r="A176" s="5" t="s">
        <v>489</v>
      </c>
      <c r="B176" s="6" t="s">
        <v>73</v>
      </c>
      <c r="C176" s="7" t="s">
        <v>74</v>
      </c>
      <c r="D176" s="6" t="s">
        <v>21</v>
      </c>
      <c r="E176" s="6" t="s">
        <v>62</v>
      </c>
      <c r="F176" s="8">
        <v>162.02000000000001</v>
      </c>
      <c r="G176" s="9">
        <v>17.5</v>
      </c>
      <c r="H176" s="10">
        <v>2835.35</v>
      </c>
    </row>
    <row r="177" spans="1:8" ht="24.75" x14ac:dyDescent="0.25">
      <c r="A177" s="5" t="s">
        <v>490</v>
      </c>
      <c r="B177" s="6" t="s">
        <v>79</v>
      </c>
      <c r="C177" s="7" t="s">
        <v>80</v>
      </c>
      <c r="D177" s="6" t="s">
        <v>21</v>
      </c>
      <c r="E177" s="6" t="s">
        <v>62</v>
      </c>
      <c r="F177" s="8">
        <v>377.8</v>
      </c>
      <c r="G177" s="9">
        <v>14.35</v>
      </c>
      <c r="H177" s="10">
        <v>5421.43</v>
      </c>
    </row>
    <row r="178" spans="1:8" ht="24.75" x14ac:dyDescent="0.25">
      <c r="A178" s="5" t="s">
        <v>491</v>
      </c>
      <c r="B178" s="6" t="s">
        <v>85</v>
      </c>
      <c r="C178" s="7" t="s">
        <v>86</v>
      </c>
      <c r="D178" s="6" t="s">
        <v>21</v>
      </c>
      <c r="E178" s="6" t="s">
        <v>17</v>
      </c>
      <c r="F178" s="8">
        <v>149.6</v>
      </c>
      <c r="G178" s="9">
        <v>69.64</v>
      </c>
      <c r="H178" s="10">
        <v>10418.14</v>
      </c>
    </row>
    <row r="179" spans="1:8" ht="16.5" x14ac:dyDescent="0.25">
      <c r="A179" s="5" t="s">
        <v>492</v>
      </c>
      <c r="B179" s="6" t="s">
        <v>88</v>
      </c>
      <c r="C179" s="7" t="s">
        <v>89</v>
      </c>
      <c r="D179" s="6" t="s">
        <v>21</v>
      </c>
      <c r="E179" s="6" t="s">
        <v>17</v>
      </c>
      <c r="F179" s="8">
        <v>65.430000000000007</v>
      </c>
      <c r="G179" s="9">
        <v>48.22</v>
      </c>
      <c r="H179" s="10">
        <v>3155.03</v>
      </c>
    </row>
    <row r="180" spans="1:8" ht="33" x14ac:dyDescent="0.25">
      <c r="A180" s="5" t="s">
        <v>493</v>
      </c>
      <c r="B180" s="6" t="s">
        <v>136</v>
      </c>
      <c r="C180" s="7" t="s">
        <v>137</v>
      </c>
      <c r="D180" s="6" t="s">
        <v>21</v>
      </c>
      <c r="E180" s="6" t="s">
        <v>17</v>
      </c>
      <c r="F180" s="8">
        <v>405.64</v>
      </c>
      <c r="G180" s="9">
        <v>46.86</v>
      </c>
      <c r="H180" s="10">
        <v>19008.29</v>
      </c>
    </row>
    <row r="181" spans="1:8" ht="33" x14ac:dyDescent="0.25">
      <c r="A181" s="5" t="s">
        <v>494</v>
      </c>
      <c r="B181" s="6" t="s">
        <v>150</v>
      </c>
      <c r="C181" s="7" t="s">
        <v>151</v>
      </c>
      <c r="D181" s="6" t="s">
        <v>21</v>
      </c>
      <c r="E181" s="6" t="s">
        <v>17</v>
      </c>
      <c r="F181" s="8">
        <v>811.27</v>
      </c>
      <c r="G181" s="9">
        <v>6.08</v>
      </c>
      <c r="H181" s="10">
        <v>4932.5200000000004</v>
      </c>
    </row>
    <row r="182" spans="1:8" ht="41.25" x14ac:dyDescent="0.25">
      <c r="A182" s="5" t="s">
        <v>495</v>
      </c>
      <c r="B182" s="6" t="s">
        <v>153</v>
      </c>
      <c r="C182" s="7" t="s">
        <v>154</v>
      </c>
      <c r="D182" s="6" t="s">
        <v>21</v>
      </c>
      <c r="E182" s="6" t="s">
        <v>17</v>
      </c>
      <c r="F182" s="8">
        <v>811.27</v>
      </c>
      <c r="G182" s="9">
        <v>22.4</v>
      </c>
      <c r="H182" s="10">
        <v>18172.45</v>
      </c>
    </row>
    <row r="183" spans="1:8" ht="16.5" x14ac:dyDescent="0.25">
      <c r="A183" s="5" t="s">
        <v>496</v>
      </c>
      <c r="B183" s="6" t="s">
        <v>197</v>
      </c>
      <c r="C183" s="7" t="s">
        <v>198</v>
      </c>
      <c r="D183" s="6" t="s">
        <v>21</v>
      </c>
      <c r="E183" s="6" t="s">
        <v>17</v>
      </c>
      <c r="F183" s="8">
        <v>811.27</v>
      </c>
      <c r="G183" s="9">
        <v>12.16</v>
      </c>
      <c r="H183" s="10">
        <v>9865.0400000000009</v>
      </c>
    </row>
    <row r="184" spans="1:8" ht="16.5" x14ac:dyDescent="0.25">
      <c r="A184" s="5" t="s">
        <v>497</v>
      </c>
      <c r="B184" s="6" t="s">
        <v>498</v>
      </c>
      <c r="C184" s="7" t="s">
        <v>499</v>
      </c>
      <c r="D184" s="6" t="s">
        <v>21</v>
      </c>
      <c r="E184" s="6" t="s">
        <v>17</v>
      </c>
      <c r="F184" s="8">
        <v>811.27</v>
      </c>
      <c r="G184" s="9">
        <v>10.95</v>
      </c>
      <c r="H184" s="10">
        <v>8883.41</v>
      </c>
    </row>
    <row r="185" spans="1:8" ht="19.899999999999999" customHeight="1" x14ac:dyDescent="0.25">
      <c r="A185" s="3" t="s">
        <v>500</v>
      </c>
      <c r="B185" s="253" t="s">
        <v>501</v>
      </c>
      <c r="C185" s="253"/>
      <c r="D185" s="253"/>
      <c r="E185" s="253"/>
      <c r="F185" s="253"/>
      <c r="G185" s="253"/>
      <c r="H185" s="4">
        <v>13488.97</v>
      </c>
    </row>
    <row r="186" spans="1:8" ht="33" x14ac:dyDescent="0.25">
      <c r="A186" s="5" t="s">
        <v>502</v>
      </c>
      <c r="B186" s="6" t="s">
        <v>503</v>
      </c>
      <c r="C186" s="7" t="s">
        <v>504</v>
      </c>
      <c r="D186" s="6" t="s">
        <v>16</v>
      </c>
      <c r="E186" s="6" t="s">
        <v>166</v>
      </c>
      <c r="F186" s="8">
        <v>2</v>
      </c>
      <c r="G186" s="9">
        <v>4877.91</v>
      </c>
      <c r="H186" s="10">
        <v>9755.82</v>
      </c>
    </row>
    <row r="187" spans="1:8" ht="33" x14ac:dyDescent="0.25">
      <c r="A187" s="5" t="s">
        <v>505</v>
      </c>
      <c r="B187" s="6" t="s">
        <v>506</v>
      </c>
      <c r="C187" s="7" t="s">
        <v>507</v>
      </c>
      <c r="D187" s="6" t="s">
        <v>16</v>
      </c>
      <c r="E187" s="6" t="s">
        <v>166</v>
      </c>
      <c r="F187" s="8">
        <v>1</v>
      </c>
      <c r="G187" s="9">
        <v>3733.15</v>
      </c>
      <c r="H187" s="10">
        <v>3733.15</v>
      </c>
    </row>
    <row r="188" spans="1:8" ht="15" customHeight="1" x14ac:dyDescent="0.25">
      <c r="A188" s="1"/>
      <c r="B188" s="1"/>
      <c r="C188" s="1"/>
      <c r="D188" s="1"/>
      <c r="E188" s="1"/>
      <c r="F188" s="252" t="s">
        <v>508</v>
      </c>
      <c r="G188" s="252"/>
      <c r="H188" s="4">
        <v>232596.52</v>
      </c>
    </row>
    <row r="189" spans="1:8" ht="15" customHeight="1" x14ac:dyDescent="0.25">
      <c r="A189" s="1"/>
      <c r="B189" s="1"/>
      <c r="C189" s="1"/>
      <c r="D189" s="1"/>
      <c r="E189" s="1"/>
      <c r="F189" s="252" t="s">
        <v>509</v>
      </c>
      <c r="G189" s="252"/>
      <c r="H189" s="4">
        <v>1007781.91</v>
      </c>
    </row>
    <row r="190" spans="1:8" ht="15" customHeight="1" x14ac:dyDescent="0.25">
      <c r="A190" s="1"/>
      <c r="B190" s="1"/>
      <c r="C190" s="1"/>
      <c r="D190" s="1"/>
      <c r="E190" s="1"/>
      <c r="F190" s="252" t="s">
        <v>510</v>
      </c>
      <c r="G190" s="252"/>
      <c r="H190" s="4">
        <v>1240378.43</v>
      </c>
    </row>
  </sheetData>
  <mergeCells count="22">
    <mergeCell ref="A1:H1"/>
    <mergeCell ref="B2:G2"/>
    <mergeCell ref="B4:G4"/>
    <mergeCell ref="B5:G5"/>
    <mergeCell ref="B12:G12"/>
    <mergeCell ref="B17:G17"/>
    <mergeCell ref="B31:G31"/>
    <mergeCell ref="B47:G47"/>
    <mergeCell ref="B52:G52"/>
    <mergeCell ref="B57:G57"/>
    <mergeCell ref="B66:G66"/>
    <mergeCell ref="B73:G73"/>
    <mergeCell ref="B81:G81"/>
    <mergeCell ref="B110:G110"/>
    <mergeCell ref="B119:G119"/>
    <mergeCell ref="F189:G189"/>
    <mergeCell ref="F190:G190"/>
    <mergeCell ref="B129:G129"/>
    <mergeCell ref="B152:G152"/>
    <mergeCell ref="B165:G165"/>
    <mergeCell ref="B185:G185"/>
    <mergeCell ref="F188:G188"/>
  </mergeCells>
  <pageMargins left="0" right="0" top="0" bottom="0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6</vt:i4>
      </vt:variant>
    </vt:vector>
  </HeadingPairs>
  <TitlesOfParts>
    <vt:vector size="12" baseType="lpstr">
      <vt:lpstr>BOLETIM DE MEDIÇÃO 02</vt:lpstr>
      <vt:lpstr>MEMORIAL DE CALCULO 01</vt:lpstr>
      <vt:lpstr>MEMORIAL DE CALCULO 02</vt:lpstr>
      <vt:lpstr>MEMORIAL FOTOGRÁFICO 01</vt:lpstr>
      <vt:lpstr>MEMORIAL FOTOGRÁFICO 02</vt:lpstr>
      <vt:lpstr>orcamento</vt:lpstr>
      <vt:lpstr>'BOLETIM DE MEDIÇÃO 02'!Area_de_impressao</vt:lpstr>
      <vt:lpstr>'MEMORIAL DE CALCULO 01'!Area_de_impressao</vt:lpstr>
      <vt:lpstr>'MEMORIAL DE CALCULO 02'!Area_de_impressao</vt:lpstr>
      <vt:lpstr>'MEMORIAL FOTOGRÁFICO 01'!Area_de_impressao</vt:lpstr>
      <vt:lpstr>'MEMORIAL FOTOGRÁFICO 02'!Area_de_impressao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2024-03-01T14:50:48Z</dcterms:created>
  <dcterms:modified xsi:type="dcterms:W3CDTF">2024-09-03T13:36:30Z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2023-12-14T22:30:03Z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ddb11f74-4bfe-479b-a28c-dd322473d55b</vt:lpwstr>
  </property>
  <property fmtid="{D5CDD505-2E9C-101B-9397-08002B2CF9AE}" pid="7" name="MSIP_Label_defa4170-0d19-0005-0004-bc88714345d2_ActionId">
    <vt:lpwstr>2e4d41f0-d2c9-40cc-b846-57bda7413001</vt:lpwstr>
  </property>
  <property fmtid="{D5CDD505-2E9C-101B-9397-08002B2CF9AE}" pid="8" name="MSIP_Label_defa4170-0d19-0005-0004-bc88714345d2_ContentBits">
    <vt:lpwstr>0</vt:lpwstr>
  </property>
</Properties>
</file>