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66925"/>
  <xr:revisionPtr revIDLastSave="0" documentId="13_ncr:1_{A220022C-15BF-4A75-AA54-33565B3953BC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07" sheetId="15" r:id="rId12"/>
    <sheet name="MEMORIAL DE CALCULO 07" sheetId="18" r:id="rId13"/>
    <sheet name="MEMORIAL DE CALCULO 06" sheetId="16" state="hidden" r:id="rId14"/>
    <sheet name="MEMORIAL FOTOGRÁFICO 06" sheetId="17" state="hidden" r:id="rId15"/>
    <sheet name="MEMORIAL FOTOGRÁFICO 07" sheetId="19" r:id="rId16"/>
    <sheet name="orcamento" sheetId="1" state="hidden" r:id="rId17"/>
  </sheets>
  <definedNames>
    <definedName name="_xlnm.Print_Area" localSheetId="7">'BOLETIM DE MEDIÇÃO 05'!$B$2:$Z$198</definedName>
    <definedName name="_xlnm.Print_Area" localSheetId="11">'BOLETIM DE MEDIÇÃO 07'!$B$2:$AA$214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3">'MEMORIAL DE CALCULO 06'!$B$2:$N$432</definedName>
    <definedName name="_xlnm.Print_Area" localSheetId="12">'MEMORIAL DE CALCULO 07'!$B$2:$N$556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4">'MEMORIAL FOTOGRÁFICO 06'!$B$2:$Z$110</definedName>
    <definedName name="_xlnm.Print_Area" localSheetId="15">'MEMORIAL FOTOGRÁFICO 07'!$B$2:$Z$110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5" l="1"/>
  <c r="AA16" i="15"/>
  <c r="AA17" i="15"/>
  <c r="AA18" i="15"/>
  <c r="AA19" i="15"/>
  <c r="AA21" i="15"/>
  <c r="AA22" i="15"/>
  <c r="AA23" i="15"/>
  <c r="AA24" i="15"/>
  <c r="AA26" i="15"/>
  <c r="AA27" i="15"/>
  <c r="AA28" i="15"/>
  <c r="AA29" i="15"/>
  <c r="AA30" i="15"/>
  <c r="AA31" i="15"/>
  <c r="AA32" i="15"/>
  <c r="AA33" i="15"/>
  <c r="AA34" i="15"/>
  <c r="AA35" i="15"/>
  <c r="AA36" i="15"/>
  <c r="AA37" i="15"/>
  <c r="AA38" i="15"/>
  <c r="AA40" i="15"/>
  <c r="AA41" i="15"/>
  <c r="AA42" i="15"/>
  <c r="AA43" i="15"/>
  <c r="AA44" i="15"/>
  <c r="AA45" i="15"/>
  <c r="AA46" i="15"/>
  <c r="AA47" i="15"/>
  <c r="AA48" i="15"/>
  <c r="AA49" i="15"/>
  <c r="AA50" i="15"/>
  <c r="AA51" i="15"/>
  <c r="AA52" i="15"/>
  <c r="AA53" i="15"/>
  <c r="AA54" i="15"/>
  <c r="AA56" i="15"/>
  <c r="AA57" i="15"/>
  <c r="AA58" i="15"/>
  <c r="AA59" i="15"/>
  <c r="AA61" i="15"/>
  <c r="AA62" i="15"/>
  <c r="AA63" i="15"/>
  <c r="AA64" i="15"/>
  <c r="AA66" i="15"/>
  <c r="AA67" i="15"/>
  <c r="AA68" i="15"/>
  <c r="AA69" i="15"/>
  <c r="AA70" i="15"/>
  <c r="AA71" i="15"/>
  <c r="AA72" i="15"/>
  <c r="AA73" i="15"/>
  <c r="AA75" i="15"/>
  <c r="AA76" i="15"/>
  <c r="AA77" i="15"/>
  <c r="AA78" i="15"/>
  <c r="AA79" i="15"/>
  <c r="AA80" i="15"/>
  <c r="AA82" i="15"/>
  <c r="AA83" i="15"/>
  <c r="AA84" i="15"/>
  <c r="AA85" i="15"/>
  <c r="AA86" i="15"/>
  <c r="AA87" i="15"/>
  <c r="AA88" i="15"/>
  <c r="AA90" i="15"/>
  <c r="AA91" i="15"/>
  <c r="AA92" i="15"/>
  <c r="AA93" i="15"/>
  <c r="AA94" i="15"/>
  <c r="AA95" i="15"/>
  <c r="AA96" i="15"/>
  <c r="AA97" i="15"/>
  <c r="AA98" i="15"/>
  <c r="AA99" i="15"/>
  <c r="AA100" i="15"/>
  <c r="AA101" i="15"/>
  <c r="AA102" i="15"/>
  <c r="AA103" i="15"/>
  <c r="AA104" i="15"/>
  <c r="AA105" i="15"/>
  <c r="AA106" i="15"/>
  <c r="AA107" i="15"/>
  <c r="AA108" i="15"/>
  <c r="AA109" i="15"/>
  <c r="AA110" i="15"/>
  <c r="AA111" i="15"/>
  <c r="AA112" i="15"/>
  <c r="AA113" i="15"/>
  <c r="AA114" i="15"/>
  <c r="AA115" i="15"/>
  <c r="AA116" i="15"/>
  <c r="AA117" i="15"/>
  <c r="AA120" i="15"/>
  <c r="AA121" i="15"/>
  <c r="AA122" i="15"/>
  <c r="AA123" i="15"/>
  <c r="AA124" i="15"/>
  <c r="AA125" i="15"/>
  <c r="AA126" i="15"/>
  <c r="AA127" i="15"/>
  <c r="AA128" i="15"/>
  <c r="AA129" i="15"/>
  <c r="AA130" i="15"/>
  <c r="AA131" i="15"/>
  <c r="AA132" i="15"/>
  <c r="AA133" i="15"/>
  <c r="AA134" i="15"/>
  <c r="AA135" i="15"/>
  <c r="AA136" i="15"/>
  <c r="AA145" i="15"/>
  <c r="AA146" i="15"/>
  <c r="AA147" i="15"/>
  <c r="AA148" i="15"/>
  <c r="AA149" i="15"/>
  <c r="AA150" i="15"/>
  <c r="AA151" i="15"/>
  <c r="AA152" i="15"/>
  <c r="AA153" i="15"/>
  <c r="AA156" i="15"/>
  <c r="AA158" i="15"/>
  <c r="AA160" i="15"/>
  <c r="AA161" i="15"/>
  <c r="AA162" i="15"/>
  <c r="AA163" i="15"/>
  <c r="AA164" i="15"/>
  <c r="AA165" i="15"/>
  <c r="AA166" i="15"/>
  <c r="AA167" i="15"/>
  <c r="AA168" i="15"/>
  <c r="AA169" i="15"/>
  <c r="AA170" i="15"/>
  <c r="AA171" i="15"/>
  <c r="AA172" i="15"/>
  <c r="AA173" i="15"/>
  <c r="AA174" i="15"/>
  <c r="AA175" i="15"/>
  <c r="AA176" i="15"/>
  <c r="AA177" i="15"/>
  <c r="AA178" i="15"/>
  <c r="AA179" i="15"/>
  <c r="AA180" i="15"/>
  <c r="AA181" i="15"/>
  <c r="AA182" i="15"/>
  <c r="AA183" i="15"/>
  <c r="AA184" i="15"/>
  <c r="AA185" i="15"/>
  <c r="AA186" i="15"/>
  <c r="AA187" i="15"/>
  <c r="AA188" i="15"/>
  <c r="AA189" i="15"/>
  <c r="AA190" i="15"/>
  <c r="AA191" i="15"/>
  <c r="AA192" i="15"/>
  <c r="AA194" i="15"/>
  <c r="AA195" i="15"/>
  <c r="AA14" i="15"/>
  <c r="B8" i="19"/>
  <c r="D8" i="19"/>
  <c r="B8" i="18"/>
  <c r="D8" i="18"/>
  <c r="K507" i="18"/>
  <c r="K506" i="18" s="1"/>
  <c r="N157" i="15" s="1"/>
  <c r="K501" i="18"/>
  <c r="K500" i="18" s="1"/>
  <c r="K462" i="18"/>
  <c r="K461" i="18" s="1"/>
  <c r="K459" i="18"/>
  <c r="K458" i="18" s="1"/>
  <c r="K456" i="18"/>
  <c r="K455" i="18" s="1"/>
  <c r="K453" i="18"/>
  <c r="K452" i="18" s="1"/>
  <c r="K450" i="18"/>
  <c r="K449" i="18" s="1"/>
  <c r="K513" i="18"/>
  <c r="K512" i="18" s="1"/>
  <c r="K498" i="18"/>
  <c r="K497" i="18" s="1"/>
  <c r="K468" i="18"/>
  <c r="K467" i="18" s="1"/>
  <c r="K464" i="18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M421" i="18"/>
  <c r="K422" i="18"/>
  <c r="K421" i="18" s="1"/>
  <c r="N82" i="15" s="1"/>
  <c r="M417" i="18"/>
  <c r="K418" i="18"/>
  <c r="K417" i="18" s="1"/>
  <c r="N63" i="15" s="1"/>
  <c r="K405" i="18"/>
  <c r="K406" i="18"/>
  <c r="K432" i="18" l="1"/>
  <c r="N119" i="15"/>
  <c r="X119" i="15" s="1"/>
  <c r="M386" i="18"/>
  <c r="K387" i="18"/>
  <c r="K386" i="18" s="1"/>
  <c r="X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X15" i="15"/>
  <c r="X16" i="15"/>
  <c r="X17" i="15"/>
  <c r="X18" i="15"/>
  <c r="X19" i="15"/>
  <c r="X20" i="15"/>
  <c r="X21" i="15"/>
  <c r="X22" i="15"/>
  <c r="X23" i="15"/>
  <c r="X24" i="15"/>
  <c r="X25" i="15"/>
  <c r="X26" i="15"/>
  <c r="X27" i="15"/>
  <c r="X28" i="15"/>
  <c r="X29" i="15"/>
  <c r="X30" i="15"/>
  <c r="X31" i="15"/>
  <c r="X32" i="15"/>
  <c r="X33" i="15"/>
  <c r="X34" i="15"/>
  <c r="X35" i="15"/>
  <c r="X36" i="15"/>
  <c r="X37" i="15"/>
  <c r="X38" i="15"/>
  <c r="X39" i="15"/>
  <c r="X40" i="15"/>
  <c r="X43" i="15"/>
  <c r="X44" i="15"/>
  <c r="X45" i="15"/>
  <c r="X46" i="15"/>
  <c r="X47" i="15"/>
  <c r="X48" i="15"/>
  <c r="X49" i="15"/>
  <c r="X50" i="15"/>
  <c r="X53" i="15"/>
  <c r="X54" i="15"/>
  <c r="X55" i="15"/>
  <c r="X56" i="15"/>
  <c r="X57" i="15"/>
  <c r="X58" i="15"/>
  <c r="X59" i="15"/>
  <c r="X60" i="15"/>
  <c r="X61" i="15"/>
  <c r="X62" i="15"/>
  <c r="X63" i="15"/>
  <c r="X64" i="15"/>
  <c r="X65" i="15"/>
  <c r="X66" i="15"/>
  <c r="X67" i="15"/>
  <c r="X68" i="15"/>
  <c r="X69" i="15"/>
  <c r="X70" i="15"/>
  <c r="X71" i="15"/>
  <c r="X72" i="15"/>
  <c r="X73" i="15"/>
  <c r="X74" i="15"/>
  <c r="X75" i="15"/>
  <c r="X76" i="15"/>
  <c r="X77" i="15"/>
  <c r="X78" i="15"/>
  <c r="X79" i="15"/>
  <c r="X80" i="15"/>
  <c r="X81" i="15"/>
  <c r="X82" i="15"/>
  <c r="X83" i="15"/>
  <c r="X84" i="15"/>
  <c r="X85" i="15"/>
  <c r="X86" i="15"/>
  <c r="X87" i="15"/>
  <c r="X88" i="15"/>
  <c r="X89" i="15"/>
  <c r="X90" i="15"/>
  <c r="X91" i="15"/>
  <c r="X92" i="15"/>
  <c r="X93" i="15"/>
  <c r="X94" i="15"/>
  <c r="X95" i="15"/>
  <c r="X96" i="15"/>
  <c r="X97" i="15"/>
  <c r="X98" i="15"/>
  <c r="X99" i="15"/>
  <c r="X100" i="15"/>
  <c r="X101" i="15"/>
  <c r="X102" i="15"/>
  <c r="X103" i="15"/>
  <c r="X104" i="15"/>
  <c r="X105" i="15"/>
  <c r="X106" i="15"/>
  <c r="X107" i="15"/>
  <c r="X108" i="15"/>
  <c r="X109" i="15"/>
  <c r="X110" i="15"/>
  <c r="X111" i="15"/>
  <c r="X112" i="15"/>
  <c r="X113" i="15"/>
  <c r="X114" i="15"/>
  <c r="X115" i="15"/>
  <c r="X116" i="15"/>
  <c r="X117" i="15"/>
  <c r="X118" i="15"/>
  <c r="X120" i="15"/>
  <c r="X121" i="15"/>
  <c r="X122" i="15"/>
  <c r="X123" i="15"/>
  <c r="X124" i="15"/>
  <c r="X125" i="15"/>
  <c r="X126" i="15"/>
  <c r="X127" i="15"/>
  <c r="X128" i="15"/>
  <c r="X129" i="15"/>
  <c r="X130" i="15"/>
  <c r="X131" i="15"/>
  <c r="X132" i="15"/>
  <c r="X133" i="15"/>
  <c r="X134" i="15"/>
  <c r="X135" i="15"/>
  <c r="X136" i="15"/>
  <c r="X137" i="15"/>
  <c r="X138" i="15"/>
  <c r="X139" i="15"/>
  <c r="X140" i="15"/>
  <c r="X141" i="15"/>
  <c r="X142" i="15"/>
  <c r="X143" i="15"/>
  <c r="X144" i="15"/>
  <c r="X145" i="15"/>
  <c r="X146" i="15"/>
  <c r="X147" i="15"/>
  <c r="X148" i="15"/>
  <c r="X149" i="15"/>
  <c r="X150" i="15"/>
  <c r="X151" i="15"/>
  <c r="X152" i="15"/>
  <c r="X153" i="15"/>
  <c r="X154" i="15"/>
  <c r="X155" i="15"/>
  <c r="X156" i="15"/>
  <c r="X157" i="15"/>
  <c r="X158" i="15"/>
  <c r="X159" i="15"/>
  <c r="X160" i="15"/>
  <c r="X161" i="15"/>
  <c r="X162" i="15"/>
  <c r="X163" i="15"/>
  <c r="X164" i="15"/>
  <c r="X165" i="15"/>
  <c r="X166" i="15"/>
  <c r="X167" i="15"/>
  <c r="X168" i="15"/>
  <c r="X169" i="15"/>
  <c r="X170" i="15"/>
  <c r="X171" i="15"/>
  <c r="X172" i="15"/>
  <c r="X173" i="15"/>
  <c r="X174" i="15"/>
  <c r="X175" i="15"/>
  <c r="X176" i="15"/>
  <c r="X177" i="15"/>
  <c r="X178" i="15"/>
  <c r="X179" i="15"/>
  <c r="X180" i="15"/>
  <c r="X181" i="15"/>
  <c r="X182" i="15"/>
  <c r="X183" i="15"/>
  <c r="X184" i="15"/>
  <c r="X185" i="15"/>
  <c r="X186" i="15"/>
  <c r="X187" i="15"/>
  <c r="X188" i="15"/>
  <c r="X189" i="15"/>
  <c r="X190" i="15"/>
  <c r="X191" i="15"/>
  <c r="X192" i="15"/>
  <c r="X193" i="15"/>
  <c r="X194" i="15"/>
  <c r="X195" i="15"/>
  <c r="X14" i="15"/>
  <c r="W14" i="15"/>
  <c r="G387" i="16"/>
  <c r="G389" i="16"/>
  <c r="G411" i="16"/>
  <c r="G401" i="16"/>
  <c r="G385" i="16"/>
  <c r="K385" i="16" s="1"/>
  <c r="K402" i="16"/>
  <c r="N41" i="15" l="1"/>
  <c r="X41" i="15" s="1"/>
  <c r="K403" i="18"/>
  <c r="N51" i="15" s="1"/>
  <c r="X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W46" i="15" s="1"/>
  <c r="W15" i="15"/>
  <c r="W16" i="15"/>
  <c r="W17" i="15"/>
  <c r="W18" i="15"/>
  <c r="W19" i="15"/>
  <c r="W20" i="15"/>
  <c r="W21" i="15"/>
  <c r="W22" i="15"/>
  <c r="W23" i="15"/>
  <c r="W24" i="15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2" i="15"/>
  <c r="W47" i="15"/>
  <c r="W55" i="15"/>
  <c r="W56" i="15"/>
  <c r="W57" i="15"/>
  <c r="W58" i="15"/>
  <c r="W59" i="15"/>
  <c r="W61" i="15"/>
  <c r="W63" i="15"/>
  <c r="W64" i="15"/>
  <c r="W66" i="15"/>
  <c r="W67" i="15"/>
  <c r="W68" i="15"/>
  <c r="W69" i="15"/>
  <c r="W70" i="15"/>
  <c r="W71" i="15"/>
  <c r="W72" i="15"/>
  <c r="W73" i="15"/>
  <c r="W74" i="15"/>
  <c r="W75" i="15"/>
  <c r="W76" i="15"/>
  <c r="W77" i="15"/>
  <c r="W78" i="15"/>
  <c r="W79" i="15"/>
  <c r="W80" i="15"/>
  <c r="W81" i="15"/>
  <c r="W82" i="15"/>
  <c r="W83" i="15"/>
  <c r="W84" i="15"/>
  <c r="W85" i="15"/>
  <c r="W86" i="15"/>
  <c r="W87" i="15"/>
  <c r="W88" i="15"/>
  <c r="W89" i="15"/>
  <c r="W90" i="15"/>
  <c r="W91" i="15"/>
  <c r="W92" i="15"/>
  <c r="W93" i="15"/>
  <c r="W94" i="15"/>
  <c r="W95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9" i="15"/>
  <c r="W110" i="15"/>
  <c r="W111" i="15"/>
  <c r="W112" i="15"/>
  <c r="W113" i="15"/>
  <c r="W114" i="15"/>
  <c r="W115" i="15"/>
  <c r="W116" i="15"/>
  <c r="W117" i="15"/>
  <c r="W118" i="15"/>
  <c r="W119" i="15"/>
  <c r="W120" i="15"/>
  <c r="W121" i="15"/>
  <c r="W122" i="15"/>
  <c r="W123" i="15"/>
  <c r="W124" i="15"/>
  <c r="W125" i="15"/>
  <c r="W126" i="15"/>
  <c r="W127" i="15"/>
  <c r="W128" i="15"/>
  <c r="W129" i="15"/>
  <c r="W130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W155" i="15"/>
  <c r="W156" i="15"/>
  <c r="W157" i="15"/>
  <c r="W158" i="15"/>
  <c r="W159" i="15"/>
  <c r="W160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W186" i="15"/>
  <c r="W187" i="15"/>
  <c r="W188" i="15"/>
  <c r="W189" i="15"/>
  <c r="W191" i="15"/>
  <c r="W192" i="15"/>
  <c r="W193" i="15"/>
  <c r="W194" i="15"/>
  <c r="W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W51" i="15" s="1"/>
  <c r="K399" i="16"/>
  <c r="K398" i="16" s="1"/>
  <c r="K397" i="16"/>
  <c r="K396" i="16" s="1"/>
  <c r="K394" i="16"/>
  <c r="M48" i="15" s="1"/>
  <c r="O48" i="15" s="1"/>
  <c r="P48" i="15" s="1"/>
  <c r="K395" i="16"/>
  <c r="K387" i="16"/>
  <c r="K386" i="16" s="1"/>
  <c r="M43" i="15" s="1"/>
  <c r="K384" i="16"/>
  <c r="M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L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V195" i="15"/>
  <c r="U195" i="15"/>
  <c r="T195" i="15"/>
  <c r="S195" i="15"/>
  <c r="R195" i="15"/>
  <c r="Y195" i="15" s="1"/>
  <c r="Q195" i="15"/>
  <c r="O195" i="15"/>
  <c r="P195" i="15" s="1"/>
  <c r="V194" i="15"/>
  <c r="U194" i="15"/>
  <c r="T194" i="15"/>
  <c r="S194" i="15"/>
  <c r="R194" i="15"/>
  <c r="Q194" i="15"/>
  <c r="O194" i="15"/>
  <c r="P194" i="15" s="1"/>
  <c r="V193" i="15"/>
  <c r="U193" i="15"/>
  <c r="T193" i="15"/>
  <c r="S193" i="15"/>
  <c r="R193" i="15"/>
  <c r="O193" i="15"/>
  <c r="V192" i="15"/>
  <c r="U192" i="15"/>
  <c r="T192" i="15"/>
  <c r="S192" i="15"/>
  <c r="R192" i="15"/>
  <c r="Q192" i="15"/>
  <c r="O192" i="15"/>
  <c r="P192" i="15" s="1"/>
  <c r="V191" i="15"/>
  <c r="U191" i="15"/>
  <c r="T191" i="15"/>
  <c r="S191" i="15"/>
  <c r="R191" i="15"/>
  <c r="Y191" i="15" s="1"/>
  <c r="Q191" i="15"/>
  <c r="O191" i="15"/>
  <c r="P191" i="15" s="1"/>
  <c r="U190" i="15"/>
  <c r="T190" i="15"/>
  <c r="S190" i="15"/>
  <c r="R190" i="15"/>
  <c r="Q190" i="15"/>
  <c r="T189" i="15"/>
  <c r="S189" i="15"/>
  <c r="R189" i="15"/>
  <c r="Q189" i="15"/>
  <c r="S188" i="15"/>
  <c r="R188" i="15"/>
  <c r="Q188" i="15"/>
  <c r="V187" i="15"/>
  <c r="U187" i="15"/>
  <c r="S187" i="15"/>
  <c r="R187" i="15"/>
  <c r="Q187" i="15"/>
  <c r="Q186" i="15"/>
  <c r="Q185" i="15"/>
  <c r="Q184" i="15"/>
  <c r="Q183" i="15"/>
  <c r="V182" i="15"/>
  <c r="U182" i="15"/>
  <c r="T182" i="15"/>
  <c r="S182" i="15"/>
  <c r="R182" i="15"/>
  <c r="Y182" i="15" s="1"/>
  <c r="Q182" i="15"/>
  <c r="O182" i="15"/>
  <c r="P182" i="15" s="1"/>
  <c r="Q181" i="15"/>
  <c r="V180" i="15"/>
  <c r="U180" i="15"/>
  <c r="T180" i="15"/>
  <c r="Q180" i="15"/>
  <c r="V179" i="15"/>
  <c r="U179" i="15"/>
  <c r="T179" i="15"/>
  <c r="Q179" i="15"/>
  <c r="V178" i="15"/>
  <c r="U178" i="15"/>
  <c r="T178" i="15"/>
  <c r="Q178" i="15"/>
  <c r="S177" i="15"/>
  <c r="R177" i="15"/>
  <c r="Q177" i="15"/>
  <c r="V176" i="15"/>
  <c r="U176" i="15"/>
  <c r="T176" i="15"/>
  <c r="R176" i="15"/>
  <c r="Q176" i="15"/>
  <c r="V175" i="15"/>
  <c r="U175" i="15"/>
  <c r="T175" i="15"/>
  <c r="S175" i="15"/>
  <c r="R175" i="15"/>
  <c r="Q175" i="15"/>
  <c r="O175" i="15"/>
  <c r="P175" i="15" s="1"/>
  <c r="V174" i="15"/>
  <c r="U174" i="15"/>
  <c r="T174" i="15"/>
  <c r="S174" i="15"/>
  <c r="Q174" i="15"/>
  <c r="V173" i="15"/>
  <c r="U173" i="15"/>
  <c r="T173" i="15"/>
  <c r="S173" i="15"/>
  <c r="R173" i="15"/>
  <c r="V172" i="15"/>
  <c r="U172" i="15"/>
  <c r="T172" i="15"/>
  <c r="S172" i="15"/>
  <c r="R172" i="15"/>
  <c r="Q172" i="15"/>
  <c r="O172" i="15"/>
  <c r="P172" i="15" s="1"/>
  <c r="V171" i="15"/>
  <c r="U171" i="15"/>
  <c r="T171" i="15"/>
  <c r="S171" i="15"/>
  <c r="R171" i="15"/>
  <c r="Q171" i="15"/>
  <c r="O171" i="15"/>
  <c r="P171" i="15" s="1"/>
  <c r="V170" i="15"/>
  <c r="U170" i="15"/>
  <c r="T170" i="15"/>
  <c r="S170" i="15"/>
  <c r="R170" i="15"/>
  <c r="Q170" i="15"/>
  <c r="O170" i="15"/>
  <c r="P170" i="15" s="1"/>
  <c r="V169" i="15"/>
  <c r="U169" i="15"/>
  <c r="T169" i="15"/>
  <c r="S169" i="15"/>
  <c r="R169" i="15"/>
  <c r="Y169" i="15" s="1"/>
  <c r="Q169" i="15"/>
  <c r="O169" i="15"/>
  <c r="P169" i="15" s="1"/>
  <c r="V168" i="15"/>
  <c r="U168" i="15"/>
  <c r="T168" i="15"/>
  <c r="S168" i="15"/>
  <c r="R168" i="15"/>
  <c r="Q168" i="15"/>
  <c r="O168" i="15"/>
  <c r="P168" i="15" s="1"/>
  <c r="V167" i="15"/>
  <c r="U167" i="15"/>
  <c r="T167" i="15"/>
  <c r="S167" i="15"/>
  <c r="R167" i="15"/>
  <c r="Q167" i="15"/>
  <c r="O167" i="15"/>
  <c r="P167" i="15" s="1"/>
  <c r="V166" i="15"/>
  <c r="U166" i="15"/>
  <c r="T166" i="15"/>
  <c r="S166" i="15"/>
  <c r="R166" i="15"/>
  <c r="Q166" i="15"/>
  <c r="O166" i="15"/>
  <c r="P166" i="15" s="1"/>
  <c r="V165" i="15"/>
  <c r="U165" i="15"/>
  <c r="T165" i="15"/>
  <c r="S165" i="15"/>
  <c r="R165" i="15"/>
  <c r="Y165" i="15" s="1"/>
  <c r="Q165" i="15"/>
  <c r="O165" i="15"/>
  <c r="P165" i="15" s="1"/>
  <c r="V164" i="15"/>
  <c r="U164" i="15"/>
  <c r="T164" i="15"/>
  <c r="S164" i="15"/>
  <c r="R164" i="15"/>
  <c r="Q164" i="15"/>
  <c r="O164" i="15"/>
  <c r="P164" i="15" s="1"/>
  <c r="V163" i="15"/>
  <c r="U163" i="15"/>
  <c r="T163" i="15"/>
  <c r="S163" i="15"/>
  <c r="R163" i="15"/>
  <c r="Q163" i="15"/>
  <c r="O163" i="15"/>
  <c r="P163" i="15" s="1"/>
  <c r="V162" i="15"/>
  <c r="U162" i="15"/>
  <c r="T162" i="15"/>
  <c r="S162" i="15"/>
  <c r="R162" i="15"/>
  <c r="Q162" i="15"/>
  <c r="O162" i="15"/>
  <c r="P162" i="15" s="1"/>
  <c r="V161" i="15"/>
  <c r="U161" i="15"/>
  <c r="T161" i="15"/>
  <c r="S161" i="15"/>
  <c r="R161" i="15"/>
  <c r="Y161" i="15" s="1"/>
  <c r="Q161" i="15"/>
  <c r="O161" i="15"/>
  <c r="P161" i="15" s="1"/>
  <c r="V160" i="15"/>
  <c r="U160" i="15"/>
  <c r="T160" i="15"/>
  <c r="S160" i="15"/>
  <c r="R160" i="15"/>
  <c r="V159" i="15"/>
  <c r="U159" i="15"/>
  <c r="T159" i="15"/>
  <c r="S159" i="15"/>
  <c r="R159" i="15"/>
  <c r="Y159" i="15" s="1"/>
  <c r="AA159" i="15" s="1"/>
  <c r="Q159" i="15"/>
  <c r="O159" i="15"/>
  <c r="V158" i="15"/>
  <c r="U158" i="15"/>
  <c r="T158" i="15"/>
  <c r="S158" i="15"/>
  <c r="R158" i="15"/>
  <c r="Q158" i="15"/>
  <c r="O158" i="15"/>
  <c r="V157" i="15"/>
  <c r="U157" i="15"/>
  <c r="T157" i="15"/>
  <c r="S157" i="15"/>
  <c r="R157" i="15"/>
  <c r="Y157" i="15" s="1"/>
  <c r="AA157" i="15" s="1"/>
  <c r="Q157" i="15"/>
  <c r="O157" i="15"/>
  <c r="V156" i="15"/>
  <c r="U156" i="15"/>
  <c r="T156" i="15"/>
  <c r="S156" i="15"/>
  <c r="R156" i="15"/>
  <c r="Q156" i="15"/>
  <c r="O156" i="15"/>
  <c r="V155" i="15"/>
  <c r="U155" i="15"/>
  <c r="T155" i="15"/>
  <c r="S155" i="15"/>
  <c r="R155" i="15"/>
  <c r="Y155" i="15" s="1"/>
  <c r="AA155" i="15" s="1"/>
  <c r="Q155" i="15"/>
  <c r="O155" i="15"/>
  <c r="V154" i="15"/>
  <c r="U154" i="15"/>
  <c r="T154" i="15"/>
  <c r="S154" i="15"/>
  <c r="R154" i="15"/>
  <c r="Y154" i="15" s="1"/>
  <c r="AA154" i="15" s="1"/>
  <c r="Q154" i="15"/>
  <c r="O154" i="15"/>
  <c r="V153" i="15"/>
  <c r="U153" i="15"/>
  <c r="T153" i="15"/>
  <c r="S153" i="15"/>
  <c r="R153" i="15"/>
  <c r="Q153" i="15"/>
  <c r="O153" i="15"/>
  <c r="V152" i="15"/>
  <c r="U152" i="15"/>
  <c r="T152" i="15"/>
  <c r="S152" i="15"/>
  <c r="R152" i="15"/>
  <c r="Q152" i="15"/>
  <c r="O152" i="15"/>
  <c r="V151" i="15"/>
  <c r="U151" i="15"/>
  <c r="T151" i="15"/>
  <c r="S151" i="15"/>
  <c r="R151" i="15"/>
  <c r="Y151" i="15" s="1"/>
  <c r="Q151" i="15"/>
  <c r="O151" i="15"/>
  <c r="J488" i="18" s="1"/>
  <c r="L488" i="18" s="1"/>
  <c r="V150" i="15"/>
  <c r="U150" i="15"/>
  <c r="T150" i="15"/>
  <c r="S150" i="15"/>
  <c r="R150" i="15"/>
  <c r="Y150" i="15" s="1"/>
  <c r="Q150" i="15"/>
  <c r="O150" i="15"/>
  <c r="V149" i="15"/>
  <c r="U149" i="15"/>
  <c r="T149" i="15"/>
  <c r="S149" i="15"/>
  <c r="R149" i="15"/>
  <c r="Q149" i="15"/>
  <c r="O149" i="15"/>
  <c r="V148" i="15"/>
  <c r="U148" i="15"/>
  <c r="T148" i="15"/>
  <c r="S148" i="15"/>
  <c r="R148" i="15"/>
  <c r="Q148" i="15"/>
  <c r="O148" i="15"/>
  <c r="V147" i="15"/>
  <c r="U147" i="15"/>
  <c r="T147" i="15"/>
  <c r="S147" i="15"/>
  <c r="R147" i="15"/>
  <c r="Q147" i="15"/>
  <c r="O147" i="15"/>
  <c r="J476" i="18" s="1"/>
  <c r="L476" i="18" s="1"/>
  <c r="V146" i="15"/>
  <c r="U146" i="15"/>
  <c r="T146" i="15"/>
  <c r="S146" i="15"/>
  <c r="R146" i="15"/>
  <c r="Q146" i="15"/>
  <c r="O146" i="15"/>
  <c r="V145" i="15"/>
  <c r="U145" i="15"/>
  <c r="T145" i="15"/>
  <c r="S145" i="15"/>
  <c r="R145" i="15"/>
  <c r="Y145" i="15" s="1"/>
  <c r="Q145" i="15"/>
  <c r="O145" i="15"/>
  <c r="V144" i="15"/>
  <c r="U144" i="15"/>
  <c r="T144" i="15"/>
  <c r="S144" i="15"/>
  <c r="R144" i="15"/>
  <c r="Y144" i="15" s="1"/>
  <c r="AA144" i="15" s="1"/>
  <c r="Q144" i="15"/>
  <c r="O144" i="15"/>
  <c r="V143" i="15"/>
  <c r="U143" i="15"/>
  <c r="T143" i="15"/>
  <c r="S143" i="15"/>
  <c r="R143" i="15"/>
  <c r="Y143" i="15" s="1"/>
  <c r="AA143" i="15" s="1"/>
  <c r="Q143" i="15"/>
  <c r="O143" i="15"/>
  <c r="V142" i="15"/>
  <c r="U142" i="15"/>
  <c r="T142" i="15"/>
  <c r="S142" i="15"/>
  <c r="R142" i="15"/>
  <c r="Y142" i="15" s="1"/>
  <c r="AA142" i="15" s="1"/>
  <c r="Q142" i="15"/>
  <c r="O142" i="15"/>
  <c r="V141" i="15"/>
  <c r="U141" i="15"/>
  <c r="T141" i="15"/>
  <c r="S141" i="15"/>
  <c r="R141" i="15"/>
  <c r="Y141" i="15" s="1"/>
  <c r="AA141" i="15" s="1"/>
  <c r="Q141" i="15"/>
  <c r="O141" i="15"/>
  <c r="J458" i="18" s="1"/>
  <c r="L458" i="18" s="1"/>
  <c r="N458" i="18" s="1"/>
  <c r="V140" i="15"/>
  <c r="U140" i="15"/>
  <c r="T140" i="15"/>
  <c r="S140" i="15"/>
  <c r="R140" i="15"/>
  <c r="Y140" i="15" s="1"/>
  <c r="AA140" i="15" s="1"/>
  <c r="Q140" i="15"/>
  <c r="O140" i="15"/>
  <c r="V139" i="15"/>
  <c r="U139" i="15"/>
  <c r="T139" i="15"/>
  <c r="S139" i="15"/>
  <c r="R139" i="15"/>
  <c r="Y139" i="15" s="1"/>
  <c r="AA139" i="15" s="1"/>
  <c r="Q139" i="15"/>
  <c r="O139" i="15"/>
  <c r="V138" i="15"/>
  <c r="U138" i="15"/>
  <c r="T138" i="15"/>
  <c r="S138" i="15"/>
  <c r="R138" i="15"/>
  <c r="Y138" i="15" s="1"/>
  <c r="AA138" i="15" s="1"/>
  <c r="Q138" i="15"/>
  <c r="O138" i="15"/>
  <c r="V137" i="15"/>
  <c r="U137" i="15"/>
  <c r="T137" i="15"/>
  <c r="S137" i="15"/>
  <c r="R137" i="15"/>
  <c r="Y137" i="15" s="1"/>
  <c r="V136" i="15"/>
  <c r="U136" i="15"/>
  <c r="T136" i="15"/>
  <c r="S136" i="15"/>
  <c r="R136" i="15"/>
  <c r="Q136" i="15"/>
  <c r="O136" i="15"/>
  <c r="P136" i="15" s="1"/>
  <c r="V135" i="15"/>
  <c r="U135" i="15"/>
  <c r="T135" i="15"/>
  <c r="S135" i="15"/>
  <c r="R135" i="15"/>
  <c r="Y135" i="15" s="1"/>
  <c r="Q135" i="15"/>
  <c r="O135" i="15"/>
  <c r="P135" i="15" s="1"/>
  <c r="V134" i="15"/>
  <c r="U134" i="15"/>
  <c r="T134" i="15"/>
  <c r="S134" i="15"/>
  <c r="R134" i="15"/>
  <c r="Q134" i="15"/>
  <c r="O134" i="15"/>
  <c r="P134" i="15" s="1"/>
  <c r="V133" i="15"/>
  <c r="U133" i="15"/>
  <c r="T133" i="15"/>
  <c r="S133" i="15"/>
  <c r="R133" i="15"/>
  <c r="Q133" i="15"/>
  <c r="O133" i="15"/>
  <c r="P133" i="15" s="1"/>
  <c r="V132" i="15"/>
  <c r="U132" i="15"/>
  <c r="T132" i="15"/>
  <c r="S132" i="15"/>
  <c r="R132" i="15"/>
  <c r="Q132" i="15"/>
  <c r="O132" i="15"/>
  <c r="P132" i="15" s="1"/>
  <c r="V131" i="15"/>
  <c r="U131" i="15"/>
  <c r="T131" i="15"/>
  <c r="S131" i="15"/>
  <c r="R131" i="15"/>
  <c r="Y131" i="15" s="1"/>
  <c r="Q131" i="15"/>
  <c r="O131" i="15"/>
  <c r="P131" i="15" s="1"/>
  <c r="V130" i="15"/>
  <c r="U130" i="15"/>
  <c r="T130" i="15"/>
  <c r="S130" i="15"/>
  <c r="R130" i="15"/>
  <c r="Y130" i="15" s="1"/>
  <c r="Q130" i="15"/>
  <c r="O130" i="15"/>
  <c r="P130" i="15" s="1"/>
  <c r="V129" i="15"/>
  <c r="U129" i="15"/>
  <c r="T129" i="15"/>
  <c r="S129" i="15"/>
  <c r="R129" i="15"/>
  <c r="Q129" i="15"/>
  <c r="O129" i="15"/>
  <c r="P129" i="15" s="1"/>
  <c r="V128" i="15"/>
  <c r="U128" i="15"/>
  <c r="T128" i="15"/>
  <c r="S128" i="15"/>
  <c r="R128" i="15"/>
  <c r="Q128" i="15"/>
  <c r="O128" i="15"/>
  <c r="P128" i="15" s="1"/>
  <c r="V127" i="15"/>
  <c r="U127" i="15"/>
  <c r="T127" i="15"/>
  <c r="S127" i="15"/>
  <c r="R127" i="15"/>
  <c r="V126" i="15"/>
  <c r="U126" i="15"/>
  <c r="T126" i="15"/>
  <c r="S126" i="15"/>
  <c r="R126" i="15"/>
  <c r="Q126" i="15"/>
  <c r="P126" i="15"/>
  <c r="O126" i="15"/>
  <c r="V125" i="15"/>
  <c r="U125" i="15"/>
  <c r="T125" i="15"/>
  <c r="S125" i="15"/>
  <c r="R125" i="15"/>
  <c r="Q125" i="15"/>
  <c r="O125" i="15"/>
  <c r="P125" i="15" s="1"/>
  <c r="V124" i="15"/>
  <c r="U124" i="15"/>
  <c r="T124" i="15"/>
  <c r="S124" i="15"/>
  <c r="R124" i="15"/>
  <c r="Q124" i="15"/>
  <c r="O124" i="15"/>
  <c r="P124" i="15" s="1"/>
  <c r="V123" i="15"/>
  <c r="U123" i="15"/>
  <c r="T123" i="15"/>
  <c r="S123" i="15"/>
  <c r="R123" i="15"/>
  <c r="Y123" i="15" s="1"/>
  <c r="Q123" i="15"/>
  <c r="O123" i="15"/>
  <c r="P123" i="15" s="1"/>
  <c r="V122" i="15"/>
  <c r="U122" i="15"/>
  <c r="T122" i="15"/>
  <c r="S122" i="15"/>
  <c r="R122" i="15"/>
  <c r="Q122" i="15"/>
  <c r="O122" i="15"/>
  <c r="P122" i="15" s="1"/>
  <c r="V121" i="15"/>
  <c r="U121" i="15"/>
  <c r="T121" i="15"/>
  <c r="S121" i="15"/>
  <c r="R121" i="15"/>
  <c r="Q121" i="15"/>
  <c r="O121" i="15"/>
  <c r="P121" i="15" s="1"/>
  <c r="V120" i="15"/>
  <c r="U120" i="15"/>
  <c r="T120" i="15"/>
  <c r="S120" i="15"/>
  <c r="R120" i="15"/>
  <c r="Q120" i="15"/>
  <c r="O120" i="15"/>
  <c r="P120" i="15" s="1"/>
  <c r="V119" i="15"/>
  <c r="U119" i="15"/>
  <c r="T119" i="15"/>
  <c r="S119" i="15"/>
  <c r="R119" i="15"/>
  <c r="Y119" i="15" s="1"/>
  <c r="AA119" i="15" s="1"/>
  <c r="Q119" i="15"/>
  <c r="O119" i="15"/>
  <c r="V118" i="15"/>
  <c r="U118" i="15"/>
  <c r="T118" i="15"/>
  <c r="S118" i="15"/>
  <c r="R118" i="15"/>
  <c r="Y118" i="15" s="1"/>
  <c r="V117" i="15"/>
  <c r="U117" i="15"/>
  <c r="T117" i="15"/>
  <c r="S117" i="15"/>
  <c r="R117" i="15"/>
  <c r="Q117" i="15"/>
  <c r="O117" i="15"/>
  <c r="P117" i="15" s="1"/>
  <c r="V116" i="15"/>
  <c r="U116" i="15"/>
  <c r="T116" i="15"/>
  <c r="S116" i="15"/>
  <c r="R116" i="15"/>
  <c r="Y116" i="15" s="1"/>
  <c r="Q116" i="15"/>
  <c r="O116" i="15"/>
  <c r="P116" i="15" s="1"/>
  <c r="V115" i="15"/>
  <c r="U115" i="15"/>
  <c r="T115" i="15"/>
  <c r="S115" i="15"/>
  <c r="R115" i="15"/>
  <c r="Q115" i="15"/>
  <c r="O115" i="15"/>
  <c r="P115" i="15" s="1"/>
  <c r="V114" i="15"/>
  <c r="U114" i="15"/>
  <c r="T114" i="15"/>
  <c r="S114" i="15"/>
  <c r="R114" i="15"/>
  <c r="Q114" i="15"/>
  <c r="O114" i="15"/>
  <c r="P114" i="15" s="1"/>
  <c r="V113" i="15"/>
  <c r="U113" i="15"/>
  <c r="T113" i="15"/>
  <c r="S113" i="15"/>
  <c r="R113" i="15"/>
  <c r="Q113" i="15"/>
  <c r="O113" i="15"/>
  <c r="P113" i="15" s="1"/>
  <c r="V112" i="15"/>
  <c r="U112" i="15"/>
  <c r="T112" i="15"/>
  <c r="S112" i="15"/>
  <c r="R112" i="15"/>
  <c r="Y112" i="15" s="1"/>
  <c r="Q112" i="15"/>
  <c r="O112" i="15"/>
  <c r="P112" i="15" s="1"/>
  <c r="V111" i="15"/>
  <c r="U111" i="15"/>
  <c r="T111" i="15"/>
  <c r="S111" i="15"/>
  <c r="R111" i="15"/>
  <c r="Q111" i="15"/>
  <c r="O111" i="15"/>
  <c r="P111" i="15" s="1"/>
  <c r="V110" i="15"/>
  <c r="U110" i="15"/>
  <c r="T110" i="15"/>
  <c r="S110" i="15"/>
  <c r="R110" i="15"/>
  <c r="Q110" i="15"/>
  <c r="O110" i="15"/>
  <c r="P110" i="15" s="1"/>
  <c r="V109" i="15"/>
  <c r="U109" i="15"/>
  <c r="T109" i="15"/>
  <c r="S109" i="15"/>
  <c r="R109" i="15"/>
  <c r="Q109" i="15"/>
  <c r="O109" i="15"/>
  <c r="P109" i="15" s="1"/>
  <c r="V108" i="15"/>
  <c r="U108" i="15"/>
  <c r="T108" i="15"/>
  <c r="S108" i="15"/>
  <c r="R108" i="15"/>
  <c r="Q108" i="15"/>
  <c r="V107" i="15"/>
  <c r="U107" i="15"/>
  <c r="T107" i="15"/>
  <c r="S107" i="15"/>
  <c r="R107" i="15"/>
  <c r="Q107" i="15"/>
  <c r="O107" i="15"/>
  <c r="P107" i="15" s="1"/>
  <c r="V106" i="15"/>
  <c r="U106" i="15"/>
  <c r="T106" i="15"/>
  <c r="S106" i="15"/>
  <c r="R106" i="15"/>
  <c r="Q106" i="15"/>
  <c r="O106" i="15"/>
  <c r="P106" i="15" s="1"/>
  <c r="V105" i="15"/>
  <c r="U105" i="15"/>
  <c r="T105" i="15"/>
  <c r="S105" i="15"/>
  <c r="R105" i="15"/>
  <c r="Y105" i="15" s="1"/>
  <c r="Q105" i="15"/>
  <c r="O105" i="15"/>
  <c r="P105" i="15" s="1"/>
  <c r="V104" i="15"/>
  <c r="U104" i="15"/>
  <c r="T104" i="15"/>
  <c r="S104" i="15"/>
  <c r="R104" i="15"/>
  <c r="Q104" i="15"/>
  <c r="O104" i="15"/>
  <c r="P104" i="15" s="1"/>
  <c r="V103" i="15"/>
  <c r="U103" i="15"/>
  <c r="T103" i="15"/>
  <c r="S103" i="15"/>
  <c r="R103" i="15"/>
  <c r="Q103" i="15"/>
  <c r="O103" i="15"/>
  <c r="P103" i="15" s="1"/>
  <c r="V102" i="15"/>
  <c r="U102" i="15"/>
  <c r="T102" i="15"/>
  <c r="S102" i="15"/>
  <c r="R102" i="15"/>
  <c r="Q102" i="15"/>
  <c r="O102" i="15"/>
  <c r="P102" i="15" s="1"/>
  <c r="V101" i="15"/>
  <c r="U101" i="15"/>
  <c r="T101" i="15"/>
  <c r="S101" i="15"/>
  <c r="R101" i="15"/>
  <c r="Y101" i="15" s="1"/>
  <c r="Q101" i="15"/>
  <c r="O101" i="15"/>
  <c r="P101" i="15" s="1"/>
  <c r="V100" i="15"/>
  <c r="U100" i="15"/>
  <c r="T100" i="15"/>
  <c r="S100" i="15"/>
  <c r="R100" i="15"/>
  <c r="Q100" i="15"/>
  <c r="O100" i="15"/>
  <c r="P100" i="15" s="1"/>
  <c r="V99" i="15"/>
  <c r="U99" i="15"/>
  <c r="T99" i="15"/>
  <c r="S99" i="15"/>
  <c r="R99" i="15"/>
  <c r="Q99" i="15"/>
  <c r="O99" i="15"/>
  <c r="P99" i="15" s="1"/>
  <c r="V98" i="15"/>
  <c r="U98" i="15"/>
  <c r="T98" i="15"/>
  <c r="S98" i="15"/>
  <c r="R98" i="15"/>
  <c r="Q98" i="15"/>
  <c r="O98" i="15"/>
  <c r="P98" i="15" s="1"/>
  <c r="V97" i="15"/>
  <c r="U97" i="15"/>
  <c r="T97" i="15"/>
  <c r="S97" i="15"/>
  <c r="R97" i="15"/>
  <c r="Q97" i="15"/>
  <c r="O97" i="15"/>
  <c r="P97" i="15" s="1"/>
  <c r="V96" i="15"/>
  <c r="U96" i="15"/>
  <c r="T96" i="15"/>
  <c r="S96" i="15"/>
  <c r="R96" i="15"/>
  <c r="Y96" i="15" s="1"/>
  <c r="Q96" i="15"/>
  <c r="P96" i="15"/>
  <c r="O96" i="15"/>
  <c r="V95" i="15"/>
  <c r="U95" i="15"/>
  <c r="T95" i="15"/>
  <c r="S95" i="15"/>
  <c r="R95" i="15"/>
  <c r="Y95" i="15" s="1"/>
  <c r="Q95" i="15"/>
  <c r="O95" i="15"/>
  <c r="P95" i="15" s="1"/>
  <c r="V94" i="15"/>
  <c r="U94" i="15"/>
  <c r="T94" i="15"/>
  <c r="S94" i="15"/>
  <c r="R94" i="15"/>
  <c r="Q94" i="15"/>
  <c r="O94" i="15"/>
  <c r="P94" i="15" s="1"/>
  <c r="V93" i="15"/>
  <c r="U93" i="15"/>
  <c r="T93" i="15"/>
  <c r="S93" i="15"/>
  <c r="R93" i="15"/>
  <c r="Q93" i="15"/>
  <c r="O93" i="15"/>
  <c r="P93" i="15" s="1"/>
  <c r="V92" i="15"/>
  <c r="U92" i="15"/>
  <c r="T92" i="15"/>
  <c r="S92" i="15"/>
  <c r="R92" i="15"/>
  <c r="Q92" i="15"/>
  <c r="O92" i="15"/>
  <c r="P92" i="15" s="1"/>
  <c r="V91" i="15"/>
  <c r="U91" i="15"/>
  <c r="T91" i="15"/>
  <c r="S91" i="15"/>
  <c r="R91" i="15"/>
  <c r="Y91" i="15" s="1"/>
  <c r="Q91" i="15"/>
  <c r="O91" i="15"/>
  <c r="P91" i="15" s="1"/>
  <c r="V90" i="15"/>
  <c r="U90" i="15"/>
  <c r="T90" i="15"/>
  <c r="S90" i="15"/>
  <c r="R90" i="15"/>
  <c r="Q90" i="15"/>
  <c r="O90" i="15"/>
  <c r="P90" i="15" s="1"/>
  <c r="V89" i="15"/>
  <c r="U89" i="15"/>
  <c r="T89" i="15"/>
  <c r="S89" i="15"/>
  <c r="R89" i="15"/>
  <c r="V88" i="15"/>
  <c r="U88" i="15"/>
  <c r="T88" i="15"/>
  <c r="S88" i="15"/>
  <c r="R88" i="15"/>
  <c r="Q88" i="15"/>
  <c r="O88" i="15"/>
  <c r="P88" i="15" s="1"/>
  <c r="V87" i="15"/>
  <c r="U87" i="15"/>
  <c r="T87" i="15"/>
  <c r="S87" i="15"/>
  <c r="R87" i="15"/>
  <c r="Q87" i="15"/>
  <c r="O87" i="15"/>
  <c r="P87" i="15" s="1"/>
  <c r="V86" i="15"/>
  <c r="U86" i="15"/>
  <c r="T86" i="15"/>
  <c r="S86" i="15"/>
  <c r="R86" i="15"/>
  <c r="Q86" i="15"/>
  <c r="O86" i="15"/>
  <c r="P86" i="15" s="1"/>
  <c r="V85" i="15"/>
  <c r="U85" i="15"/>
  <c r="T85" i="15"/>
  <c r="S85" i="15"/>
  <c r="R85" i="15"/>
  <c r="Y85" i="15" s="1"/>
  <c r="Q85" i="15"/>
  <c r="O85" i="15"/>
  <c r="P85" i="15" s="1"/>
  <c r="V84" i="15"/>
  <c r="U84" i="15"/>
  <c r="T84" i="15"/>
  <c r="S84" i="15"/>
  <c r="R84" i="15"/>
  <c r="Q84" i="15"/>
  <c r="O84" i="15"/>
  <c r="P84" i="15" s="1"/>
  <c r="V83" i="15"/>
  <c r="U83" i="15"/>
  <c r="T83" i="15"/>
  <c r="S83" i="15"/>
  <c r="R83" i="15"/>
  <c r="Y83" i="15" s="1"/>
  <c r="Q83" i="15"/>
  <c r="O83" i="15"/>
  <c r="P83" i="15" s="1"/>
  <c r="V82" i="15"/>
  <c r="U82" i="15"/>
  <c r="T82" i="15"/>
  <c r="S82" i="15"/>
  <c r="R82" i="15"/>
  <c r="Y82" i="15" s="1"/>
  <c r="Q82" i="15"/>
  <c r="O82" i="15"/>
  <c r="J421" i="18" s="1"/>
  <c r="L421" i="18" s="1"/>
  <c r="N421" i="18" s="1"/>
  <c r="V81" i="15"/>
  <c r="U81" i="15"/>
  <c r="T81" i="15"/>
  <c r="S81" i="15"/>
  <c r="R81" i="15"/>
  <c r="Y81" i="15" s="1"/>
  <c r="V80" i="15"/>
  <c r="U80" i="15"/>
  <c r="T80" i="15"/>
  <c r="S80" i="15"/>
  <c r="R80" i="15"/>
  <c r="Q80" i="15"/>
  <c r="O80" i="15"/>
  <c r="P80" i="15" s="1"/>
  <c r="V79" i="15"/>
  <c r="U79" i="15"/>
  <c r="T79" i="15"/>
  <c r="S79" i="15"/>
  <c r="R79" i="15"/>
  <c r="Y79" i="15" s="1"/>
  <c r="Q79" i="15"/>
  <c r="O79" i="15"/>
  <c r="P79" i="15" s="1"/>
  <c r="V78" i="15"/>
  <c r="U78" i="15"/>
  <c r="T78" i="15"/>
  <c r="S78" i="15"/>
  <c r="R78" i="15"/>
  <c r="Q78" i="15"/>
  <c r="O78" i="15"/>
  <c r="P78" i="15" s="1"/>
  <c r="V77" i="15"/>
  <c r="U77" i="15"/>
  <c r="T77" i="15"/>
  <c r="S77" i="15"/>
  <c r="R77" i="15"/>
  <c r="Q77" i="15"/>
  <c r="O77" i="15"/>
  <c r="P77" i="15" s="1"/>
  <c r="V76" i="15"/>
  <c r="U76" i="15"/>
  <c r="T76" i="15"/>
  <c r="S76" i="15"/>
  <c r="R76" i="15"/>
  <c r="Q76" i="15"/>
  <c r="O76" i="15"/>
  <c r="P76" i="15" s="1"/>
  <c r="V75" i="15"/>
  <c r="U75" i="15"/>
  <c r="T75" i="15"/>
  <c r="S75" i="15"/>
  <c r="R75" i="15"/>
  <c r="Y75" i="15" s="1"/>
  <c r="Q75" i="15"/>
  <c r="O75" i="15"/>
  <c r="P75" i="15" s="1"/>
  <c r="V74" i="15"/>
  <c r="U74" i="15"/>
  <c r="T74" i="15"/>
  <c r="S74" i="15"/>
  <c r="R74" i="15"/>
  <c r="V73" i="15"/>
  <c r="U73" i="15"/>
  <c r="T73" i="15"/>
  <c r="S73" i="15"/>
  <c r="R73" i="15"/>
  <c r="Y73" i="15" s="1"/>
  <c r="Q73" i="15"/>
  <c r="O73" i="15"/>
  <c r="P73" i="15" s="1"/>
  <c r="V72" i="15"/>
  <c r="U72" i="15"/>
  <c r="T72" i="15"/>
  <c r="S72" i="15"/>
  <c r="R72" i="15"/>
  <c r="Q72" i="15"/>
  <c r="O72" i="15"/>
  <c r="P72" i="15" s="1"/>
  <c r="V71" i="15"/>
  <c r="U71" i="15"/>
  <c r="T71" i="15"/>
  <c r="S71" i="15"/>
  <c r="R71" i="15"/>
  <c r="Q71" i="15"/>
  <c r="O71" i="15"/>
  <c r="P71" i="15" s="1"/>
  <c r="V70" i="15"/>
  <c r="U70" i="15"/>
  <c r="T70" i="15"/>
  <c r="S70" i="15"/>
  <c r="R70" i="15"/>
  <c r="Q70" i="15"/>
  <c r="O70" i="15"/>
  <c r="P70" i="15" s="1"/>
  <c r="V69" i="15"/>
  <c r="U69" i="15"/>
  <c r="T69" i="15"/>
  <c r="S69" i="15"/>
  <c r="R69" i="15"/>
  <c r="Y69" i="15" s="1"/>
  <c r="Q69" i="15"/>
  <c r="O69" i="15"/>
  <c r="P69" i="15" s="1"/>
  <c r="V68" i="15"/>
  <c r="U68" i="15"/>
  <c r="T68" i="15"/>
  <c r="S68" i="15"/>
  <c r="R68" i="15"/>
  <c r="Q68" i="15"/>
  <c r="O68" i="15"/>
  <c r="P68" i="15" s="1"/>
  <c r="V67" i="15"/>
  <c r="U67" i="15"/>
  <c r="T67" i="15"/>
  <c r="S67" i="15"/>
  <c r="R67" i="15"/>
  <c r="Q67" i="15"/>
  <c r="O67" i="15"/>
  <c r="P67" i="15" s="1"/>
  <c r="V66" i="15"/>
  <c r="U66" i="15"/>
  <c r="T66" i="15"/>
  <c r="S66" i="15"/>
  <c r="R66" i="15"/>
  <c r="Q66" i="15"/>
  <c r="O66" i="15"/>
  <c r="P66" i="15" s="1"/>
  <c r="V65" i="15"/>
  <c r="U65" i="15"/>
  <c r="T65" i="15"/>
  <c r="S65" i="15"/>
  <c r="R65" i="15"/>
  <c r="V64" i="15"/>
  <c r="U64" i="15"/>
  <c r="T64" i="15"/>
  <c r="S64" i="15"/>
  <c r="R64" i="15"/>
  <c r="Y64" i="15" s="1"/>
  <c r="Q64" i="15"/>
  <c r="O64" i="15"/>
  <c r="P64" i="15" s="1"/>
  <c r="V63" i="15"/>
  <c r="U63" i="15"/>
  <c r="T63" i="15"/>
  <c r="S63" i="15"/>
  <c r="R63" i="15"/>
  <c r="Y63" i="15" s="1"/>
  <c r="Q63" i="15"/>
  <c r="O63" i="15"/>
  <c r="V62" i="15"/>
  <c r="U62" i="15"/>
  <c r="T62" i="15"/>
  <c r="S62" i="15"/>
  <c r="R62" i="15"/>
  <c r="Q62" i="15"/>
  <c r="V61" i="15"/>
  <c r="U61" i="15"/>
  <c r="T61" i="15"/>
  <c r="S61" i="15"/>
  <c r="R61" i="15"/>
  <c r="Q61" i="15"/>
  <c r="O61" i="15"/>
  <c r="P61" i="15" s="1"/>
  <c r="V60" i="15"/>
  <c r="U60" i="15"/>
  <c r="T60" i="15"/>
  <c r="S60" i="15"/>
  <c r="R60" i="15"/>
  <c r="Y60" i="15" s="1"/>
  <c r="T59" i="15"/>
  <c r="S59" i="15"/>
  <c r="R59" i="15"/>
  <c r="Q59" i="15"/>
  <c r="T58" i="15"/>
  <c r="S58" i="15"/>
  <c r="R58" i="15"/>
  <c r="Q58" i="15"/>
  <c r="T57" i="15"/>
  <c r="S57" i="15"/>
  <c r="R57" i="15"/>
  <c r="Q57" i="15"/>
  <c r="T56" i="15"/>
  <c r="S56" i="15"/>
  <c r="R56" i="15"/>
  <c r="Q56" i="15"/>
  <c r="V55" i="15"/>
  <c r="U55" i="15"/>
  <c r="T55" i="15"/>
  <c r="S55" i="15"/>
  <c r="R55" i="15"/>
  <c r="V54" i="15"/>
  <c r="U54" i="15"/>
  <c r="T54" i="15"/>
  <c r="S54" i="15"/>
  <c r="R54" i="15"/>
  <c r="Q54" i="15"/>
  <c r="V53" i="15"/>
  <c r="U53" i="15"/>
  <c r="T53" i="15"/>
  <c r="S53" i="15"/>
  <c r="R53" i="15"/>
  <c r="Q53" i="15"/>
  <c r="T52" i="15"/>
  <c r="S52" i="15"/>
  <c r="R52" i="15"/>
  <c r="Q52" i="15"/>
  <c r="T51" i="15"/>
  <c r="S51" i="15"/>
  <c r="R51" i="15"/>
  <c r="Q51" i="15"/>
  <c r="V50" i="15"/>
  <c r="U50" i="15"/>
  <c r="T50" i="15"/>
  <c r="S50" i="15"/>
  <c r="R50" i="15"/>
  <c r="Q50" i="15"/>
  <c r="V49" i="15"/>
  <c r="U49" i="15"/>
  <c r="T49" i="15"/>
  <c r="S49" i="15"/>
  <c r="R49" i="15"/>
  <c r="Q49" i="15"/>
  <c r="V48" i="15"/>
  <c r="U48" i="15"/>
  <c r="T48" i="15"/>
  <c r="S48" i="15"/>
  <c r="R48" i="15"/>
  <c r="Q48" i="15"/>
  <c r="T47" i="15"/>
  <c r="S47" i="15"/>
  <c r="R47" i="15"/>
  <c r="Q47" i="15"/>
  <c r="T46" i="15"/>
  <c r="S46" i="15"/>
  <c r="R46" i="15"/>
  <c r="Q46" i="15"/>
  <c r="U45" i="15"/>
  <c r="T45" i="15"/>
  <c r="S45" i="15"/>
  <c r="R45" i="15"/>
  <c r="Q45" i="15"/>
  <c r="U44" i="15"/>
  <c r="T44" i="15"/>
  <c r="S44" i="15"/>
  <c r="R44" i="15"/>
  <c r="Q44" i="15"/>
  <c r="T43" i="15"/>
  <c r="S43" i="15"/>
  <c r="R43" i="15"/>
  <c r="Q43" i="15"/>
  <c r="V42" i="15"/>
  <c r="U42" i="15"/>
  <c r="T42" i="15"/>
  <c r="S42" i="15"/>
  <c r="R42" i="15"/>
  <c r="Y42" i="15" s="1"/>
  <c r="Q42" i="15"/>
  <c r="O42" i="15"/>
  <c r="J386" i="18" s="1"/>
  <c r="V41" i="15"/>
  <c r="U41" i="15"/>
  <c r="T41" i="15"/>
  <c r="S41" i="15"/>
  <c r="R41" i="15"/>
  <c r="Q41" i="15"/>
  <c r="T40" i="15"/>
  <c r="S40" i="15"/>
  <c r="R40" i="15"/>
  <c r="Q40" i="15"/>
  <c r="V39" i="15"/>
  <c r="U39" i="15"/>
  <c r="T39" i="15"/>
  <c r="S39" i="15"/>
  <c r="R39" i="15"/>
  <c r="V38" i="15"/>
  <c r="T38" i="15"/>
  <c r="S38" i="15"/>
  <c r="R38" i="15"/>
  <c r="Q38" i="15"/>
  <c r="V37" i="15"/>
  <c r="U37" i="15"/>
  <c r="R37" i="15"/>
  <c r="Q37" i="15"/>
  <c r="V36" i="15"/>
  <c r="U36" i="15"/>
  <c r="R36" i="15"/>
  <c r="Q36" i="15"/>
  <c r="V35" i="15"/>
  <c r="U35" i="15"/>
  <c r="T35" i="15"/>
  <c r="S35" i="15"/>
  <c r="R35" i="15"/>
  <c r="Q35" i="15"/>
  <c r="O35" i="15"/>
  <c r="P35" i="15" s="1"/>
  <c r="V34" i="15"/>
  <c r="U34" i="15"/>
  <c r="T34" i="15"/>
  <c r="R34" i="15"/>
  <c r="Q34" i="15"/>
  <c r="V33" i="15"/>
  <c r="U33" i="15"/>
  <c r="R33" i="15"/>
  <c r="Q33" i="15"/>
  <c r="V32" i="15"/>
  <c r="U32" i="15"/>
  <c r="T32" i="15"/>
  <c r="R32" i="15"/>
  <c r="Q32" i="15"/>
  <c r="V31" i="15"/>
  <c r="U31" i="15"/>
  <c r="T31" i="15"/>
  <c r="S31" i="15"/>
  <c r="R31" i="15"/>
  <c r="Q31" i="15"/>
  <c r="O31" i="15"/>
  <c r="P31" i="15" s="1"/>
  <c r="V30" i="15"/>
  <c r="U30" i="15"/>
  <c r="T30" i="15"/>
  <c r="R30" i="15"/>
  <c r="Q30" i="15"/>
  <c r="V29" i="15"/>
  <c r="U29" i="15"/>
  <c r="T29" i="15"/>
  <c r="R29" i="15"/>
  <c r="Q29" i="15"/>
  <c r="V28" i="15"/>
  <c r="U28" i="15"/>
  <c r="T28" i="15"/>
  <c r="S28" i="15"/>
  <c r="R28" i="15"/>
  <c r="Q28" i="15"/>
  <c r="O28" i="15"/>
  <c r="P28" i="15" s="1"/>
  <c r="V27" i="15"/>
  <c r="U27" i="15"/>
  <c r="T27" i="15"/>
  <c r="S27" i="15"/>
  <c r="R27" i="15"/>
  <c r="Q27" i="15"/>
  <c r="O27" i="15"/>
  <c r="P27" i="15" s="1"/>
  <c r="V26" i="15"/>
  <c r="U26" i="15"/>
  <c r="T26" i="15"/>
  <c r="R26" i="15"/>
  <c r="Q26" i="15"/>
  <c r="V25" i="15"/>
  <c r="U25" i="15"/>
  <c r="T25" i="15"/>
  <c r="S25" i="15"/>
  <c r="R25" i="15"/>
  <c r="V24" i="15"/>
  <c r="U24" i="15"/>
  <c r="T24" i="15"/>
  <c r="S24" i="15"/>
  <c r="R24" i="15"/>
  <c r="Q24" i="15"/>
  <c r="O24" i="15"/>
  <c r="P24" i="15" s="1"/>
  <c r="V23" i="15"/>
  <c r="U23" i="15"/>
  <c r="S23" i="15"/>
  <c r="R23" i="15"/>
  <c r="Q23" i="15"/>
  <c r="V22" i="15"/>
  <c r="U22" i="15"/>
  <c r="Q22" i="15"/>
  <c r="V21" i="15"/>
  <c r="U21" i="15"/>
  <c r="T21" i="15"/>
  <c r="S21" i="15"/>
  <c r="Q21" i="15"/>
  <c r="V20" i="15"/>
  <c r="U20" i="15"/>
  <c r="T20" i="15"/>
  <c r="S20" i="15"/>
  <c r="R20" i="15"/>
  <c r="V19" i="15"/>
  <c r="U19" i="15"/>
  <c r="T19" i="15"/>
  <c r="S19" i="15"/>
  <c r="R19" i="15"/>
  <c r="Y19" i="15" s="1"/>
  <c r="Q19" i="15"/>
  <c r="O19" i="15"/>
  <c r="P19" i="15" s="1"/>
  <c r="V18" i="15"/>
  <c r="U18" i="15"/>
  <c r="T18" i="15"/>
  <c r="S18" i="15"/>
  <c r="R18" i="15"/>
  <c r="Q18" i="15"/>
  <c r="O18" i="15"/>
  <c r="P18" i="15" s="1"/>
  <c r="V17" i="15"/>
  <c r="U17" i="15"/>
  <c r="T17" i="15"/>
  <c r="R17" i="15"/>
  <c r="Q17" i="15"/>
  <c r="V16" i="15"/>
  <c r="U16" i="15"/>
  <c r="T16" i="15"/>
  <c r="R16" i="15"/>
  <c r="Q16" i="15"/>
  <c r="V15" i="15"/>
  <c r="U15" i="15"/>
  <c r="T15" i="15"/>
  <c r="R15" i="15"/>
  <c r="Q15" i="15"/>
  <c r="V14" i="15"/>
  <c r="U14" i="15"/>
  <c r="T14" i="15"/>
  <c r="S14" i="15"/>
  <c r="Q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V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V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Y18" i="15" l="1"/>
  <c r="Z18" i="15" s="1"/>
  <c r="Y20" i="15"/>
  <c r="Y24" i="15"/>
  <c r="Y28" i="15"/>
  <c r="Y39" i="15"/>
  <c r="Z39" i="15" s="1"/>
  <c r="Y65" i="15"/>
  <c r="Z83" i="15"/>
  <c r="P148" i="15"/>
  <c r="J479" i="18"/>
  <c r="L479" i="18" s="1"/>
  <c r="P153" i="15"/>
  <c r="J494" i="18"/>
  <c r="L494" i="18" s="1"/>
  <c r="Z167" i="15"/>
  <c r="Y194" i="15"/>
  <c r="L410" i="16"/>
  <c r="M62" i="15"/>
  <c r="Y25" i="15"/>
  <c r="Y27" i="15"/>
  <c r="Y31" i="15"/>
  <c r="Y68" i="15"/>
  <c r="Y72" i="15"/>
  <c r="Z72" i="15" s="1"/>
  <c r="Z74" i="15"/>
  <c r="Y74" i="15"/>
  <c r="Y78" i="15"/>
  <c r="Y84" i="15"/>
  <c r="Z84" i="15" s="1"/>
  <c r="Y88" i="15"/>
  <c r="Y90" i="15"/>
  <c r="Y94" i="15"/>
  <c r="Z94" i="15" s="1"/>
  <c r="Y99" i="15"/>
  <c r="Z99" i="15" s="1"/>
  <c r="Y100" i="15"/>
  <c r="Y104" i="15"/>
  <c r="Y111" i="15"/>
  <c r="Y115" i="15"/>
  <c r="Z115" i="15" s="1"/>
  <c r="Z118" i="15"/>
  <c r="Y121" i="15"/>
  <c r="Y122" i="15"/>
  <c r="Y129" i="15"/>
  <c r="Z129" i="15" s="1"/>
  <c r="Y134" i="15"/>
  <c r="P146" i="15"/>
  <c r="J473" i="18"/>
  <c r="L473" i="18" s="1"/>
  <c r="P147" i="15"/>
  <c r="Y149" i="15"/>
  <c r="P152" i="15"/>
  <c r="J491" i="18"/>
  <c r="L491" i="18" s="1"/>
  <c r="P156" i="15"/>
  <c r="J503" i="18"/>
  <c r="L503" i="18" s="1"/>
  <c r="Y158" i="15"/>
  <c r="Y160" i="15"/>
  <c r="Y164" i="15"/>
  <c r="Z164" i="15" s="1"/>
  <c r="Y168" i="15"/>
  <c r="Y193" i="15"/>
  <c r="Y35" i="15"/>
  <c r="Y55" i="15"/>
  <c r="Y61" i="15"/>
  <c r="Y67" i="15"/>
  <c r="Y71" i="15"/>
  <c r="Z71" i="15" s="1"/>
  <c r="Y77" i="15"/>
  <c r="Y87" i="15"/>
  <c r="Y89" i="15"/>
  <c r="Z89" i="15" s="1"/>
  <c r="Y93" i="15"/>
  <c r="Y98" i="15"/>
  <c r="Y103" i="15"/>
  <c r="Y107" i="15"/>
  <c r="Z107" i="15" s="1"/>
  <c r="Y110" i="15"/>
  <c r="Y114" i="15"/>
  <c r="Y120" i="15"/>
  <c r="Y125" i="15"/>
  <c r="Z126" i="15"/>
  <c r="Y126" i="15"/>
  <c r="Y128" i="15"/>
  <c r="Y133" i="15"/>
  <c r="Z133" i="15" s="1"/>
  <c r="P145" i="15"/>
  <c r="J470" i="18"/>
  <c r="L470" i="18" s="1"/>
  <c r="Y148" i="15"/>
  <c r="P150" i="15"/>
  <c r="J485" i="18"/>
  <c r="L485" i="18" s="1"/>
  <c r="P151" i="15"/>
  <c r="Y153" i="15"/>
  <c r="Z163" i="15"/>
  <c r="Y163" i="15"/>
  <c r="Y167" i="15"/>
  <c r="Y171" i="15"/>
  <c r="Z171" i="15" s="1"/>
  <c r="Y172" i="15"/>
  <c r="Z172" i="15" s="1"/>
  <c r="Y66" i="15"/>
  <c r="Z66" i="15" s="1"/>
  <c r="Y70" i="15"/>
  <c r="Y76" i="15"/>
  <c r="Y80" i="15"/>
  <c r="Y86" i="15"/>
  <c r="Z86" i="15" s="1"/>
  <c r="Z91" i="15"/>
  <c r="Y92" i="15"/>
  <c r="Y97" i="15"/>
  <c r="Y102" i="15"/>
  <c r="Y106" i="15"/>
  <c r="Y109" i="15"/>
  <c r="Y113" i="15"/>
  <c r="Z113" i="15" s="1"/>
  <c r="Y117" i="15"/>
  <c r="Z117" i="15" s="1"/>
  <c r="Z122" i="15"/>
  <c r="Y124" i="15"/>
  <c r="Y127" i="15"/>
  <c r="Z127" i="15" s="1"/>
  <c r="Y132" i="15"/>
  <c r="Y136" i="15"/>
  <c r="Y146" i="15"/>
  <c r="Y147" i="15"/>
  <c r="P149" i="15"/>
  <c r="J482" i="18"/>
  <c r="L482" i="18" s="1"/>
  <c r="Y152" i="15"/>
  <c r="Y156" i="15"/>
  <c r="P158" i="15"/>
  <c r="J509" i="18"/>
  <c r="L509" i="18" s="1"/>
  <c r="Y162" i="15"/>
  <c r="Y166" i="15"/>
  <c r="Y170" i="15"/>
  <c r="Z170" i="15" s="1"/>
  <c r="Y173" i="15"/>
  <c r="Y175" i="15"/>
  <c r="Y192" i="15"/>
  <c r="P159" i="15"/>
  <c r="J512" i="18"/>
  <c r="L512" i="18" s="1"/>
  <c r="P157" i="15"/>
  <c r="J506" i="18"/>
  <c r="L506" i="18" s="1"/>
  <c r="P155" i="15"/>
  <c r="J500" i="18"/>
  <c r="L500" i="18" s="1"/>
  <c r="P154" i="15"/>
  <c r="J497" i="18"/>
  <c r="L497" i="18" s="1"/>
  <c r="P144" i="15"/>
  <c r="J467" i="18"/>
  <c r="L467" i="18" s="1"/>
  <c r="N467" i="18" s="1"/>
  <c r="P143" i="15"/>
  <c r="J464" i="18"/>
  <c r="L464" i="18" s="1"/>
  <c r="N464" i="18" s="1"/>
  <c r="P142" i="15"/>
  <c r="J461" i="18"/>
  <c r="L461" i="18" s="1"/>
  <c r="N461" i="18" s="1"/>
  <c r="P141" i="15"/>
  <c r="P140" i="15"/>
  <c r="J455" i="18"/>
  <c r="L455" i="18" s="1"/>
  <c r="N455" i="18" s="1"/>
  <c r="P139" i="15"/>
  <c r="J452" i="18"/>
  <c r="L452" i="18" s="1"/>
  <c r="N452" i="18" s="1"/>
  <c r="P138" i="15"/>
  <c r="J449" i="18"/>
  <c r="L449" i="18" s="1"/>
  <c r="N449" i="18" s="1"/>
  <c r="P119" i="15"/>
  <c r="J432" i="18"/>
  <c r="L432" i="18" s="1"/>
  <c r="N432" i="18" s="1"/>
  <c r="P82" i="15"/>
  <c r="J397" i="18"/>
  <c r="L397" i="18" s="1"/>
  <c r="N397" i="18" s="1"/>
  <c r="P63" i="15"/>
  <c r="J417" i="18"/>
  <c r="L417" i="18" s="1"/>
  <c r="N417" i="18" s="1"/>
  <c r="P42" i="15"/>
  <c r="G408" i="18"/>
  <c r="K407" i="18" s="1"/>
  <c r="K72" i="18"/>
  <c r="L72" i="18" s="1"/>
  <c r="N72" i="18" s="1"/>
  <c r="L184" i="15"/>
  <c r="V184" i="15" s="1"/>
  <c r="L181" i="2"/>
  <c r="V181" i="2" s="1"/>
  <c r="M49" i="15"/>
  <c r="L396" i="16"/>
  <c r="N396" i="16" s="1"/>
  <c r="L413" i="16"/>
  <c r="M108" i="15"/>
  <c r="L398" i="16"/>
  <c r="N398" i="16" s="1"/>
  <c r="M50" i="15"/>
  <c r="Z137" i="15"/>
  <c r="Z148" i="15"/>
  <c r="Z149" i="15"/>
  <c r="L190" i="15"/>
  <c r="Z128" i="15"/>
  <c r="Q196" i="15"/>
  <c r="L47" i="15"/>
  <c r="V47" i="15" s="1"/>
  <c r="Z55" i="15"/>
  <c r="Z112" i="15"/>
  <c r="Z124" i="15"/>
  <c r="Z125" i="15"/>
  <c r="Z160" i="15"/>
  <c r="M53" i="15"/>
  <c r="M190" i="15"/>
  <c r="W190" i="15" s="1"/>
  <c r="Z144" i="15"/>
  <c r="Z145" i="15"/>
  <c r="Z195" i="15"/>
  <c r="M54" i="15"/>
  <c r="Z109" i="15"/>
  <c r="Z101" i="15"/>
  <c r="Z25" i="15"/>
  <c r="L52" i="15"/>
  <c r="V52" i="15" s="1"/>
  <c r="Z97" i="15"/>
  <c r="Z121" i="15"/>
  <c r="Z135" i="15"/>
  <c r="Z138" i="15"/>
  <c r="Z168" i="15"/>
  <c r="Z169" i="15"/>
  <c r="L189" i="15"/>
  <c r="V189" i="15" s="1"/>
  <c r="K705" i="11"/>
  <c r="L45" i="15"/>
  <c r="V45" i="15" s="1"/>
  <c r="L51" i="15"/>
  <c r="V51" i="15" s="1"/>
  <c r="Z73" i="15"/>
  <c r="Z87" i="15"/>
  <c r="Z110" i="15"/>
  <c r="Z159" i="15"/>
  <c r="Z166" i="15"/>
  <c r="L186" i="15"/>
  <c r="V186" i="15" s="1"/>
  <c r="Z194" i="15"/>
  <c r="W48" i="15"/>
  <c r="Y48" i="15" s="1"/>
  <c r="L185" i="15"/>
  <c r="V185" i="15" s="1"/>
  <c r="K397" i="13"/>
  <c r="L46" i="15" s="1"/>
  <c r="V46" i="15" s="1"/>
  <c r="L44" i="15"/>
  <c r="V44" i="15" s="1"/>
  <c r="Z78" i="15"/>
  <c r="Z79" i="15"/>
  <c r="Z95" i="15"/>
  <c r="Z96" i="15"/>
  <c r="Z152" i="15"/>
  <c r="Z153" i="15"/>
  <c r="Z165" i="15"/>
  <c r="Z182" i="15"/>
  <c r="L188" i="15"/>
  <c r="V188" i="15" s="1"/>
  <c r="M45" i="15"/>
  <c r="W43" i="15"/>
  <c r="Z63" i="15"/>
  <c r="Z68" i="15"/>
  <c r="Z100" i="15"/>
  <c r="Z28" i="15"/>
  <c r="Z35" i="15"/>
  <c r="Z20" i="15"/>
  <c r="Z76" i="15"/>
  <c r="Z92" i="15"/>
  <c r="Z142" i="15"/>
  <c r="Z193" i="15"/>
  <c r="Z93" i="15"/>
  <c r="Z67" i="15"/>
  <c r="Z82" i="15"/>
  <c r="Z131" i="15"/>
  <c r="Z116" i="15"/>
  <c r="Z139" i="15"/>
  <c r="Z140" i="15"/>
  <c r="Z141" i="15"/>
  <c r="Z77" i="15"/>
  <c r="Z156" i="15"/>
  <c r="Z157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N41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Z64" i="15"/>
  <c r="Z111" i="15"/>
  <c r="Z175" i="15"/>
  <c r="Z19" i="15"/>
  <c r="Z24" i="15"/>
  <c r="Z42" i="15"/>
  <c r="Z105" i="15"/>
  <c r="Z123" i="15"/>
  <c r="Z136" i="15"/>
  <c r="Z158" i="15"/>
  <c r="Z104" i="15"/>
  <c r="Z120" i="15"/>
  <c r="Z154" i="15"/>
  <c r="Z155" i="15"/>
  <c r="Z173" i="15"/>
  <c r="Z69" i="15"/>
  <c r="Z70" i="15"/>
  <c r="Z75" i="15"/>
  <c r="Z81" i="15"/>
  <c r="Z90" i="15"/>
  <c r="Z103" i="15"/>
  <c r="Z106" i="15"/>
  <c r="Z119" i="15"/>
  <c r="Z132" i="15"/>
  <c r="Z134" i="15"/>
  <c r="Z150" i="15"/>
  <c r="Z151" i="15"/>
  <c r="Z162" i="15"/>
  <c r="Z191" i="15"/>
  <c r="Z192" i="15"/>
  <c r="Z85" i="15"/>
  <c r="Z146" i="15"/>
  <c r="Z147" i="15"/>
  <c r="Z161" i="15"/>
  <c r="Z27" i="15"/>
  <c r="Z31" i="15"/>
  <c r="Z61" i="15"/>
  <c r="Z80" i="15"/>
  <c r="Z88" i="15"/>
  <c r="Z98" i="15"/>
  <c r="Z102" i="15"/>
  <c r="Z114" i="15"/>
  <c r="Z130" i="15"/>
  <c r="Z143" i="15"/>
  <c r="V190" i="15"/>
  <c r="Y190" i="15" s="1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O62" i="15" l="1"/>
  <c r="P62" i="15" s="1"/>
  <c r="W62" i="15"/>
  <c r="Y62" i="15" s="1"/>
  <c r="Z62" i="15" s="1"/>
  <c r="Z48" i="15"/>
  <c r="N52" i="15"/>
  <c r="X52" i="15" s="1"/>
  <c r="L386" i="18"/>
  <c r="N386" i="18" s="1"/>
  <c r="K408" i="18"/>
  <c r="W108" i="15"/>
  <c r="O108" i="15"/>
  <c r="P108" i="15" s="1"/>
  <c r="O190" i="15"/>
  <c r="P190" i="15" s="1"/>
  <c r="W49" i="15"/>
  <c r="O49" i="15"/>
  <c r="L59" i="2"/>
  <c r="V59" i="2" s="1"/>
  <c r="L59" i="15"/>
  <c r="V59" i="15" s="1"/>
  <c r="W53" i="15"/>
  <c r="O53" i="15"/>
  <c r="L56" i="2"/>
  <c r="V56" i="2" s="1"/>
  <c r="L56" i="15"/>
  <c r="V56" i="15" s="1"/>
  <c r="Z190" i="15"/>
  <c r="L57" i="2"/>
  <c r="V57" i="2" s="1"/>
  <c r="L57" i="15"/>
  <c r="V57" i="15" s="1"/>
  <c r="W54" i="15"/>
  <c r="O54" i="15"/>
  <c r="P54" i="15" s="1"/>
  <c r="W50" i="15"/>
  <c r="O50" i="15"/>
  <c r="L43" i="2"/>
  <c r="V43" i="2" s="1"/>
  <c r="L43" i="15"/>
  <c r="V43" i="15" s="1"/>
  <c r="L58" i="2"/>
  <c r="V58" i="2" s="1"/>
  <c r="L58" i="15"/>
  <c r="V58" i="15" s="1"/>
  <c r="K189" i="2"/>
  <c r="U189" i="2" s="1"/>
  <c r="K189" i="15"/>
  <c r="L40" i="2"/>
  <c r="V40" i="2" s="1"/>
  <c r="L40" i="15"/>
  <c r="V40" i="15" s="1"/>
  <c r="W45" i="15"/>
  <c r="O45" i="15"/>
  <c r="P45" i="15" s="1"/>
  <c r="O44" i="15"/>
  <c r="P44" i="15" s="1"/>
  <c r="W44" i="15"/>
  <c r="O41" i="15"/>
  <c r="W41" i="15"/>
  <c r="Y41" i="15" s="1"/>
  <c r="K72" i="16"/>
  <c r="L72" i="16" s="1"/>
  <c r="N72" i="16" s="1"/>
  <c r="K404" i="16"/>
  <c r="K403" i="16"/>
  <c r="M52" i="15" s="1"/>
  <c r="W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Z44" i="15" l="1"/>
  <c r="Y54" i="15"/>
  <c r="Z54" i="15" s="1"/>
  <c r="Y50" i="15"/>
  <c r="Z50" i="15" s="1"/>
  <c r="Y108" i="15"/>
  <c r="Z108" i="15" s="1"/>
  <c r="Y44" i="15"/>
  <c r="Y53" i="15"/>
  <c r="Z53" i="15" s="1"/>
  <c r="Z49" i="15"/>
  <c r="Y49" i="15"/>
  <c r="Y45" i="15"/>
  <c r="Z45" i="15" s="1"/>
  <c r="P53" i="15"/>
  <c r="J409" i="18"/>
  <c r="L409" i="18" s="1"/>
  <c r="N409" i="18" s="1"/>
  <c r="P50" i="15"/>
  <c r="J401" i="18"/>
  <c r="L401" i="18" s="1"/>
  <c r="N401" i="18" s="1"/>
  <c r="P49" i="15"/>
  <c r="J399" i="18"/>
  <c r="L399" i="18" s="1"/>
  <c r="N399" i="18" s="1"/>
  <c r="X196" i="15"/>
  <c r="E8" i="15" s="1"/>
  <c r="P41" i="15"/>
  <c r="J384" i="18"/>
  <c r="L384" i="18" s="1"/>
  <c r="N384" i="18" s="1"/>
  <c r="L183" i="2"/>
  <c r="V183" i="2" s="1"/>
  <c r="V196" i="2" s="1"/>
  <c r="E8" i="2" s="1"/>
  <c r="L183" i="15"/>
  <c r="V183" i="15" s="1"/>
  <c r="V196" i="15" s="1"/>
  <c r="O189" i="15"/>
  <c r="P189" i="15" s="1"/>
  <c r="U189" i="15"/>
  <c r="K177" i="2"/>
  <c r="U177" i="2" s="1"/>
  <c r="K177" i="15"/>
  <c r="K46" i="2"/>
  <c r="U46" i="2" s="1"/>
  <c r="K46" i="15"/>
  <c r="K47" i="2"/>
  <c r="U47" i="2" s="1"/>
  <c r="K47" i="15"/>
  <c r="K184" i="2"/>
  <c r="U184" i="2" s="1"/>
  <c r="K184" i="15"/>
  <c r="U184" i="15" s="1"/>
  <c r="G406" i="11"/>
  <c r="K405" i="11" s="1"/>
  <c r="K51" i="15"/>
  <c r="W196" i="15"/>
  <c r="Z41" i="15"/>
  <c r="K410" i="11"/>
  <c r="K56" i="15" s="1"/>
  <c r="K624" i="11"/>
  <c r="K181" i="15" s="1"/>
  <c r="U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Y189" i="15"/>
  <c r="Z189" i="15" s="1"/>
  <c r="E8" i="18"/>
  <c r="E8" i="19"/>
  <c r="K58" i="2"/>
  <c r="U58" i="2" s="1"/>
  <c r="K58" i="15"/>
  <c r="K52" i="2"/>
  <c r="U52" i="2" s="1"/>
  <c r="K52" i="15"/>
  <c r="U177" i="15"/>
  <c r="K59" i="2"/>
  <c r="U59" i="2" s="1"/>
  <c r="K59" i="15"/>
  <c r="K38" i="2"/>
  <c r="U38" i="2" s="1"/>
  <c r="K38" i="15"/>
  <c r="K40" i="2"/>
  <c r="U40" i="2" s="1"/>
  <c r="K40" i="15"/>
  <c r="U56" i="15"/>
  <c r="O56" i="15"/>
  <c r="P56" i="15" s="1"/>
  <c r="G106" i="9"/>
  <c r="K106" i="9" s="1"/>
  <c r="K43" i="2"/>
  <c r="U43" i="2" s="1"/>
  <c r="K43" i="15"/>
  <c r="O47" i="15"/>
  <c r="P47" i="15" s="1"/>
  <c r="U47" i="15"/>
  <c r="U51" i="15"/>
  <c r="O51" i="15"/>
  <c r="K57" i="2"/>
  <c r="U57" i="2" s="1"/>
  <c r="K57" i="15"/>
  <c r="U46" i="15"/>
  <c r="O46" i="15"/>
  <c r="P46" i="15" s="1"/>
  <c r="E8" i="16"/>
  <c r="E8" i="17"/>
  <c r="K76" i="9"/>
  <c r="K94" i="9"/>
  <c r="K682" i="11"/>
  <c r="K611" i="11"/>
  <c r="K94" i="11"/>
  <c r="K703" i="11"/>
  <c r="K188" i="15" s="1"/>
  <c r="U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Y47" i="15" l="1"/>
  <c r="Z47" i="15" s="1"/>
  <c r="Y51" i="15"/>
  <c r="Z51" i="15" s="1"/>
  <c r="Y46" i="15"/>
  <c r="Z46" i="15" s="1"/>
  <c r="Y56" i="15"/>
  <c r="Z56" i="15" s="1"/>
  <c r="P51" i="15"/>
  <c r="J403" i="18"/>
  <c r="L403" i="18" s="1"/>
  <c r="N403" i="18" s="1"/>
  <c r="U57" i="15"/>
  <c r="O57" i="15"/>
  <c r="P57" i="15" s="1"/>
  <c r="U40" i="15"/>
  <c r="O40" i="15"/>
  <c r="P40" i="15" s="1"/>
  <c r="U52" i="15"/>
  <c r="O52" i="15"/>
  <c r="P52" i="15" s="1"/>
  <c r="K186" i="2"/>
  <c r="U186" i="2" s="1"/>
  <c r="K186" i="15"/>
  <c r="U186" i="15" s="1"/>
  <c r="U59" i="15"/>
  <c r="O59" i="15"/>
  <c r="P59" i="15" s="1"/>
  <c r="K185" i="2"/>
  <c r="U185" i="2" s="1"/>
  <c r="K185" i="15"/>
  <c r="U185" i="15" s="1"/>
  <c r="O38" i="15"/>
  <c r="P38" i="15" s="1"/>
  <c r="U38" i="15"/>
  <c r="Y38" i="15" s="1"/>
  <c r="U58" i="15"/>
  <c r="O58" i="15"/>
  <c r="P58" i="15" s="1"/>
  <c r="U43" i="15"/>
  <c r="O43" i="15"/>
  <c r="P43" i="15" s="1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Y43" i="15" l="1"/>
  <c r="Z43" i="15" s="1"/>
  <c r="Y59" i="15"/>
  <c r="Z59" i="15" s="1"/>
  <c r="Y52" i="15"/>
  <c r="Z52" i="15" s="1"/>
  <c r="Y57" i="15"/>
  <c r="Z57" i="15" s="1"/>
  <c r="Y58" i="15"/>
  <c r="Z58" i="15" s="1"/>
  <c r="Y40" i="15"/>
  <c r="Z40" i="15" s="1"/>
  <c r="K183" i="2"/>
  <c r="U183" i="2" s="1"/>
  <c r="K183" i="15"/>
  <c r="U183" i="15" s="1"/>
  <c r="U196" i="15"/>
  <c r="Z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K581" i="9"/>
  <c r="K530" i="9"/>
  <c r="K567" i="9"/>
  <c r="G261" i="9"/>
  <c r="K260" i="9" s="1"/>
  <c r="T32" i="2" s="1"/>
  <c r="K340" i="9"/>
  <c r="K330" i="9"/>
  <c r="G70" i="9"/>
  <c r="K68" i="9" s="1"/>
  <c r="J23" i="15" s="1"/>
  <c r="K262" i="9"/>
  <c r="T29" i="2"/>
  <c r="J36" i="2" l="1"/>
  <c r="T36" i="2" s="1"/>
  <c r="J36" i="15"/>
  <c r="T36" i="15" s="1"/>
  <c r="J37" i="2"/>
  <c r="T37" i="2" s="1"/>
  <c r="J37" i="15"/>
  <c r="T37" i="15" s="1"/>
  <c r="J186" i="2"/>
  <c r="T186" i="2" s="1"/>
  <c r="J186" i="15"/>
  <c r="T186" i="15" s="1"/>
  <c r="J181" i="2"/>
  <c r="T181" i="2" s="1"/>
  <c r="J181" i="15"/>
  <c r="T181" i="15" s="1"/>
  <c r="J188" i="2"/>
  <c r="T188" i="2" s="1"/>
  <c r="J188" i="15"/>
  <c r="T187" i="15"/>
  <c r="O187" i="15"/>
  <c r="P187" i="15" s="1"/>
  <c r="J33" i="2"/>
  <c r="T33" i="2" s="1"/>
  <c r="J33" i="15"/>
  <c r="T33" i="15" s="1"/>
  <c r="O23" i="15"/>
  <c r="P23" i="15" s="1"/>
  <c r="T23" i="15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Y23" i="15" l="1"/>
  <c r="Z23" i="15" s="1"/>
  <c r="Y187" i="15"/>
  <c r="Z187" i="15" s="1"/>
  <c r="J22" i="2"/>
  <c r="T22" i="2" s="1"/>
  <c r="J22" i="15"/>
  <c r="T22" i="15" s="1"/>
  <c r="J177" i="2"/>
  <c r="T177" i="2" s="1"/>
  <c r="J177" i="15"/>
  <c r="O188" i="15"/>
  <c r="P188" i="15" s="1"/>
  <c r="T188" i="15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Y188" i="15" l="1"/>
  <c r="Z188" i="15" s="1"/>
  <c r="O34" i="15"/>
  <c r="P34" i="15" s="1"/>
  <c r="S34" i="15"/>
  <c r="I178" i="2"/>
  <c r="I178" i="15"/>
  <c r="S178" i="15" s="1"/>
  <c r="J184" i="2"/>
  <c r="T184" i="2" s="1"/>
  <c r="J184" i="15"/>
  <c r="T184" i="15" s="1"/>
  <c r="I179" i="2"/>
  <c r="I179" i="15"/>
  <c r="S179" i="15" s="1"/>
  <c r="T177" i="15"/>
  <c r="O177" i="15"/>
  <c r="P177" i="15" s="1"/>
  <c r="I176" i="2"/>
  <c r="I176" i="15"/>
  <c r="J185" i="2"/>
  <c r="T185" i="2" s="1"/>
  <c r="J185" i="15"/>
  <c r="T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K195" i="5"/>
  <c r="K153" i="5"/>
  <c r="I33" i="15" s="1"/>
  <c r="K54" i="5"/>
  <c r="I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Y34" i="15" l="1"/>
  <c r="Z34" i="15" s="1"/>
  <c r="Y177" i="15"/>
  <c r="Z177" i="15" s="1"/>
  <c r="I16" i="2"/>
  <c r="I16" i="15"/>
  <c r="I17" i="2"/>
  <c r="S17" i="2" s="1"/>
  <c r="I17" i="15"/>
  <c r="S26" i="15"/>
  <c r="O26" i="15"/>
  <c r="P26" i="15" s="1"/>
  <c r="S33" i="15"/>
  <c r="O33" i="15"/>
  <c r="P33" i="15" s="1"/>
  <c r="I184" i="2"/>
  <c r="S184" i="2" s="1"/>
  <c r="I184" i="15"/>
  <c r="S184" i="15" s="1"/>
  <c r="O176" i="15"/>
  <c r="P176" i="15" s="1"/>
  <c r="S176" i="15"/>
  <c r="I180" i="2"/>
  <c r="S180" i="2" s="1"/>
  <c r="I180" i="15"/>
  <c r="S180" i="15" s="1"/>
  <c r="O36" i="15"/>
  <c r="P36" i="15" s="1"/>
  <c r="S36" i="15"/>
  <c r="J183" i="2"/>
  <c r="J183" i="15"/>
  <c r="T183" i="15" s="1"/>
  <c r="T196" i="15" s="1"/>
  <c r="I15" i="2"/>
  <c r="I15" i="15"/>
  <c r="I185" i="2"/>
  <c r="S185" i="2" s="1"/>
  <c r="I185" i="15"/>
  <c r="S185" i="15" s="1"/>
  <c r="I37" i="2"/>
  <c r="I37" i="15"/>
  <c r="S34" i="2"/>
  <c r="S16" i="2"/>
  <c r="S15" i="2"/>
  <c r="T183" i="2"/>
  <c r="T196" i="2" s="1"/>
  <c r="K99" i="5"/>
  <c r="I30" i="15" s="1"/>
  <c r="S31" i="2"/>
  <c r="G152" i="5"/>
  <c r="K152" i="5" s="1"/>
  <c r="I33" i="2"/>
  <c r="J262" i="18" s="1"/>
  <c r="L262" i="18" s="1"/>
  <c r="N262" i="18" s="1"/>
  <c r="I36" i="2"/>
  <c r="J330" i="18" s="1"/>
  <c r="L330" i="18" s="1"/>
  <c r="N330" i="18" s="1"/>
  <c r="K90" i="5"/>
  <c r="K81" i="5"/>
  <c r="K72" i="5"/>
  <c r="I26" i="2"/>
  <c r="K25" i="5"/>
  <c r="K437" i="5"/>
  <c r="K415" i="5"/>
  <c r="K426" i="5"/>
  <c r="I181" i="15" s="1"/>
  <c r="S181" i="15" s="1"/>
  <c r="K205" i="3"/>
  <c r="K204" i="3" s="1"/>
  <c r="K197" i="3"/>
  <c r="K203" i="3"/>
  <c r="K202" i="3" s="1"/>
  <c r="K208" i="3"/>
  <c r="K207" i="3"/>
  <c r="K193" i="3"/>
  <c r="R176" i="2"/>
  <c r="K196" i="3"/>
  <c r="Y19" i="2"/>
  <c r="Y47" i="2"/>
  <c r="R18" i="2"/>
  <c r="Y18" i="2" s="1"/>
  <c r="R19" i="2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Y16" i="2" s="1"/>
  <c r="K15" i="3"/>
  <c r="R15" i="2" s="1"/>
  <c r="K14" i="3"/>
  <c r="Y36" i="15" l="1"/>
  <c r="Z36" i="15" s="1"/>
  <c r="J340" i="11"/>
  <c r="L340" i="11" s="1"/>
  <c r="N340" i="11" s="1"/>
  <c r="J340" i="18"/>
  <c r="L340" i="18" s="1"/>
  <c r="N340" i="18" s="1"/>
  <c r="Y15" i="2"/>
  <c r="Y176" i="15"/>
  <c r="Z176" i="15" s="1"/>
  <c r="Z33" i="15"/>
  <c r="Y33" i="15"/>
  <c r="J340" i="9"/>
  <c r="L340" i="9" s="1"/>
  <c r="N340" i="9" s="1"/>
  <c r="Y26" i="15"/>
  <c r="Z26" i="15" s="1"/>
  <c r="H21" i="2"/>
  <c r="R21" i="2" s="1"/>
  <c r="Y21" i="2" s="1"/>
  <c r="H21" i="15"/>
  <c r="H185" i="2"/>
  <c r="R185" i="2" s="1"/>
  <c r="Y185" i="2" s="1"/>
  <c r="H185" i="15"/>
  <c r="I29" i="2"/>
  <c r="I29" i="15"/>
  <c r="H184" i="2"/>
  <c r="R184" i="2" s="1"/>
  <c r="Y184" i="2" s="1"/>
  <c r="H184" i="15"/>
  <c r="H174" i="2"/>
  <c r="R174" i="2" s="1"/>
  <c r="Y174" i="2" s="1"/>
  <c r="H174" i="15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S15" i="15"/>
  <c r="O15" i="15"/>
  <c r="P15" i="15" s="1"/>
  <c r="O17" i="15"/>
  <c r="P17" i="15" s="1"/>
  <c r="S17" i="15"/>
  <c r="H180" i="2"/>
  <c r="R180" i="2" s="1"/>
  <c r="Y180" i="2" s="1"/>
  <c r="H180" i="15"/>
  <c r="I186" i="2"/>
  <c r="S186" i="2" s="1"/>
  <c r="I186" i="15"/>
  <c r="S186" i="15" s="1"/>
  <c r="J340" i="13"/>
  <c r="L340" i="13" s="1"/>
  <c r="N340" i="13" s="1"/>
  <c r="J340" i="16"/>
  <c r="L340" i="16" s="1"/>
  <c r="N340" i="16" s="1"/>
  <c r="H14" i="2"/>
  <c r="H14" i="15"/>
  <c r="H178" i="2"/>
  <c r="R178" i="2" s="1"/>
  <c r="Y178" i="2" s="1"/>
  <c r="H178" i="15"/>
  <c r="I22" i="2"/>
  <c r="J68" i="18" s="1"/>
  <c r="L68" i="18" s="1"/>
  <c r="N68" i="18" s="1"/>
  <c r="I22" i="15"/>
  <c r="S22" i="15" s="1"/>
  <c r="O16" i="15"/>
  <c r="P16" i="15" s="1"/>
  <c r="S16" i="15"/>
  <c r="Y16" i="15" s="1"/>
  <c r="O37" i="15"/>
  <c r="P37" i="15" s="1"/>
  <c r="S37" i="15"/>
  <c r="S37" i="2"/>
  <c r="Y37" i="2" s="1"/>
  <c r="H179" i="2"/>
  <c r="R179" i="2" s="1"/>
  <c r="Y179" i="2" s="1"/>
  <c r="H179" i="15"/>
  <c r="O30" i="15"/>
  <c r="P30" i="15" s="1"/>
  <c r="S30" i="15"/>
  <c r="K206" i="3"/>
  <c r="S26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Y30" i="15" l="1"/>
  <c r="Z30" i="15" s="1"/>
  <c r="Y15" i="15"/>
  <c r="Z15" i="15" s="1"/>
  <c r="Y37" i="15"/>
  <c r="Z37" i="15" s="1"/>
  <c r="Y17" i="15"/>
  <c r="Z17" i="15" s="1"/>
  <c r="R181" i="15"/>
  <c r="O181" i="15"/>
  <c r="P181" i="15" s="1"/>
  <c r="H186" i="2"/>
  <c r="R186" i="2" s="1"/>
  <c r="Y186" i="2" s="1"/>
  <c r="H186" i="15"/>
  <c r="Z16" i="15"/>
  <c r="R184" i="15"/>
  <c r="O184" i="15"/>
  <c r="P184" i="15" s="1"/>
  <c r="O29" i="15"/>
  <c r="P29" i="15" s="1"/>
  <c r="S29" i="15"/>
  <c r="I32" i="2"/>
  <c r="J260" i="18" s="1"/>
  <c r="L260" i="18" s="1"/>
  <c r="N260" i="18" s="1"/>
  <c r="I32" i="15"/>
  <c r="O179" i="15"/>
  <c r="P179" i="15" s="1"/>
  <c r="R179" i="15"/>
  <c r="J68" i="13"/>
  <c r="L68" i="13" s="1"/>
  <c r="N68" i="13" s="1"/>
  <c r="J68" i="16"/>
  <c r="L68" i="16" s="1"/>
  <c r="N68" i="16" s="1"/>
  <c r="R178" i="15"/>
  <c r="O178" i="15"/>
  <c r="P178" i="15" s="1"/>
  <c r="R180" i="15"/>
  <c r="O180" i="15"/>
  <c r="P180" i="15" s="1"/>
  <c r="R185" i="15"/>
  <c r="O185" i="15"/>
  <c r="P185" i="15" s="1"/>
  <c r="H22" i="2"/>
  <c r="R22" i="2" s="1"/>
  <c r="Y22" i="2" s="1"/>
  <c r="H22" i="15"/>
  <c r="I183" i="2"/>
  <c r="S183" i="2" s="1"/>
  <c r="I183" i="15"/>
  <c r="S183" i="15" s="1"/>
  <c r="J68" i="11"/>
  <c r="L68" i="11" s="1"/>
  <c r="N68" i="11" s="1"/>
  <c r="O14" i="15"/>
  <c r="P14" i="15" s="1"/>
  <c r="R14" i="15"/>
  <c r="Y14" i="15" s="1"/>
  <c r="R174" i="15"/>
  <c r="O174" i="15"/>
  <c r="P174" i="15" s="1"/>
  <c r="R21" i="15"/>
  <c r="O21" i="15"/>
  <c r="P21" i="15" s="1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Y21" i="15" l="1"/>
  <c r="Z21" i="15" s="1"/>
  <c r="Y185" i="15"/>
  <c r="Z185" i="15" s="1"/>
  <c r="Y180" i="15"/>
  <c r="Z180" i="15" s="1"/>
  <c r="Y184" i="15"/>
  <c r="Z184" i="15" s="1"/>
  <c r="Y178" i="15"/>
  <c r="Z178" i="15" s="1"/>
  <c r="Y174" i="15"/>
  <c r="Z174" i="15" s="1"/>
  <c r="Y179" i="15"/>
  <c r="Z179" i="15" s="1"/>
  <c r="Y29" i="15"/>
  <c r="Z29" i="15" s="1"/>
  <c r="Y181" i="15"/>
  <c r="Z181" i="15" s="1"/>
  <c r="R22" i="15"/>
  <c r="O22" i="15"/>
  <c r="P22" i="15" s="1"/>
  <c r="O32" i="15"/>
  <c r="P32" i="15" s="1"/>
  <c r="S32" i="15"/>
  <c r="Y32" i="15" s="1"/>
  <c r="O186" i="15"/>
  <c r="P186" i="15" s="1"/>
  <c r="R186" i="15"/>
  <c r="J260" i="13"/>
  <c r="L260" i="13" s="1"/>
  <c r="N260" i="13" s="1"/>
  <c r="J260" i="16"/>
  <c r="L260" i="16" s="1"/>
  <c r="N260" i="16" s="1"/>
  <c r="H183" i="2"/>
  <c r="R183" i="2" s="1"/>
  <c r="Y183" i="2" s="1"/>
  <c r="H183" i="15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J16" i="18" s="1"/>
  <c r="L16" i="18" s="1"/>
  <c r="N16" i="18" s="1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J391" i="18" s="1"/>
  <c r="L391" i="18" s="1"/>
  <c r="N391" i="18" s="1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403" i="16" l="1"/>
  <c r="L403" i="16" s="1"/>
  <c r="N403" i="16" s="1"/>
  <c r="J407" i="18"/>
  <c r="L407" i="18" s="1"/>
  <c r="N407" i="18" s="1"/>
  <c r="J172" i="16"/>
  <c r="L172" i="16" s="1"/>
  <c r="N172" i="16" s="1"/>
  <c r="J172" i="18"/>
  <c r="L172" i="18" s="1"/>
  <c r="N172" i="18" s="1"/>
  <c r="J21" i="16"/>
  <c r="L21" i="16" s="1"/>
  <c r="N21" i="16" s="1"/>
  <c r="J21" i="18"/>
  <c r="L21" i="18" s="1"/>
  <c r="N21" i="18" s="1"/>
  <c r="J420" i="16"/>
  <c r="L420" i="16" s="1"/>
  <c r="N420" i="16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5" i="18"/>
  <c r="L395" i="18" s="1"/>
  <c r="N395" i="18" s="1"/>
  <c r="J163" i="16"/>
  <c r="L163" i="16" s="1"/>
  <c r="N163" i="16" s="1"/>
  <c r="J163" i="18"/>
  <c r="L163" i="18" s="1"/>
  <c r="N163" i="18" s="1"/>
  <c r="J19" i="16"/>
  <c r="L19" i="16" s="1"/>
  <c r="N19" i="16" s="1"/>
  <c r="J19" i="18"/>
  <c r="L19" i="18" s="1"/>
  <c r="N19" i="18" s="1"/>
  <c r="Y22" i="15"/>
  <c r="Z22" i="15" s="1"/>
  <c r="J417" i="16"/>
  <c r="L417" i="16" s="1"/>
  <c r="N417" i="16" s="1"/>
  <c r="J429" i="18"/>
  <c r="L429" i="18" s="1"/>
  <c r="N429" i="18" s="1"/>
  <c r="J386" i="16"/>
  <c r="L386" i="16" s="1"/>
  <c r="N386" i="16" s="1"/>
  <c r="J389" i="18"/>
  <c r="L389" i="18" s="1"/>
  <c r="N389" i="18" s="1"/>
  <c r="Y186" i="15"/>
  <c r="Z186" i="15" s="1"/>
  <c r="J390" i="16"/>
  <c r="L390" i="16" s="1"/>
  <c r="N390" i="16" s="1"/>
  <c r="J393" i="18"/>
  <c r="L393" i="18" s="1"/>
  <c r="N393" i="18" s="1"/>
  <c r="J257" i="16"/>
  <c r="L257" i="16" s="1"/>
  <c r="N257" i="16" s="1"/>
  <c r="J257" i="18"/>
  <c r="L257" i="18" s="1"/>
  <c r="N257" i="18" s="1"/>
  <c r="J154" i="16"/>
  <c r="L154" i="16" s="1"/>
  <c r="N154" i="16" s="1"/>
  <c r="J154" i="18"/>
  <c r="L154" i="18" s="1"/>
  <c r="N154" i="18" s="1"/>
  <c r="J25" i="16"/>
  <c r="L25" i="16" s="1"/>
  <c r="N25" i="16" s="1"/>
  <c r="J25" i="18"/>
  <c r="L25" i="18" s="1"/>
  <c r="N25" i="18" s="1"/>
  <c r="J17" i="16"/>
  <c r="L17" i="16" s="1"/>
  <c r="N17" i="16" s="1"/>
  <c r="J17" i="18"/>
  <c r="L17" i="18" s="1"/>
  <c r="N17" i="18" s="1"/>
  <c r="J381" i="16"/>
  <c r="L381" i="16" s="1"/>
  <c r="N381" i="16" s="1"/>
  <c r="J381" i="18"/>
  <c r="L381" i="18" s="1"/>
  <c r="N381" i="18" s="1"/>
  <c r="J15" i="16"/>
  <c r="L15" i="16" s="1"/>
  <c r="N15" i="16" s="1"/>
  <c r="J15" i="18"/>
  <c r="L15" i="18" s="1"/>
  <c r="N15" i="18" s="1"/>
  <c r="J14" i="16"/>
  <c r="L14" i="16" s="1"/>
  <c r="N14" i="16" s="1"/>
  <c r="J14" i="18"/>
  <c r="L14" i="18" s="1"/>
  <c r="N14" i="18" s="1"/>
  <c r="J302" i="16"/>
  <c r="L302" i="16" s="1"/>
  <c r="N302" i="16" s="1"/>
  <c r="J302" i="18"/>
  <c r="L302" i="18" s="1"/>
  <c r="N302" i="18" s="1"/>
  <c r="J24" i="16"/>
  <c r="L24" i="16" s="1"/>
  <c r="N24" i="16" s="1"/>
  <c r="J24" i="18"/>
  <c r="L24" i="18" s="1"/>
  <c r="N24" i="18" s="1"/>
  <c r="Z183" i="2"/>
  <c r="J393" i="13"/>
  <c r="L393" i="13" s="1"/>
  <c r="N393" i="13" s="1"/>
  <c r="J388" i="16"/>
  <c r="L388" i="16" s="1"/>
  <c r="N388" i="16" s="1"/>
  <c r="Z32" i="15"/>
  <c r="S196" i="15"/>
  <c r="R183" i="15"/>
  <c r="O183" i="15"/>
  <c r="P183" i="15" s="1"/>
  <c r="Z14" i="15"/>
  <c r="R196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Y183" i="15" l="1"/>
  <c r="Z183" i="15" s="1"/>
  <c r="Y196" i="15"/>
  <c r="AA196" i="15" s="1"/>
  <c r="L413" i="13"/>
  <c r="N413" i="13" s="1"/>
  <c r="G501" i="13"/>
  <c r="K502" i="13" s="1"/>
  <c r="N25" i="5"/>
  <c r="G50" i="5"/>
  <c r="N25" i="9"/>
  <c r="Z14" i="2"/>
  <c r="Y196" i="2"/>
  <c r="J8" i="2" s="1"/>
  <c r="Z196" i="15" l="1"/>
  <c r="J8" i="15"/>
  <c r="H8" i="15"/>
  <c r="H8" i="2"/>
  <c r="Z196" i="2"/>
  <c r="H8" i="18" l="1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<sst xmlns="http://schemas.openxmlformats.org/spreadsheetml/2006/main" count="8527" uniqueCount="999">
  <si>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</si>
  <si>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</si>
  <si>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</si>
  <si>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</si>
  <si>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</si>
  <si>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</si>
  <si>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</si>
  <si>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</si>
  <si>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</si>
  <si>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</si>
  <si>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</si>
  <si>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</si>
  <si>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</si>
  <si>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</si>
  <si>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</si>
  <si>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</si>
  <si>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</si>
  <si>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</si>
  <si>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</si>
  <si>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</si>
  <si>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</si>
  <si>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</si>
  <si>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</si>
  <si>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</si>
  <si>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</si>
  <si>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</si>
  <si>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</si>
  <si>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</si>
  <si>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</si>
  <si>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</si>
  <si>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</si>
  <si>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</si>
  <si>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</si>
  <si>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</si>
  <si>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</si>
  <si>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</si>
  <si>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</si>
  <si>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</si>
  <si>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</si>
  <si>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</si>
  <si>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</si>
  <si>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</si>
  <si>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</si>
  <si>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</si>
  <si>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</si>
  <si>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</si>
  <si>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</si>
  <si>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</si>
  <si>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</si>
  <si>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</si>
  <si>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</si>
  <si>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</si>
  <si>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</si>
  <si>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</si>
  <si>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</si>
  <si>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</si>
  <si>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</si>
  <si>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</si>
  <si>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</si>
  <si>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</si>
  <si>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</si>
  <si>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</si>
  <si>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</si>
  <si>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</si>
  <si>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</si>
  <si>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</si>
  <si>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</si>
  <si>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</si>
  <si>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</si>
  <si>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</si>
  <si>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</si>
  <si>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</si>
  <si>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</si>
  <si>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</si>
  <si>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</si>
  <si>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</si>
  <si>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</si>
  <si>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</si>
  <si>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</si>
  <si>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</si>
  <si>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</si>
  <si>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</si>
  <si>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</si>
  <si>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</si>
  <si>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</si>
  <si>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</si>
  <si>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</si>
  <si>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</si>
  <si>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</si>
  <si>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</si>
  <si>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</si>
  <si>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</si>
  <si>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</si>
  <si>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</si>
  <si>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</si>
  <si>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</si>
  <si>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</si>
  <si>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</si>
  <si>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</si>
  <si>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</si>
  <si>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</si>
  <si>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</si>
  <si>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</si>
  <si>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</si>
  <si>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</si>
  <si>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</si>
  <si>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</si>
  <si>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</si>
  <si>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</si>
  <si>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</si>
  <si>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</si>
  <si>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</si>
  <si>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</si>
  <si>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</si>
  <si>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</si>
  <si>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</si>
  <si>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</si>
  <si>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</si>
  <si>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</si>
  <si>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</si>
  <si>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</si>
  <si>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</si>
  <si>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</si>
  <si>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</si>
  <si>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</si>
  <si>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</si>
  <si>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</si>
  <si>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</si>
  <si>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</si>
  <si>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</si>
  <si>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</si>
  <si>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</si>
  <si>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</si>
  <si>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</si>
  <si>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</si>
  <si>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</si>
  <si>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</si>
  <si>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</si>
  <si>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</si>
  <si>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</si>
  <si>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</si>
  <si>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</si>
  <si>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</si>
  <si>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</si>
  <si>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</si>
  <si>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</si>
  <si>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</si>
  <si>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</si>
  <si>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</si>
  <si>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</si>
  <si>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</si>
  <si>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</si>
  <si>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</si>
  <si>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</si>
  <si>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</si>
  <si>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</si>
  <si>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</si>
  <si>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</si>
  <si>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</si>
  <si>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</si>
  <si>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</si>
  <si>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</si>
  <si>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</si>
  <si>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</si>
  <si>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</si>
  <si>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</si>
  <si>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</si>
  <si>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</si>
  <si>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</si>
  <si>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</si>
  <si>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</si>
  <si>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</si>
  <si>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</si>
  <si>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</si>
  <si>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</si>
  <si>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</si>
  <si>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</si>
  <si>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</si>
  <si>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</si>
  <si>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</si>
  <si>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</si>
  <si>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</si>
  <si>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</si>
  <si>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</si>
  <si>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</si>
  <si>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</si>
  <si>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</si>
  <si>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</si>
  <si>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</si>
  <si>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</si>
  <si>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</si>
  <si>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</si>
  <si>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</si>
  <si>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</si>
  <si>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</si>
  <si>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</si>
  <si>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</si>
  <si>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</si>
  <si>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</si>
  <si>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</si>
  <si>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</si>
  <si>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</si>
  <si>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</si>
  <si>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</si>
  <si>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</si>
  <si>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</si>
  <si>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</si>
  <si>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</si>
  <si>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</si>
  <si>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</si>
  <si>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</si>
  <si>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</si>
  <si>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</si>
  <si>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</si>
  <si>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</si>
  <si>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</si>
  <si>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</si>
  <si>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</si>
  <si>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</si>
  <si>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</si>
  <si>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</si>
  <si>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</si>
  <si>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</si>
  <si>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</si>
  <si>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</si>
  <si>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</si>
  <si>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</si>
  <si>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</si>
  <si>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</si>
  <si>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</si>
  <si>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</si>
  <si>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</si>
  <si>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</si>
  <si>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</si>
  <si>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</si>
  <si>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</si>
  <si>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</si>
  <si>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</si>
  <si>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</si>
  <si>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</si>
  <si>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</si>
  <si>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</si>
  <si>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</si>
  <si>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</si>
  <si>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</si>
  <si>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</si>
  <si>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</si>
  <si>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</si>
  <si>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</si>
  <si>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</si>
  <si>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</si>
  <si>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</si>
  <si>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</si>
  <si>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</si>
  <si>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</si>
  <si>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</si>
  <si>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</si>
  <si>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</si>
  <si>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</si>
  <si>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</si>
  <si>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</si>
  <si>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</si>
  <si>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</si>
  <si>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</si>
  <si>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</si>
  <si>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</si>
  <si>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</si>
  <si>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</si>
  <si>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</si>
  <si>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</si>
  <si>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</si>
  <si>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</si>
  <si>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</si>
  <si>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</si>
  <si>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</si>
  <si>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</si>
  <si>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</si>
  <si>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</si>
  <si>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</si>
  <si>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</si>
  <si>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</si>
  <si>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</si>
  <si>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</si>
  <si>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</si>
  <si>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</si>
  <si>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</si>
  <si>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</si>
  <si>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</si>
  <si>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</si>
  <si>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</si>
  <si>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</si>
  <si>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</si>
  <si>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</si>
  <si>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</si>
  <si>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</si>
  <si>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</si>
  <si>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</si>
  <si>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</si>
  <si>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</si>
  <si>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</si>
  <si>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</si>
  <si>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</si>
  <si>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</si>
  <si>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</si>
  <si>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</si>
  <si>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</si>
  <si>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</si>
  <si>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</si>
  <si>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</si>
  <si>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</si>
  <si>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</si>
  <si>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</si>
  <si>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</si>
  <si>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</si>
  <si>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</si>
  <si>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</si>
  <si>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</si>
  <si>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</si>
  <si>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</si>
  <si>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</si>
  <si>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</si>
  <si>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</si>
  <si>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</si>
  <si>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</si>
  <si>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</si>
  <si>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</si>
  <si>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</si>
  <si>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</si>
  <si>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</si>
  <si>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</si>
  <si>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</si>
  <si>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</si>
  <si>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</si>
  <si>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</si>
  <si>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</si>
  <si>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</si>
  <si>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</si>
  <si>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</si>
  <si>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</si>
  <si>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</si>
  <si>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</si>
  <si>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</si>
  <si>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</si>
  <si>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</si>
  <si>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</si>
  <si>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</si>
  <si>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</si>
  <si>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</si>
  <si>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</si>
  <si>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</si>
  <si>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</si>
  <si>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</si>
  <si>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</si>
  <si>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</si>
  <si>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</si>
  <si>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</si>
  <si>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</si>
  <si>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</si>
  <si>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</si>
  <si>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</si>
  <si>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</si>
  <si>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</si>
  <si>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</si>
  <si>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</si>
  <si>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</si>
  <si>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</si>
  <si>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</si>
  <si>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</si>
  <si>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</si>
  <si>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</si>
  <si>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</si>
  <si>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</si>
  <si>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</si>
  <si>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</si>
  <si>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</si>
  <si>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</si>
  <si>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</si>
  <si>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</si>
  <si>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</si>
  <si>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</si>
  <si>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</si>
  <si>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</si>
  <si>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</si>
  <si>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</si>
  <si>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</si>
  <si>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</si>
  <si>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</si>
  <si>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</si>
  <si>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</si>
  <si>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</si>
  <si>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</si>
  <si>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</si>
  <si>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</si>
  <si>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</si>
  <si>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</si>
  <si>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</si>
  <si>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</si>
  <si>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</si>
  <si>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</si>
  <si>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</si>
  <si>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</si>
  <si>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</si>
  <si>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</si>
  <si>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</si>
  <si>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</si>
  <si>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</si>
  <si>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</si>
  <si>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</si>
  <si>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</si>
  <si>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</si>
  <si>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</si>
  <si>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</si>
  <si>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</si>
  <si>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</si>
  <si>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</si>
  <si>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</si>
  <si>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</si>
  <si>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</si>
  <si>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</si>
  <si>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</si>
  <si>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</si>
  <si>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</si>
  <si>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</si>
  <si>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</si>
  <si>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</si>
  <si>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</si>
  <si>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</si>
  <si>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</si>
  <si>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</si>
  <si>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</si>
  <si>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</si>
  <si>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</si>
  <si>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</si>
  <si>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</si>
  <si>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</si>
  <si>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</si>
  <si>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</si>
  <si>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</si>
  <si>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</si>
  <si>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</si>
  <si>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</si>
  <si>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</si>
  <si>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</si>
  <si>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</si>
  <si>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</si>
  <si>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</si>
  <si>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</si>
  <si>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</si>
  <si>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</si>
  <si>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</si>
  <si>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</si>
  <si>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</si>
  <si>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</si>
  <si>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</si>
  <si>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</si>
  <si>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</si>
  <si>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</si>
  <si>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</si>
  <si>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</si>
  <si>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</si>
  <si>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</si>
  <si>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</si>
  <si>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</si>
  <si>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</si>
  <si>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</si>
  <si>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</si>
  <si>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</si>
  <si>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</si>
  <si>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</si>
  <si>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</si>
  <si>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</si>
  <si>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</si>
  <si>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</si>
  <si>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</si>
  <si>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</si>
  <si>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</si>
  <si>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</si>
  <si>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</si>
  <si>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</si>
  <si>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</si>
  <si>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</si>
  <si>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</si>
  <si>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</si>
  <si>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</si>
  <si>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</si>
  <si>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</si>
  <si>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</si>
  <si>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</si>
  <si>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</si>
  <si>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</si>
  <si>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</si>
  <si>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</si>
  <si>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</si>
  <si>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</si>
  <si>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</si>
  <si>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</si>
  <si>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</si>
  <si>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</si>
  <si>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</si>
  <si>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</si>
  <si>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</si>
  <si>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</si>
  <si>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</si>
  <si>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</si>
  <si>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</si>
  <si>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</si>
  <si>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</si>
  <si>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</si>
  <si>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</si>
  <si>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</si>
  <si>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</si>
  <si>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</si>
  <si>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</si>
  <si>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</si>
  <si>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</si>
  <si>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</si>
  <si>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</si>
  <si>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</si>
  <si>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</si>
  <si>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</si>
  <si>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</si>
  <si>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</si>
  <si>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</si>
  <si>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</si>
  <si>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</si>
  <si>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</si>
  <si>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</si>
  <si>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</si>
  <si>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</si>
  <si>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</si>
  <si>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</si>
  <si>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</si>
  <si>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</si>
  <si>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</si>
  <si>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</si>
  <si>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</si>
  <si>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</si>
  <si>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</si>
  <si>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</si>
  <si>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</si>
  <si>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</si>
  <si>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</si>
  <si>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</si>
  <si>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</si>
  <si>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</si>
  <si>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</si>
  <si>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</si>
  <si>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</si>
  <si>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</si>
  <si>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</si>
  <si>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</si>
  <si>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</si>
  <si>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</si>
  <si>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</si>
  <si>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</si>
  <si>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</si>
  <si>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</si>
  <si>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</si>
  <si>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</si>
  <si>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</si>
  <si>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</si>
  <si>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</si>
  <si>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</si>
  <si>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</si>
  <si>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</si>
  <si>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</si>
  <si>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</si>
  <si>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</si>
  <si>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</si>
  <si>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</si>
  <si>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</si>
  <si>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</si>
  <si>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</si>
  <si>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</si>
  <si>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</si>
  <si>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</si>
  <si>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</si>
  <si>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</si>
  <si>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</si>
  <si>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</si>
  <si>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</si>
  <si>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</si>
  <si>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</si>
  <si>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</si>
  <si>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</si>
  <si>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</si>
  <si>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</si>
  <si>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</si>
  <si>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</si>
  <si>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</si>
  <si>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</si>
  <si>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</si>
  <si>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</si>
  <si>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</si>
  <si>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</si>
  <si>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</si>
  <si>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</si>
  <si>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</si>
  <si>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</si>
  <si>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</si>
  <si>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</si>
  <si>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</si>
  <si>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</si>
  <si>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</si>
  <si>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</si>
  <si>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</si>
  <si>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</si>
  <si>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</si>
  <si>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</si>
  <si>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</si>
  <si>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</si>
  <si>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</si>
  <si>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</si>
  <si>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</si>
  <si>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</si>
  <si>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</si>
  <si>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</si>
  <si>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</si>
  <si>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</si>
  <si>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</si>
  <si>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</si>
  <si>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</si>
  <si>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</si>
  <si>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</si>
  <si>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</si>
  <si>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</si>
  <si>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</si>
  <si>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</si>
  <si>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</si>
  <si>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</si>
  <si>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</si>
  <si>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</si>
  <si>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</si>
  <si>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</si>
  <si>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</si>
  <si>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</si>
  <si>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</si>
  <si>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</si>
  <si>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</si>
  <si>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</si>
  <si>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</si>
  <si>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</si>
  <si>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</si>
  <si>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</si>
  <si>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</si>
  <si>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</si>
  <si>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</si>
  <si>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</si>
  <si>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</si>
  <si>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</si>
  <si>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</si>
  <si>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</si>
  <si>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</si>
  <si>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</si>
  <si>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</si>
  <si>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</si>
  <si>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</si>
  <si>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</si>
  <si>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</si>
  <si>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</si>
  <si>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</si>
  <si>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</si>
  <si>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</si>
  <si>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</si>
  <si>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</si>
  <si>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</si>
  <si>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</si>
  <si>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</si>
  <si>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</si>
  <si>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</si>
  <si>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</si>
  <si>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</si>
  <si>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</si>
  <si>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</si>
  <si>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</si>
  <si>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</si>
  <si>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</si>
  <si>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</si>
  <si>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</si>
  <si>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</si>
  <si>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</si>
  <si>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</si>
  <si>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</si>
  <si>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</si>
  <si>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</si>
  <si>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</si>
  <si>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</si>
  <si>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</si>
  <si>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</si>
  <si>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</si>
  <si>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</si>
  <si>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</si>
  <si>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</si>
  <si>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</si>
  <si>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</si>
  <si>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</si>
  <si>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</si>
  <si>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</si>
  <si>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</si>
  <si>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</si>
  <si>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</si>
  <si>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</si>
  <si>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</si>
  <si>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</si>
  <si>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</si>
  <si>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</si>
  <si>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</si>
  <si>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</si>
  <si>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</si>
  <si>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</si>
  <si>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</si>
  <si>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</si>
  <si>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</si>
  <si>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</si>
  <si>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</si>
  <si>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</si>
  <si>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</si>
  <si>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</si>
  <si>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</si>
  <si>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</si>
  <si>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</si>
  <si>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</si>
  <si>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</si>
  <si>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</si>
  <si>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</si>
  <si>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</si>
  <si>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</si>
  <si>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</si>
  <si>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</si>
  <si>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</si>
  <si>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</si>
  <si>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</si>
  <si>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</si>
  <si>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</si>
  <si>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</si>
  <si>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</si>
  <si>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</si>
  <si>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</si>
  <si>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</si>
  <si>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</si>
  <si>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</si>
  <si>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</si>
  <si>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</si>
  <si>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</si>
  <si>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</si>
  <si>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</si>
  <si>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</si>
  <si>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</si>
  <si>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</si>
  <si>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</si>
  <si>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</si>
  <si>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</si>
  <si>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</si>
  <si>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</si>
  <si>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</si>
  <si>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</si>
  <si>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</si>
  <si>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</si>
  <si>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</si>
  <si>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</si>
  <si>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</si>
  <si>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</si>
  <si>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</si>
  <si>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</si>
  <si>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</si>
  <si>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</si>
  <si>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</si>
  <si>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</si>
  <si>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</si>
  <si>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</si>
  <si>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</si>
  <si>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</si>
  <si>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</si>
  <si>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</si>
  <si>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</si>
  <si>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</si>
  <si>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</si>
  <si>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</si>
  <si>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</si>
  <si>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</si>
  <si>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</si>
  <si>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</si>
  <si>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</si>
  <si>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</si>
  <si>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</si>
  <si>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</si>
  <si>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</si>
  <si>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</si>
  <si>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</si>
  <si>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</si>
  <si>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</si>
  <si>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</si>
  <si>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</si>
  <si>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</si>
  <si>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</si>
  <si>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</si>
  <si>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</si>
  <si>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</si>
  <si>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</si>
  <si>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</si>
  <si>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</si>
  <si>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</si>
  <si>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</si>
  <si>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</si>
  <si>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</si>
  <si>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</si>
  <si>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</si>
  <si>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</si>
  <si>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</si>
  <si>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</si>
  <si>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</si>
  <si>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</si>
  <si>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</si>
  <si>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</si>
  <si>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</si>
  <si>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</si>
  <si>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</si>
  <si>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</si>
  <si>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</si>
  <si>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</si>
  <si>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</si>
  <si>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</si>
  <si>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</si>
  <si>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</si>
  <si>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</si>
  <si>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</si>
  <si>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</si>
  <si>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</si>
  <si>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</si>
  <si>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</si>
  <si>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</si>
  <si>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</si>
  <si>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</si>
  <si>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</si>
  <si>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</si>
  <si>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</si>
  <si>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</si>
  <si>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</si>
  <si>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</si>
  <si>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</si>
  <si>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</si>
  <si>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</si>
  <si>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</si>
  <si>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</si>
  <si>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</si>
  <si>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</si>
  <si>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</si>
  <si>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</si>
  <si>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</si>
  <si>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</si>
  <si>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</si>
  <si>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</si>
  <si>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</si>
  <si>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</si>
  <si>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</si>
  <si>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</si>
  <si>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</si>
  <si>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</si>
  <si>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</si>
  <si>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</si>
  <si>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</si>
  <si>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</si>
  <si>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</si>
  <si>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</si>
  <si>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</si>
  <si>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</si>
  <si>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</si>
  <si>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</si>
  <si>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</si>
  <si>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</si>
  <si>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</si>
  <si>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</si>
  <si>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</si>
  <si>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</si>
  <si>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</si>
  <si>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</si>
  <si>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</si>
  <si>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</si>
  <si>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</si>
  <si>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</si>
  <si>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</si>
  <si>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</si>
  <si>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</si>
  <si>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</si>
  <si>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</si>
  <si>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</si>
  <si>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</si>
  <si>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</si>
  <si>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</si>
  <si>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</si>
  <si>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</si>
  <si>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</si>
  <si>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</si>
  <si>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</si>
  <si>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</si>
  <si>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</si>
  <si>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</si>
  <si>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</si>
  <si>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</si>
  <si>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</si>
  <si>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</si>
  <si>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</si>
  <si>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</si>
  <si>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</si>
  <si>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</si>
  <si>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</si>
  <si>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</si>
  <si>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</si>
  <si>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</si>
  <si>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</si>
  <si>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</si>
  <si>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</si>
  <si>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</si>
  <si>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</si>
  <si>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</si>
  <si>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</si>
  <si>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</si>
  <si>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</si>
  <si>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</si>
  <si>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</si>
  <si>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</si>
  <si>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</si>
  <si>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</si>
  <si>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</si>
  <si>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</si>
  <si>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</si>
  <si>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</si>
  <si>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</si>
  <si>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</si>
  <si>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</si>
  <si>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</si>
  <si>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</si>
  <si>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</si>
  <si>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</si>
  <si>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</si>
  <si>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</si>
  <si>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</si>
  <si>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</si>
  <si>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</si>
  <si>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</si>
  <si>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</si>
  <si>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</si>
  <si>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</si>
  <si>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</si>
  <si>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</si>
  <si>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</si>
  <si>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</si>
  <si>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</si>
  <si>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</si>
  <si>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</si>
  <si>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</si>
  <si>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</si>
  <si>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</si>
  <si>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</si>
  <si>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</si>
  <si>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</si>
  <si>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</si>
  <si>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</si>
  <si>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</si>
  <si>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</si>
  <si>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</si>
  <si>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</si>
  <si>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</si>
  <si>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</si>
  <si>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</si>
  <si>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BOLETIM DE MEDIÇÃO 07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</si>
  <si>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</si>
  <si>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</si>
  <si>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</si>
  <si>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</si>
  <si>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</si>
  <si>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</si>
  <si>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</si>
  <si>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</si>
  <si>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</si>
  <si>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</si>
  <si>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</si>
  <si>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</si>
  <si>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</si>
  <si>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</si>
  <si>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</si>
  <si>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</si>
  <si>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</si>
  <si>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</si>
  <si>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10/05/2024 a 16/08/2024</t>
  </si>
  <si>
    <t>BOLETIM 07 - MEMORIAL FOTOGRÁFICO</t>
  </si>
  <si>
    <t>BOLETIM DE MEDIÇÃO 07 - MEMORIAL DE CÁLCULO</t>
  </si>
  <si>
    <t>%</t>
  </si>
  <si>
    <t>SERVIÇO NÃO IDENTIFICADO _03.09.24</t>
  </si>
  <si>
    <t>EXECUTADO 6M</t>
  </si>
  <si>
    <t>OBSERVAÇÕES:</t>
  </si>
  <si>
    <t>Inicio da obra: 21/11/2023</t>
  </si>
  <si>
    <t xml:space="preserve">Cronogrma: 9 meses </t>
  </si>
  <si>
    <t>2- Verificar as Cláusula de Contrato, quanto ao cumprimento de prazos;</t>
  </si>
  <si>
    <t>3- Solicita-se ao setor de convênios/contrato para análise e tomada das medidas administrativas cabíveis;</t>
  </si>
  <si>
    <t>Ricardo Lima Rodrigues</t>
  </si>
  <si>
    <t>Eng. Fiscal</t>
  </si>
  <si>
    <t xml:space="preserve">1- Obra com atraso na execução cima do aceitável, evolução de apenas 39,00% </t>
  </si>
  <si>
    <t>Sousa,  03 de setembro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</si>
</sst>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41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18" fillId="0" borderId="31" xfId="2" applyFont="1" applyFill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0" fontId="23" fillId="0" borderId="32" xfId="0" applyFont="1" applyBorder="1" applyAlignment="1">
      <alignment vertical="center" wrapText="1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40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2" fontId="23" fillId="0" borderId="41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justify" vertical="center"/>
    </xf>
    <xf numFmtId="0" fontId="23" fillId="0" borderId="28" xfId="0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33" xfId="0" applyNumberFormat="1" applyFont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9" fontId="18" fillId="0" borderId="42" xfId="2" applyNumberFormat="1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2" fontId="23" fillId="20" borderId="31" xfId="0" applyNumberFormat="1" applyFont="1" applyFill="1" applyBorder="1" applyAlignment="1">
      <alignment horizontal="center" vertical="center"/>
    </xf>
    <xf numFmtId="164" fontId="35" fillId="16" borderId="0" xfId="0" applyNumberFormat="1" applyFont="1" applyFill="1"/>
    <xf numFmtId="4" fontId="17" fillId="16" borderId="32" xfId="0" applyNumberFormat="1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164" fontId="15" fillId="15" borderId="62" xfId="2" applyFont="1" applyFill="1" applyBorder="1" applyAlignment="1">
      <alignment horizontal="center" vertical="center" wrapText="1"/>
    </xf>
    <xf numFmtId="9" fontId="0" fillId="0" borderId="0" xfId="3" applyFont="1" applyAlignment="1">
      <alignment horizontal="center"/>
    </xf>
    <xf numFmtId="9" fontId="6" fillId="0" borderId="42" xfId="3" applyFont="1" applyBorder="1" applyAlignment="1">
      <alignment horizontal="center"/>
    </xf>
    <xf numFmtId="164" fontId="8" fillId="0" borderId="7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1" fillId="14" borderId="1" xfId="2" applyFont="1" applyFill="1" applyBorder="1" applyAlignment="1" applyProtection="1">
      <alignment horizontal="center" vertical="center" wrapText="1"/>
      <protection locked="0"/>
    </xf>
    <xf numFmtId="164" fontId="6" fillId="16" borderId="31" xfId="2" applyFont="1" applyFill="1" applyBorder="1" applyAlignment="1">
      <alignment horizontal="center" vertical="center"/>
    </xf>
    <xf numFmtId="0" fontId="36" fillId="16" borderId="32" xfId="0" applyFont="1" applyFill="1" applyBorder="1" applyAlignment="1">
      <alignment horizontal="right" vertical="center"/>
    </xf>
    <xf numFmtId="0" fontId="34" fillId="16" borderId="32" xfId="0" applyFont="1" applyFill="1" applyBorder="1" applyAlignment="1">
      <alignment horizontal="right" vertical="center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horizontal="left"/>
    </xf>
    <xf numFmtId="0" fontId="40" fillId="0" borderId="0" xfId="0" applyFont="1" applyAlignment="1">
      <alignment horizontal="left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3" Type="http://schemas.openxmlformats.org/officeDocument/2006/relationships/image" Target="../media/image95.jpeg"/><Relationship Id="rId7" Type="http://schemas.openxmlformats.org/officeDocument/2006/relationships/image" Target="../media/image99.jpeg"/><Relationship Id="rId2" Type="http://schemas.openxmlformats.org/officeDocument/2006/relationships/image" Target="../media/image94.jpeg"/><Relationship Id="rId1" Type="http://schemas.openxmlformats.org/officeDocument/2006/relationships/image" Target="../media/image3.jpeg"/><Relationship Id="rId6" Type="http://schemas.openxmlformats.org/officeDocument/2006/relationships/image" Target="../media/image98.jpeg"/><Relationship Id="rId5" Type="http://schemas.openxmlformats.org/officeDocument/2006/relationships/image" Target="../media/image97.jpeg"/><Relationship Id="rId4" Type="http://schemas.openxmlformats.org/officeDocument/2006/relationships/image" Target="../media/image96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8.jpeg"/><Relationship Id="rId13" Type="http://schemas.openxmlformats.org/officeDocument/2006/relationships/image" Target="../media/image112.jpeg"/><Relationship Id="rId18" Type="http://schemas.openxmlformats.org/officeDocument/2006/relationships/image" Target="../media/image117.jpeg"/><Relationship Id="rId3" Type="http://schemas.openxmlformats.org/officeDocument/2006/relationships/image" Target="../media/image103.jpeg"/><Relationship Id="rId21" Type="http://schemas.openxmlformats.org/officeDocument/2006/relationships/image" Target="../media/image120.jpeg"/><Relationship Id="rId7" Type="http://schemas.openxmlformats.org/officeDocument/2006/relationships/image" Target="../media/image107.jpeg"/><Relationship Id="rId12" Type="http://schemas.openxmlformats.org/officeDocument/2006/relationships/image" Target="../media/image92.png"/><Relationship Id="rId17" Type="http://schemas.openxmlformats.org/officeDocument/2006/relationships/image" Target="../media/image116.jpeg"/><Relationship Id="rId2" Type="http://schemas.openxmlformats.org/officeDocument/2006/relationships/image" Target="../media/image102.jpeg"/><Relationship Id="rId16" Type="http://schemas.openxmlformats.org/officeDocument/2006/relationships/image" Target="../media/image115.jpeg"/><Relationship Id="rId20" Type="http://schemas.openxmlformats.org/officeDocument/2006/relationships/image" Target="../media/image119.jpeg"/><Relationship Id="rId1" Type="http://schemas.openxmlformats.org/officeDocument/2006/relationships/image" Target="../media/image101.jpeg"/><Relationship Id="rId6" Type="http://schemas.openxmlformats.org/officeDocument/2006/relationships/image" Target="../media/image106.jpeg"/><Relationship Id="rId11" Type="http://schemas.openxmlformats.org/officeDocument/2006/relationships/image" Target="../media/image111.jpeg"/><Relationship Id="rId5" Type="http://schemas.openxmlformats.org/officeDocument/2006/relationships/image" Target="../media/image105.jpeg"/><Relationship Id="rId15" Type="http://schemas.openxmlformats.org/officeDocument/2006/relationships/image" Target="../media/image114.jpeg"/><Relationship Id="rId10" Type="http://schemas.openxmlformats.org/officeDocument/2006/relationships/image" Target="../media/image110.jpeg"/><Relationship Id="rId19" Type="http://schemas.openxmlformats.org/officeDocument/2006/relationships/image" Target="../media/image118.jpeg"/><Relationship Id="rId4" Type="http://schemas.openxmlformats.org/officeDocument/2006/relationships/image" Target="../media/image104.jpeg"/><Relationship Id="rId9" Type="http://schemas.openxmlformats.org/officeDocument/2006/relationships/image" Target="../media/image109.jpeg"/><Relationship Id="rId14" Type="http://schemas.openxmlformats.org/officeDocument/2006/relationships/image" Target="../media/image113.jpeg"/><Relationship Id="rId22" Type="http://schemas.openxmlformats.org/officeDocument/2006/relationships/image" Target="../media/image12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392206</xdr:colOff>
      <xdr:row>2</xdr:row>
      <xdr:rowOff>182095</xdr:rowOff>
    </xdr:from>
    <xdr:to>
      <xdr:col>25</xdr:col>
      <xdr:colOff>759759</xdr:colOff>
      <xdr:row>7</xdr:row>
      <xdr:rowOff>164166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52EFA803-7892-443C-B057-8730DB39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272" y="644338"/>
          <a:ext cx="1600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2</xdr:row>
      <xdr:rowOff>111125</xdr:rowOff>
    </xdr:from>
    <xdr:to>
      <xdr:col>13</xdr:col>
      <xdr:colOff>1079500</xdr:colOff>
      <xdr:row>7</xdr:row>
      <xdr:rowOff>117475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15903BAA-616F-46CB-8144-F7F1AA6B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2250" y="587375"/>
          <a:ext cx="9366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  <xdr:twoCellAnchor>
    <xdr:from>
      <xdr:col>24</xdr:col>
      <xdr:colOff>350921</xdr:colOff>
      <xdr:row>2</xdr:row>
      <xdr:rowOff>83553</xdr:rowOff>
    </xdr:from>
    <xdr:to>
      <xdr:col>25</xdr:col>
      <xdr:colOff>714542</xdr:colOff>
      <xdr:row>7</xdr:row>
      <xdr:rowOff>88232</xdr:rowOff>
    </xdr:to>
    <xdr:pic>
      <xdr:nvPicPr>
        <xdr:cNvPr id="14" name="Imagem 68">
          <a:extLst>
            <a:ext uri="{FF2B5EF4-FFF2-40B4-BE49-F238E27FC236}">
              <a16:creationId xmlns:a16="http://schemas.microsoft.com/office/drawing/2014/main" id="{6F3042F6-2C70-452F-8641-5B8B5FB5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61184" y="551448"/>
          <a:ext cx="1600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183816</xdr:colOff>
      <xdr:row>44</xdr:row>
      <xdr:rowOff>133685</xdr:rowOff>
    </xdr:from>
    <xdr:to>
      <xdr:col>8</xdr:col>
      <xdr:colOff>51316</xdr:colOff>
      <xdr:row>58</xdr:row>
      <xdr:rowOff>80264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A291B8-9171-4783-AA91-6CB32ABF8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711" y="8388685"/>
          <a:ext cx="3360000" cy="252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267368</xdr:colOff>
      <xdr:row>44</xdr:row>
      <xdr:rowOff>150395</xdr:rowOff>
    </xdr:from>
    <xdr:to>
      <xdr:col>14</xdr:col>
      <xdr:colOff>118158</xdr:colOff>
      <xdr:row>58</xdr:row>
      <xdr:rowOff>96974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D7B68AF-3D8E-4CB8-B015-D0BCCD0E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2763" y="8405395"/>
          <a:ext cx="33600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1153026</xdr:colOff>
      <xdr:row>45</xdr:row>
      <xdr:rowOff>50132</xdr:rowOff>
    </xdr:from>
    <xdr:to>
      <xdr:col>16</xdr:col>
      <xdr:colOff>753684</xdr:colOff>
      <xdr:row>58</xdr:row>
      <xdr:rowOff>180527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C8C51EB-61AB-4C12-930A-DDA49A1A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7631" y="8488948"/>
          <a:ext cx="18900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551448</xdr:colOff>
      <xdr:row>45</xdr:row>
      <xdr:rowOff>83553</xdr:rowOff>
    </xdr:from>
    <xdr:to>
      <xdr:col>25</xdr:col>
      <xdr:colOff>285790</xdr:colOff>
      <xdr:row>59</xdr:row>
      <xdr:rowOff>30132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4641618-3DDE-460E-9ADC-3E1D3ADD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2632" y="8522369"/>
          <a:ext cx="189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335047</xdr:colOff>
      <xdr:row>74</xdr:row>
      <xdr:rowOff>6684</xdr:rowOff>
    </xdr:from>
    <xdr:to>
      <xdr:col>3</xdr:col>
      <xdr:colOff>1506494</xdr:colOff>
      <xdr:row>87</xdr:row>
      <xdr:rowOff>143763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DD43FA18-8C8C-491F-B23B-53275F9CD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047" y="14119559"/>
          <a:ext cx="1885822" cy="2597704"/>
        </a:xfrm>
        <a:prstGeom prst="rect">
          <a:avLst/>
        </a:prstGeom>
      </xdr:spPr>
    </xdr:pic>
    <xdr:clientData/>
  </xdr:twoCellAnchor>
  <xdr:twoCellAnchor editAs="oneCell">
    <xdr:from>
      <xdr:col>5</xdr:col>
      <xdr:colOff>184652</xdr:colOff>
      <xdr:row>74</xdr:row>
      <xdr:rowOff>113633</xdr:rowOff>
    </xdr:from>
    <xdr:to>
      <xdr:col>7</xdr:col>
      <xdr:colOff>871494</xdr:colOff>
      <xdr:row>88</xdr:row>
      <xdr:rowOff>69403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7AA21CE9-A9EC-48BF-8820-ACB4F5E9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3277" y="14226508"/>
          <a:ext cx="1893342" cy="2606895"/>
        </a:xfrm>
        <a:prstGeom prst="rect">
          <a:avLst/>
        </a:prstGeom>
      </xdr:spPr>
    </xdr:pic>
    <xdr:clientData/>
  </xdr:twoCellAnchor>
  <xdr:twoCellAnchor editAs="oneCell">
    <xdr:from>
      <xdr:col>9</xdr:col>
      <xdr:colOff>513014</xdr:colOff>
      <xdr:row>75</xdr:row>
      <xdr:rowOff>15875</xdr:rowOff>
    </xdr:from>
    <xdr:to>
      <xdr:col>13</xdr:col>
      <xdr:colOff>61034</xdr:colOff>
      <xdr:row>88</xdr:row>
      <xdr:rowOff>162145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0921A2-CE7D-48DD-A741-F5914EE5E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264" y="14319250"/>
          <a:ext cx="1897520" cy="2606895"/>
        </a:xfrm>
        <a:prstGeom prst="rect">
          <a:avLst/>
        </a:prstGeom>
      </xdr:spPr>
    </xdr:pic>
    <xdr:clientData/>
  </xdr:twoCellAnchor>
  <xdr:twoCellAnchor editAs="oneCell">
    <xdr:from>
      <xdr:col>15</xdr:col>
      <xdr:colOff>562310</xdr:colOff>
      <xdr:row>76</xdr:row>
      <xdr:rowOff>53474</xdr:rowOff>
    </xdr:from>
    <xdr:to>
      <xdr:col>24</xdr:col>
      <xdr:colOff>796606</xdr:colOff>
      <xdr:row>90</xdr:row>
      <xdr:rowOff>15928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42913CB1-D498-4A07-8463-FD69183BB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6060" y="14547349"/>
          <a:ext cx="3377546" cy="261357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92</xdr:row>
      <xdr:rowOff>95250</xdr:rowOff>
    </xdr:from>
    <xdr:to>
      <xdr:col>3</xdr:col>
      <xdr:colOff>2725000</xdr:colOff>
      <xdr:row>105</xdr:row>
      <xdr:rowOff>138750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D2C0DE33-6B85-42D9-B0B0-9E662A990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17605375"/>
          <a:ext cx="336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79375</xdr:colOff>
      <xdr:row>92</xdr:row>
      <xdr:rowOff>142875</xdr:rowOff>
    </xdr:from>
    <xdr:to>
      <xdr:col>7</xdr:col>
      <xdr:colOff>762875</xdr:colOff>
      <xdr:row>105</xdr:row>
      <xdr:rowOff>186375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17912E41-C512-4B43-9CCE-5BCEFD21E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0" y="17653000"/>
          <a:ext cx="1890000" cy="25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566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45281</v>
      </c>
      <c r="C8" s="420"/>
      <c r="D8" s="23" t="s">
        <v>595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6" t="s">
        <v>545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34">
        <f>K195</f>
        <v>4.5500000000000007</v>
      </c>
      <c r="H201" s="435"/>
      <c r="I201" s="436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34" t="s">
        <v>586</v>
      </c>
      <c r="H204" s="437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34">
        <v>4</v>
      </c>
      <c r="H205" s="437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598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45291</v>
      </c>
      <c r="C8" s="420"/>
      <c r="D8" s="23" t="s">
        <v>710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6" t="s">
        <v>596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34">
        <f>L25</f>
        <v>85.184619999999995</v>
      </c>
      <c r="H50" s="435"/>
      <c r="I50" s="436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34"/>
      <c r="H51" s="435"/>
      <c r="I51" s="436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47" t="s">
        <v>652</v>
      </c>
      <c r="H54" s="449"/>
      <c r="I54" s="450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47" t="s">
        <v>612</v>
      </c>
      <c r="H91" s="448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443">
        <f xml:space="preserve"> (2*1.31) + (2*1.51) + (2*4.98)</f>
        <v>15.600000000000001</v>
      </c>
      <c r="H92" s="444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443">
        <f xml:space="preserve"> (3*3.37) + (1.37) + (2*3.47)</f>
        <v>18.420000000000002</v>
      </c>
      <c r="H93" s="444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443">
        <f xml:space="preserve"> (1.87) + (2*3.62)</f>
        <v>9.11</v>
      </c>
      <c r="H94" s="444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443">
        <f xml:space="preserve"> (4*0.88) + (2*3.36) + (2*5.03)</f>
        <v>20.3</v>
      </c>
      <c r="H95" s="444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443">
        <f xml:space="preserve"> (2*3.18) + (2*3.18)</f>
        <v>12.72</v>
      </c>
      <c r="H96" s="444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443">
        <f xml:space="preserve"> (4*2.15)</f>
        <v>8.6</v>
      </c>
      <c r="H97" s="444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443">
        <f xml:space="preserve"> (4*6.99)</f>
        <v>27.96</v>
      </c>
      <c r="H98" s="444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443"/>
      <c r="H100" s="445"/>
      <c r="I100" s="446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47" t="s">
        <v>679</v>
      </c>
      <c r="H108" s="448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443" t="s">
        <v>680</v>
      </c>
      <c r="H109" s="444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443" t="s">
        <v>681</v>
      </c>
      <c r="H110" s="444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443" t="s">
        <v>682</v>
      </c>
      <c r="H111" s="444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443" t="s">
        <v>684</v>
      </c>
      <c r="H112" s="444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443" t="s">
        <v>683</v>
      </c>
      <c r="H113" s="444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443" t="s">
        <v>685</v>
      </c>
      <c r="H114" s="444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47" t="s">
        <v>686</v>
      </c>
      <c r="H115" s="448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443" t="s">
        <v>687</v>
      </c>
      <c r="H116" s="444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443" t="s">
        <v>688</v>
      </c>
      <c r="H117" s="444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47" t="s">
        <v>689</v>
      </c>
      <c r="H118" s="448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443" t="s">
        <v>690</v>
      </c>
      <c r="H119" s="444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47" t="s">
        <v>691</v>
      </c>
      <c r="H120" s="448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443" t="s">
        <v>692</v>
      </c>
      <c r="H121" s="444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443" t="s">
        <v>693</v>
      </c>
      <c r="H122" s="444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47" t="s">
        <v>694</v>
      </c>
      <c r="H123" s="448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443" t="s">
        <v>695</v>
      </c>
      <c r="H124" s="444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443" t="s">
        <v>696</v>
      </c>
      <c r="H125" s="444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443" t="s">
        <v>697</v>
      </c>
      <c r="H126" s="444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443" t="s">
        <v>698</v>
      </c>
      <c r="H127" s="444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443" t="s">
        <v>699</v>
      </c>
      <c r="H128" s="444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443" t="s">
        <v>700</v>
      </c>
      <c r="H129" s="444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443" t="s">
        <v>701</v>
      </c>
      <c r="H130" s="444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47" t="s">
        <v>702</v>
      </c>
      <c r="H131" s="448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443" t="s">
        <v>704</v>
      </c>
      <c r="H132" s="444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443" t="s">
        <v>703</v>
      </c>
      <c r="H133" s="444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443" t="s">
        <v>703</v>
      </c>
      <c r="H134" s="444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443" t="s">
        <v>705</v>
      </c>
      <c r="H135" s="444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443" t="s">
        <v>704</v>
      </c>
      <c r="H136" s="444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443" t="s">
        <v>705</v>
      </c>
      <c r="H137" s="444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443" t="s">
        <v>704</v>
      </c>
      <c r="H138" s="444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443">
        <v>9.6</v>
      </c>
      <c r="H139" s="445"/>
      <c r="I139" s="446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443"/>
      <c r="H149" s="445"/>
      <c r="I149" s="446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443">
        <v>9.6</v>
      </c>
      <c r="H150" s="445"/>
      <c r="I150" s="446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443">
        <f>K148</f>
        <v>9.6</v>
      </c>
      <c r="H152" s="445"/>
      <c r="I152" s="446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47" t="s">
        <v>647</v>
      </c>
      <c r="H154" s="448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443">
        <f xml:space="preserve"> ((0.59*(1.85/0.1)) * 2)</f>
        <v>21.83</v>
      </c>
      <c r="H155" s="444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443">
        <f>(0.69*(1.87/0.1)) + (0.79*(1.87/0.1))</f>
        <v>27.675999999999998</v>
      </c>
      <c r="H156" s="444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443">
        <f>((0.69*(1.9/0.1))*3) + ((0.59*(1.87/0.1))*2)</f>
        <v>61.395999999999987</v>
      </c>
      <c r="H157" s="444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443">
        <f>((0.69*(1.92/0.1))*1) + ((0.59*(1.92/0.1))*2)</f>
        <v>35.903999999999996</v>
      </c>
      <c r="H158" s="444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443">
        <f>((0.79*(1.94/0.1))*3)</f>
        <v>45.977999999999994</v>
      </c>
      <c r="H159" s="444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443">
        <f>((0.69*(1.96/0.1))*3) + ((0.59*(1.96/0.1))*2)</f>
        <v>63.699999999999989</v>
      </c>
      <c r="H160" s="444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443">
        <f>((0.59*(1.95/0.1))*2) + ((0.69*(1.95/0.1))*3) +((0.79*(1.95/0.1))*1)</f>
        <v>78.78</v>
      </c>
      <c r="H161" s="444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443">
        <f>((0.59*(1.97/0.1))*1)  +((0.79*(1.97/0.1))*2)</f>
        <v>42.749000000000002</v>
      </c>
      <c r="H162" s="444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443">
        <f>((0.59*(1.9/0.1))*3)</f>
        <v>33.629999999999995</v>
      </c>
      <c r="H163" s="444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443">
        <f>((0.69*(1.86/0.1))*1) + ((0.69*(1.86/0.1))*1) + ((0.89*(1.86/0.1))*1)</f>
        <v>42.222000000000001</v>
      </c>
      <c r="H164" s="444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443">
        <f>((0.69*(1.87/0.1))*3)</f>
        <v>38.708999999999996</v>
      </c>
      <c r="H165" s="444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443">
        <f>((0.69*(1.9/0.1))*1) + ((0.79*(1.9/0.1))*2) + ((0.59*(1.9/0.1))*1)</f>
        <v>54.339999999999989</v>
      </c>
      <c r="H166" s="444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443">
        <f>((0.79*(1.91/0.1))*1) +((0.59*(1.91/0.1))*1)</f>
        <v>26.357999999999997</v>
      </c>
      <c r="H167" s="444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443">
        <f>((0.79*(1.94/0.1))*1) +((0.59*(1.94/0.1))*5)</f>
        <v>72.555999999999983</v>
      </c>
      <c r="H168" s="444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443">
        <f>((0.69*(1.92/0.1))*2) + ((0.69*(1.92/0.1))*1)</f>
        <v>39.744</v>
      </c>
      <c r="H169" s="444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443">
        <f>((0.59*(1.93/0.1))*2) + ((0.79*(1.93/0.1))*1)</f>
        <v>38.020999999999994</v>
      </c>
      <c r="H170" s="444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443">
        <f>((0.59*(1.87/0.1))*2) + ((0.69*(1.87/0.1))*2)</f>
        <v>47.872</v>
      </c>
      <c r="H171" s="444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443">
        <f>((0.59*(1.88/0.1))*3) + ((0.69*(1.88/0.1))*1)</f>
        <v>46.24799999999999</v>
      </c>
      <c r="H172" s="444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443">
        <f>((0.79*(1.9/0.1))*1) + ((0.69*(1.9/0.1))*3)</f>
        <v>54.339999999999982</v>
      </c>
      <c r="H173" s="444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443">
        <f>((0.59*(1.9/0.1))*1)</f>
        <v>11.209999999999997</v>
      </c>
      <c r="H174" s="444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443">
        <f>((0.69*(1.87/0.1))*1) + ((0.59*(1.87/0.1))*1)</f>
        <v>23.936</v>
      </c>
      <c r="H175" s="444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443">
        <f>((0.69*(2/0.1))*1) + ((0.59*(2/0.1))*2)</f>
        <v>37.4</v>
      </c>
      <c r="H176" s="444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443">
        <f>((0.69*(2.01/0.1))*1) + ((0.59*(2.01/0.1))*5) + ((0.79*(2.01/0.1))*1)</f>
        <v>89.042999999999992</v>
      </c>
      <c r="H177" s="444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443">
        <f>(((1.39+0.47+0.47))*(1.86/0.15))</f>
        <v>28.892000000000003</v>
      </c>
      <c r="H178" s="444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443">
        <f>(((1.09+0.022))*(1.87/0.15))</f>
        <v>13.862933333333336</v>
      </c>
      <c r="H179" s="444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443">
        <f>(((1.09+0.022))*(1.89/0.15))</f>
        <v>14.011200000000001</v>
      </c>
      <c r="H180" s="444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443">
        <f>(((0.59))*(1.9/0.15))</f>
        <v>7.4733333333333327</v>
      </c>
      <c r="H181" s="444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443">
        <f>(((0.59))*(1.92/0.15))</f>
        <v>7.5519999999999996</v>
      </c>
      <c r="H182" s="444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443">
        <f>(((0.59))*(1.9/0.15))</f>
        <v>7.4733333333333327</v>
      </c>
      <c r="H183" s="444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443">
        <f>(((0.69))*(1.98/0.15))</f>
        <v>9.1080000000000005</v>
      </c>
      <c r="H184" s="444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47" t="s">
        <v>612</v>
      </c>
      <c r="H185" s="448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443">
        <f xml:space="preserve"> (2*2.51) + (40*0.59)</f>
        <v>28.619999999999997</v>
      </c>
      <c r="H186" s="444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443">
        <f xml:space="preserve"> (19*0.79)</f>
        <v>15.010000000000002</v>
      </c>
      <c r="H187" s="444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443">
        <f xml:space="preserve"> (21*0.79)</f>
        <v>16.59</v>
      </c>
      <c r="H188" s="444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443">
        <f xml:space="preserve"> (2*3.86) + (29*0.79)</f>
        <v>30.63</v>
      </c>
      <c r="H189" s="444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443">
        <f xml:space="preserve"> (22*0.59)</f>
        <v>12.979999999999999</v>
      </c>
      <c r="H190" s="444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443">
        <f xml:space="preserve"> (14*0.059)</f>
        <v>0.82599999999999996</v>
      </c>
      <c r="H191" s="444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443">
        <f xml:space="preserve"> (59*0.59)</f>
        <v>34.809999999999995</v>
      </c>
      <c r="H192" s="444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443">
        <v>295</v>
      </c>
      <c r="H194" s="445"/>
      <c r="I194" s="446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47" t="s">
        <v>628</v>
      </c>
      <c r="H197" s="448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443">
        <f xml:space="preserve"> (4*(0.2+0.25+1.85+0.33)) * 2</f>
        <v>21.040000000000003</v>
      </c>
      <c r="H198" s="444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443">
        <f xml:space="preserve"> ((4*(0.2+0.25+1.87+0.33)) * 2)</f>
        <v>21.200000000000003</v>
      </c>
      <c r="H199" s="444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443">
        <f xml:space="preserve"> (4*(0.2+0.25+1.9+0.33)) * 5</f>
        <v>53.6</v>
      </c>
      <c r="H200" s="444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443">
        <f xml:space="preserve"> (4*(0.2+0.25+1.92+0.33)) *3</f>
        <v>32.400000000000006</v>
      </c>
      <c r="H201" s="444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443">
        <f xml:space="preserve"> (4*(0.2+0.25+1.94+0.33)) * 3</f>
        <v>32.64</v>
      </c>
      <c r="H202" s="444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443">
        <f xml:space="preserve"> (4*(0.2+0.25+1.96+0.33)) * 5</f>
        <v>54.800000000000004</v>
      </c>
      <c r="H203" s="444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443">
        <f xml:space="preserve"> (4*(0.2+0.25+1.95+0.33)) * 6</f>
        <v>65.52</v>
      </c>
      <c r="H204" s="444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443">
        <f xml:space="preserve"> (4*(0.2+0.25+1.97+0.33)) * 3</f>
        <v>33</v>
      </c>
      <c r="H205" s="444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443">
        <f xml:space="preserve"> (4*(0.2+0.25+1.9+0.33)) * 3</f>
        <v>32.160000000000004</v>
      </c>
      <c r="H206" s="444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443">
        <f xml:space="preserve"> ((4*(0.2+0.25+1.86+0.33)) * 3)</f>
        <v>31.68</v>
      </c>
      <c r="H207" s="444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443">
        <f xml:space="preserve"> ((4*(0.2+0.25+1.87+0.33)) * 3)</f>
        <v>31.800000000000004</v>
      </c>
      <c r="H208" s="444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443">
        <f xml:space="preserve"> ((4*(0.2+0.25+1.9+0.33)) * 4)</f>
        <v>42.88</v>
      </c>
      <c r="H209" s="444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443">
        <f xml:space="preserve"> ((4*(0.2+0.25+1.91+0.33)) * 2)</f>
        <v>21.52</v>
      </c>
      <c r="H210" s="444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443">
        <f xml:space="preserve"> ((4*(0.2+0.25+1.94+0.33)) * 6)</f>
        <v>65.28</v>
      </c>
      <c r="H211" s="444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443">
        <f xml:space="preserve"> ((4*(0.2+0.25+1.92+0.33)) *3)</f>
        <v>32.400000000000006</v>
      </c>
      <c r="H212" s="444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443">
        <f xml:space="preserve"> ((4*(0.2+0.25+1.93+0.33)) *3)</f>
        <v>32.519999999999996</v>
      </c>
      <c r="H213" s="444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443">
        <f xml:space="preserve"> ((4*(0.2+0.25+1.87+0.33)) *4)</f>
        <v>42.400000000000006</v>
      </c>
      <c r="H214" s="444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443">
        <f xml:space="preserve"> ((4*(0.2+0.25+1.88+0.33)) *4)</f>
        <v>42.56</v>
      </c>
      <c r="H215" s="444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443">
        <f xml:space="preserve"> ((4*(0.2+0.25+1.9+0.33)) *4)</f>
        <v>42.88</v>
      </c>
      <c r="H216" s="444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443">
        <f>((4*(0.2+0.25+1.9+0.33))) + ((8*(0.2+0.25+1.9)))</f>
        <v>29.520000000000003</v>
      </c>
      <c r="H217" s="444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443">
        <f xml:space="preserve"> ((4*(0.2+0.25+1.97+0.33)) *2)</f>
        <v>22</v>
      </c>
      <c r="H218" s="444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443">
        <f xml:space="preserve"> ((4*(0.2+0.25+2+0.33)) *3)</f>
        <v>33.36</v>
      </c>
      <c r="H219" s="444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443">
        <f xml:space="preserve"> ((4*(0.2+0.25+2.01+0.33)) *7)</f>
        <v>78.12</v>
      </c>
      <c r="H220" s="444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47" t="s">
        <v>628</v>
      </c>
      <c r="H222" s="448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443">
        <f>((8*(0.2+0.25+1.86+0.42)))</f>
        <v>21.84</v>
      </c>
      <c r="H223" s="444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443">
        <f>((6*(0.2+0.25+1.87+0.42)))</f>
        <v>16.440000000000001</v>
      </c>
      <c r="H224" s="444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443">
        <f>((6*(0.2+0.25+1.89+0.42)))</f>
        <v>16.559999999999999</v>
      </c>
      <c r="H225" s="444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443">
        <f>((4*(0.2+0.25+1.9+0.42)))</f>
        <v>11.08</v>
      </c>
      <c r="H226" s="444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443">
        <f>((4*(0.2+0.25+1.92+0.42)))</f>
        <v>11.16</v>
      </c>
      <c r="H227" s="444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443">
        <f>((4*(0.2+0.25+1.9+0.42)))</f>
        <v>11.08</v>
      </c>
      <c r="H228" s="444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443">
        <f>((4*(0.2+0.25+1.98+0.42)))+(2*(0.2+0.25+1.98))</f>
        <v>16.260000000000002</v>
      </c>
      <c r="H229" s="444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47" t="s">
        <v>612</v>
      </c>
      <c r="H230" s="448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443"/>
      <c r="H231" s="444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443"/>
      <c r="H232" s="444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443"/>
      <c r="H233" s="444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443"/>
      <c r="H234" s="444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443"/>
      <c r="H235" s="444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443"/>
      <c r="H236" s="444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443"/>
      <c r="H237" s="444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47" t="s">
        <v>706</v>
      </c>
      <c r="H247" s="448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443">
        <f xml:space="preserve"> ((0.15+0.25)*2) *2</f>
        <v>1.6</v>
      </c>
      <c r="H248" s="444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443">
        <f xml:space="preserve"> ((0.2+0.25)*2) + ((0.2+0.3)*2)</f>
        <v>1.9</v>
      </c>
      <c r="H249" s="444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443">
        <f xml:space="preserve"> ((0.2+0.25)*2*3) + ((0.2+0.2)*2*1) + ((0.15+0.2)*2*1)</f>
        <v>4.2</v>
      </c>
      <c r="H250" s="444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443">
        <f xml:space="preserve"> ((0.2+0.25)*2*1) + ((0.15+0.25)*2*2)</f>
        <v>2.5</v>
      </c>
      <c r="H251" s="444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443">
        <f xml:space="preserve"> ((0.15+0.3)*2*3)</f>
        <v>2.6999999999999997</v>
      </c>
      <c r="H252" s="444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443">
        <f xml:space="preserve"> ((0.2+0.25)*2*3) + ((0.15+0.25)*2*2)</f>
        <v>4.3000000000000007</v>
      </c>
      <c r="H253" s="444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443">
        <f xml:space="preserve"> ((0.2+0.25)*2*3) + ((0.15+0.25)*2*2) +  ((0.2+0.3)*2*1)</f>
        <v>5.3000000000000007</v>
      </c>
      <c r="H254" s="444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443">
        <f xml:space="preserve"> ((0.2+0.25)*2*2) + ((0.15+0.25)*2*1)</f>
        <v>2.6</v>
      </c>
      <c r="H255" s="444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443">
        <f>((0.15+0.25)*2*3)</f>
        <v>2.4000000000000004</v>
      </c>
      <c r="H256" s="444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443">
        <f xml:space="preserve"> ((0.2+0.25)*2*1) + ((0.15+0.25)*2*1) +  ((0.2+0.35)*2*1)</f>
        <v>2.8000000000000003</v>
      </c>
      <c r="H257" s="444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443">
        <f xml:space="preserve"> ((0.2+0.25)*2*1) + ((0.15+0.3)*2*2)</f>
        <v>2.6999999999999997</v>
      </c>
      <c r="H258" s="444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443">
        <f xml:space="preserve"> ((0.2+0.3)*2*1) + ((0.15+0.3)*2*1) +  ((0.15+0.25)*2*1) + ((0.15+0.35)*2*1)</f>
        <v>3.7</v>
      </c>
      <c r="H259" s="444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443">
        <f xml:space="preserve"> ((0.15+0.25)*2*1) + ((0.2+0.3)*2*1)</f>
        <v>1.8</v>
      </c>
      <c r="H260" s="444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443">
        <f xml:space="preserve"> ((0.15+0.25)*2*5) + ((0.25+0.25)*2*1)</f>
        <v>5</v>
      </c>
      <c r="H261" s="444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443">
        <f xml:space="preserve"> ((0.2+0.25)*2*1) + ((0.15+0.25)*2*1) +  ((0.25+0.25)*2*1)</f>
        <v>2.7</v>
      </c>
      <c r="H262" s="444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443">
        <f xml:space="preserve"> ((0.15+0.25)*2*2) + ((0.25+0.25)*2*1)</f>
        <v>2.6</v>
      </c>
      <c r="H263" s="444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443">
        <f xml:space="preserve"> ((0.15+0.25)*2*2) + ((0.2+0.25)*2*2)</f>
        <v>3.4000000000000004</v>
      </c>
      <c r="H264" s="444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443">
        <f xml:space="preserve"> ((0.15+0.25)*2*3) + ((0.2+0.25)*2*1)</f>
        <v>3.3000000000000003</v>
      </c>
      <c r="H265" s="444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443">
        <f>((0.2+0.25)*2*3) + ((0.25+0.25)*2*1)</f>
        <v>3.7</v>
      </c>
      <c r="H266" s="444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443">
        <f>((0.2+0.2)*2*1)</f>
        <v>0.8</v>
      </c>
      <c r="H267" s="444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443">
        <f>((0.2+0.25)*2*1) + ((0.15+0.25)*2*1)</f>
        <v>1.7000000000000002</v>
      </c>
      <c r="H268" s="444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443">
        <f>((0.2+0.25)*2*1) + ((0.15+0.25)*2*2)</f>
        <v>2.5</v>
      </c>
      <c r="H269" s="444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443">
        <f xml:space="preserve"> ((0.2+0.3)*2*1) + ((0.15+0.25)*2*5) +  ((0.25+0.25)*2*1)</f>
        <v>6</v>
      </c>
      <c r="H270" s="444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443">
        <f>((0.15+0.3)*2*1)</f>
        <v>0.89999999999999991</v>
      </c>
      <c r="H271" s="444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443">
        <f>((0.15+0.5)*2*1)</f>
        <v>1.3</v>
      </c>
      <c r="H272" s="444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443">
        <f>((0.15+0.5)*2*1)</f>
        <v>1.3</v>
      </c>
      <c r="H273" s="444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443">
        <f>((0.15+0.25)*2*1)</f>
        <v>0.8</v>
      </c>
      <c r="H274" s="444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443">
        <f t="shared" ref="G275" si="17">((0.15+0.3)*2*1)</f>
        <v>0.89999999999999991</v>
      </c>
      <c r="H275" s="444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443">
        <f>((0.15+0.25)*2*1)</f>
        <v>0.8</v>
      </c>
      <c r="H276" s="444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443">
        <f>((0.15+0.3)*2*1)</f>
        <v>0.89999999999999991</v>
      </c>
      <c r="H277" s="444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34">
        <v>11.01</v>
      </c>
      <c r="H419" s="435"/>
      <c r="I419" s="436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34">
        <f>K426</f>
        <v>1.04</v>
      </c>
      <c r="H432" s="435"/>
      <c r="I432" s="436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34" t="s">
        <v>586</v>
      </c>
      <c r="H435" s="437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34">
        <v>4</v>
      </c>
      <c r="H436" s="437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567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45281</v>
      </c>
      <c r="C8" s="420"/>
      <c r="D8" s="23" t="s">
        <v>595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545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597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45291</v>
      </c>
      <c r="C8" s="420"/>
      <c r="D8" s="23" t="s">
        <v>710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596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713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45352</v>
      </c>
      <c r="C8" s="420"/>
      <c r="D8" s="23" t="s">
        <v>712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6" t="s">
        <v>711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464">
        <v>1</v>
      </c>
      <c r="G70" s="471">
        <f>43.05</f>
        <v>43.05</v>
      </c>
      <c r="H70" s="472"/>
      <c r="I70" s="473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465"/>
      <c r="G71" s="474"/>
      <c r="H71" s="475"/>
      <c r="I71" s="476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68" t="s">
        <v>883</v>
      </c>
      <c r="H72" s="469"/>
      <c r="I72" s="470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66" t="s">
        <v>838</v>
      </c>
      <c r="H73" s="467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66">
        <v>9</v>
      </c>
      <c r="H74" s="467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66">
        <v>5</v>
      </c>
      <c r="H75" s="467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66">
        <f xml:space="preserve"> (13.03 * 2.7)</f>
        <v>35.180999999999997</v>
      </c>
      <c r="H76" s="467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66">
        <v>3</v>
      </c>
      <c r="H77" s="467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66">
        <v>7</v>
      </c>
      <c r="H78" s="467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66">
        <v>21</v>
      </c>
      <c r="H79" s="467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66">
        <v>27</v>
      </c>
      <c r="H80" s="467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66">
        <v>26</v>
      </c>
      <c r="H81" s="467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66">
        <v>1.6</v>
      </c>
      <c r="H82" s="467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66">
        <v>1.6</v>
      </c>
      <c r="H83" s="467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66">
        <v>45</v>
      </c>
      <c r="H84" s="467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66">
        <v>19</v>
      </c>
      <c r="H85" s="467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66">
        <v>19</v>
      </c>
      <c r="H86" s="467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66">
        <v>5</v>
      </c>
      <c r="H87" s="467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66">
        <v>14</v>
      </c>
      <c r="H88" s="467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77">
        <v>36</v>
      </c>
      <c r="H89" s="478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77">
        <v>46</v>
      </c>
      <c r="H90" s="478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66">
        <v>41</v>
      </c>
      <c r="H91" s="467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66">
        <v>27</v>
      </c>
      <c r="H92" s="467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66">
        <v>53</v>
      </c>
      <c r="H93" s="467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66">
        <f xml:space="preserve"> (2.65*1.8)</f>
        <v>4.7699999999999996</v>
      </c>
      <c r="H94" s="467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66">
        <v>30</v>
      </c>
      <c r="H95" s="467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66">
        <v>30</v>
      </c>
      <c r="H96" s="467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66">
        <v>14</v>
      </c>
      <c r="H97" s="467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66">
        <v>14</v>
      </c>
      <c r="H98" s="467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66">
        <v>20</v>
      </c>
      <c r="H99" s="467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66">
        <v>3</v>
      </c>
      <c r="H100" s="467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66">
        <v>4</v>
      </c>
      <c r="H101" s="467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66">
        <v>12</v>
      </c>
      <c r="H102" s="467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66">
        <v>20</v>
      </c>
      <c r="H103" s="467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66">
        <v>4</v>
      </c>
      <c r="H104" s="467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66">
        <v>5</v>
      </c>
      <c r="H105" s="467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66">
        <f>1184.23-SUM(G74:H105)</f>
        <v>582.07900000000006</v>
      </c>
      <c r="H106" s="467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66"/>
      <c r="H107" s="467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7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5"/>
      <c r="I172" s="446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47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7">
        <f>(2*12)+(2*3.79)+(2*8.94)+(2*6.27)+ 1.39+0.99 +(2*1.85)+(2*1.7)+ (2*1.35)</f>
        <v>74.180000000000007</v>
      </c>
      <c r="H174" s="448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7">
        <f>(2*10.92)+(2*10.92)+ 1.3 + 1.1</f>
        <v>46.08</v>
      </c>
      <c r="H175" s="448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7">
        <f>(2*1.87)+(2*1.87)</f>
        <v>7.48</v>
      </c>
      <c r="H176" s="448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7">
        <f>(2*6.55)+(2*6.3)+1.75+1.35+1.19</f>
        <v>29.990000000000002</v>
      </c>
      <c r="H177" s="448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7">
        <f>(2*8.39)+(2*1.7)+ 1.1+ 3.13 + (2*5.24)+ (2*3.11)</f>
        <v>41.11</v>
      </c>
      <c r="H178" s="448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7"/>
      <c r="H179" s="448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7"/>
      <c r="H180" s="448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7"/>
      <c r="H181" s="448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7"/>
      <c r="H182" s="448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7"/>
      <c r="H183" s="448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7"/>
      <c r="H184" s="448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7"/>
      <c r="H185" s="448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7"/>
      <c r="H186" s="448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7"/>
      <c r="H187" s="448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7"/>
      <c r="H188" s="448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7"/>
      <c r="H189" s="448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7"/>
      <c r="H190" s="448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7"/>
      <c r="H191" s="448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7"/>
      <c r="H192" s="448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7"/>
      <c r="H193" s="448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7"/>
      <c r="H194" s="448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7"/>
      <c r="H195" s="448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7"/>
      <c r="H196" s="448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7"/>
      <c r="H197" s="448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7"/>
      <c r="H198" s="448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7"/>
      <c r="H199" s="448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4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4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4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4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4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4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4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5"/>
      <c r="I208" s="446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5"/>
      <c r="I209" s="446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7" t="s">
        <v>679</v>
      </c>
      <c r="H217" s="448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4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4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4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4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4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4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7" t="s">
        <v>686</v>
      </c>
      <c r="H224" s="448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4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4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7" t="s">
        <v>689</v>
      </c>
      <c r="H227" s="448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4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7" t="s">
        <v>691</v>
      </c>
      <c r="H229" s="448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4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4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7" t="s">
        <v>694</v>
      </c>
      <c r="H232" s="448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4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4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4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4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4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4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4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7" t="s">
        <v>702</v>
      </c>
      <c r="H240" s="448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4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4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4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4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4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4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4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5"/>
      <c r="I248" s="446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5"/>
      <c r="I249" s="446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60" t="s">
        <v>874</v>
      </c>
      <c r="H257" s="461"/>
      <c r="I257" s="462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443"/>
      <c r="H258" s="445"/>
      <c r="I258" s="446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443">
        <v>9.6</v>
      </c>
      <c r="H259" s="445"/>
      <c r="I259" s="446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5"/>
      <c r="I260" s="446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5"/>
      <c r="I261" s="446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5"/>
      <c r="I262" s="446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7" t="s">
        <v>647</v>
      </c>
      <c r="H263" s="448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4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4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4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4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4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4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4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4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4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4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4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4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4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4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4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4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4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4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4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4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4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4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4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4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4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4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4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4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4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4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47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4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4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4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4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4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4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4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5"/>
      <c r="I303" s="446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7" t="s">
        <v>628</v>
      </c>
      <c r="H306" s="448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4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4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4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4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4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4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4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4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4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4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4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4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4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4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4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4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4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4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4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4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4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4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4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5"/>
      <c r="I330" s="446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7" t="s">
        <v>628</v>
      </c>
      <c r="H331" s="448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4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4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4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4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4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4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4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47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5"/>
      <c r="I340" s="446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5"/>
      <c r="I341" s="446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7" t="s">
        <v>706</v>
      </c>
      <c r="H350" s="448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4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4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4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4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4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4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4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4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4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4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4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4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4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4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4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4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4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4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4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4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4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4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4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4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4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4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4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9">((0.15+0.3)*2*1)</f>
        <v>0.89999999999999991</v>
      </c>
      <c r="H378" s="444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4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4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34"/>
      <c r="H516" s="435"/>
      <c r="I516" s="436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34">
        <v>11.01</v>
      </c>
      <c r="H522" s="435"/>
      <c r="I522" s="436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34"/>
      <c r="H524" s="435"/>
      <c r="I524" s="436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34">
        <v>67.27</v>
      </c>
      <c r="H525" s="435"/>
      <c r="I525" s="436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34">
        <f>K530</f>
        <v>1.5192000000000005</v>
      </c>
      <c r="H544" s="435"/>
      <c r="I544" s="436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34" t="s">
        <v>586</v>
      </c>
      <c r="H556" s="437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34">
        <v>4</v>
      </c>
      <c r="H557" s="437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34">
        <v>4</v>
      </c>
      <c r="H558" s="437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34">
        <v>4</v>
      </c>
      <c r="H559" s="437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34">
        <v>4</v>
      </c>
      <c r="H560" s="437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34">
        <v>4</v>
      </c>
      <c r="H561" s="437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34">
        <v>4</v>
      </c>
      <c r="H562" s="437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34">
        <v>4</v>
      </c>
      <c r="H563" s="437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34">
        <v>4</v>
      </c>
      <c r="H564" s="437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34">
        <v>4</v>
      </c>
      <c r="H565" s="437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34">
        <v>4</v>
      </c>
      <c r="H566" s="437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34"/>
      <c r="H567" s="435"/>
      <c r="I567" s="436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457"/>
      <c r="H579" s="458"/>
      <c r="I579" s="459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34"/>
      <c r="H581" s="435"/>
      <c r="I581" s="436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463" t="s">
        <v>836</v>
      </c>
      <c r="H595" s="463"/>
      <c r="I595" s="463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714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45352</v>
      </c>
      <c r="C8" s="420"/>
      <c r="D8" s="23" t="s">
        <v>712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711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884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45386</v>
      </c>
      <c r="C8" s="420"/>
      <c r="D8" s="23" t="s">
        <v>886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6" t="s">
        <v>887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64">
        <v>1</v>
      </c>
      <c r="G70" s="471">
        <f>43.05</f>
        <v>43.05</v>
      </c>
      <c r="H70" s="472"/>
      <c r="I70" s="473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65"/>
      <c r="G71" s="474"/>
      <c r="H71" s="475"/>
      <c r="I71" s="476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68" t="s">
        <v>883</v>
      </c>
      <c r="H72" s="469"/>
      <c r="I72" s="470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66" t="s">
        <v>838</v>
      </c>
      <c r="H73" s="467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66">
        <v>9</v>
      </c>
      <c r="H74" s="467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66">
        <v>5</v>
      </c>
      <c r="H75" s="467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66">
        <f xml:space="preserve"> (13.03 * 2.7)</f>
        <v>35.180999999999997</v>
      </c>
      <c r="H76" s="467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66">
        <v>3</v>
      </c>
      <c r="H77" s="467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66">
        <v>7</v>
      </c>
      <c r="H78" s="467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66">
        <v>21</v>
      </c>
      <c r="H79" s="467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66">
        <v>27</v>
      </c>
      <c r="H80" s="467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66">
        <v>26</v>
      </c>
      <c r="H81" s="467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66">
        <v>1.6</v>
      </c>
      <c r="H82" s="467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66">
        <v>1.6</v>
      </c>
      <c r="H83" s="467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66">
        <v>45</v>
      </c>
      <c r="H84" s="467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66">
        <v>19</v>
      </c>
      <c r="H85" s="467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66">
        <v>19</v>
      </c>
      <c r="H86" s="467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66">
        <v>5</v>
      </c>
      <c r="H87" s="467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66">
        <v>14</v>
      </c>
      <c r="H88" s="467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77">
        <v>36</v>
      </c>
      <c r="H89" s="478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77">
        <v>46</v>
      </c>
      <c r="H90" s="478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66">
        <v>41</v>
      </c>
      <c r="H91" s="467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66">
        <v>27</v>
      </c>
      <c r="H92" s="467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66">
        <v>53</v>
      </c>
      <c r="H93" s="467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66">
        <f xml:space="preserve"> (2.65*1.8)</f>
        <v>4.7699999999999996</v>
      </c>
      <c r="H94" s="467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66">
        <v>30</v>
      </c>
      <c r="H95" s="467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66">
        <v>30</v>
      </c>
      <c r="H96" s="467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66">
        <v>14</v>
      </c>
      <c r="H97" s="467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66">
        <v>14</v>
      </c>
      <c r="H98" s="467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66">
        <v>20</v>
      </c>
      <c r="H99" s="467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66">
        <v>3</v>
      </c>
      <c r="H100" s="467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66">
        <v>4</v>
      </c>
      <c r="H101" s="467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66">
        <v>12</v>
      </c>
      <c r="H102" s="467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66">
        <v>20</v>
      </c>
      <c r="H103" s="467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66">
        <v>4</v>
      </c>
      <c r="H104" s="467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66">
        <v>5</v>
      </c>
      <c r="H105" s="467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66">
        <f>1184.23-SUM(G74:H105)</f>
        <v>582.07900000000006</v>
      </c>
      <c r="H106" s="467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66"/>
      <c r="H107" s="467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7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5"/>
      <c r="I172" s="446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7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7">
        <f>(2*12)+(2*3.79)+(2*8.94)+(2*6.27)+ 1.39+0.99 +(2*1.85)+(2*1.7)+ (2*1.35)</f>
        <v>74.180000000000007</v>
      </c>
      <c r="H174" s="448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7">
        <f>(2*10.92)+(2*10.92)+ 1.3 + 1.1</f>
        <v>46.08</v>
      </c>
      <c r="H175" s="448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7">
        <f>(2*1.87)+(2*1.87)</f>
        <v>7.48</v>
      </c>
      <c r="H176" s="448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7">
        <f>(2*6.55)+(2*6.3)+1.75+1.35+1.19</f>
        <v>29.990000000000002</v>
      </c>
      <c r="H177" s="448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7">
        <f>(2*8.39)+(2*1.7)+ 1.1+ 3.13 + (2*5.24)+ (2*3.11)</f>
        <v>41.11</v>
      </c>
      <c r="H178" s="448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7"/>
      <c r="H179" s="448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7"/>
      <c r="H180" s="448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7"/>
      <c r="H181" s="448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7"/>
      <c r="H182" s="448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7"/>
      <c r="H183" s="448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7"/>
      <c r="H184" s="448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7"/>
      <c r="H185" s="448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7"/>
      <c r="H186" s="448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7"/>
      <c r="H187" s="448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7"/>
      <c r="H188" s="448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7"/>
      <c r="H189" s="448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7"/>
      <c r="H190" s="448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7"/>
      <c r="H191" s="448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7"/>
      <c r="H192" s="448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7"/>
      <c r="H193" s="448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7"/>
      <c r="H194" s="448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7"/>
      <c r="H195" s="448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7"/>
      <c r="H196" s="448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7"/>
      <c r="H197" s="448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7"/>
      <c r="H198" s="448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7"/>
      <c r="H199" s="448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4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4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4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4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4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4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4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5"/>
      <c r="I208" s="446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5"/>
      <c r="I209" s="446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7" t="s">
        <v>679</v>
      </c>
      <c r="H217" s="448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4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4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4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4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4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4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7" t="s">
        <v>686</v>
      </c>
      <c r="H224" s="448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4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4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7" t="s">
        <v>689</v>
      </c>
      <c r="H227" s="448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4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7" t="s">
        <v>691</v>
      </c>
      <c r="H229" s="448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4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4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7" t="s">
        <v>694</v>
      </c>
      <c r="H232" s="448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4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4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4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4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4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4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4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7" t="s">
        <v>702</v>
      </c>
      <c r="H240" s="448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4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4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4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4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4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4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4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5"/>
      <c r="I248" s="446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5"/>
      <c r="I249" s="446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60" t="s">
        <v>874</v>
      </c>
      <c r="H257" s="461"/>
      <c r="I257" s="462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5"/>
      <c r="I258" s="446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5"/>
      <c r="I259" s="446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5"/>
      <c r="I260" s="446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5"/>
      <c r="I261" s="446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5"/>
      <c r="I262" s="446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7" t="s">
        <v>647</v>
      </c>
      <c r="H263" s="448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4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4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4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4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4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4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4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4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4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4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4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4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4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4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4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4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4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4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4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4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4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4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4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4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4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4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4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4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4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4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7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4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4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4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4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4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4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4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5"/>
      <c r="I303" s="446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7" t="s">
        <v>628</v>
      </c>
      <c r="H306" s="448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4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4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4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4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4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4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4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4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4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4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4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4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4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4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4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4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4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4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4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4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4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4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4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5"/>
      <c r="I330" s="446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7" t="s">
        <v>628</v>
      </c>
      <c r="H331" s="448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4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4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4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4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4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4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4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7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5"/>
      <c r="I340" s="446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5"/>
      <c r="I341" s="446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7" t="s">
        <v>706</v>
      </c>
      <c r="H350" s="448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4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4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4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4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4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4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4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4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4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4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4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4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4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4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4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4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4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4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4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4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4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4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4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4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4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4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4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4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4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4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35"/>
      <c r="H609" s="435"/>
      <c r="I609" s="436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34">
        <v>11.01</v>
      </c>
      <c r="H615" s="435"/>
      <c r="I615" s="436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34"/>
      <c r="H617" s="435"/>
      <c r="I617" s="436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34">
        <v>67.27</v>
      </c>
      <c r="H618" s="435"/>
      <c r="I618" s="436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34">
        <v>42.8</v>
      </c>
      <c r="H619" s="435"/>
      <c r="I619" s="436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34">
        <f>K624</f>
        <v>2.3652000000000002</v>
      </c>
      <c r="H645" s="435"/>
      <c r="I645" s="436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34" t="s">
        <v>586</v>
      </c>
      <c r="H664" s="437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34">
        <v>4</v>
      </c>
      <c r="H665" s="437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34">
        <v>4</v>
      </c>
      <c r="H666" s="437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34">
        <v>4</v>
      </c>
      <c r="H667" s="437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34">
        <v>4</v>
      </c>
      <c r="H668" s="437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34">
        <v>4</v>
      </c>
      <c r="H669" s="437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34">
        <v>4</v>
      </c>
      <c r="H670" s="437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34">
        <v>4</v>
      </c>
      <c r="H671" s="437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34">
        <v>4</v>
      </c>
      <c r="H672" s="437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34">
        <v>4</v>
      </c>
      <c r="H673" s="437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34">
        <v>4</v>
      </c>
      <c r="H674" s="437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34">
        <v>4</v>
      </c>
      <c r="H675" s="437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34">
        <v>4</v>
      </c>
      <c r="H676" s="437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34">
        <v>4</v>
      </c>
      <c r="H677" s="437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34">
        <v>4</v>
      </c>
      <c r="H678" s="437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34">
        <v>4</v>
      </c>
      <c r="H679" s="437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34">
        <v>4</v>
      </c>
      <c r="H680" s="437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34">
        <v>4</v>
      </c>
      <c r="H681" s="437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34"/>
      <c r="H682" s="435"/>
      <c r="I682" s="436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457"/>
      <c r="H701" s="458"/>
      <c r="I701" s="459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34"/>
      <c r="H703" s="435"/>
      <c r="I703" s="436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463" t="s">
        <v>836</v>
      </c>
      <c r="H717" s="463"/>
      <c r="I717" s="463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934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45422</v>
      </c>
      <c r="C8" s="420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25">
        <f>Y196-E8</f>
        <v>274592.67562904983</v>
      </c>
      <c r="K8" s="425"/>
      <c r="L8" s="425"/>
      <c r="M8" s="425"/>
      <c r="N8" s="425"/>
      <c r="O8" s="425"/>
      <c r="P8" s="456"/>
      <c r="Q8" s="426" t="s">
        <v>933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543</v>
      </c>
      <c r="G10" s="481" t="s">
        <v>530</v>
      </c>
      <c r="H10" s="439"/>
      <c r="I10" s="439"/>
      <c r="J10" s="439"/>
      <c r="K10" s="439"/>
      <c r="L10" s="439"/>
      <c r="M10" s="439"/>
      <c r="N10" s="439"/>
      <c r="O10" s="439"/>
      <c r="P10" s="439"/>
      <c r="Q10" s="440" t="s">
        <v>531</v>
      </c>
      <c r="R10" s="441"/>
      <c r="S10" s="441"/>
      <c r="T10" s="441"/>
      <c r="U10" s="441"/>
      <c r="V10" s="441"/>
      <c r="W10" s="441"/>
      <c r="X10" s="441"/>
      <c r="Y10" s="482"/>
      <c r="Z10" s="442"/>
    </row>
    <row r="11" spans="2:26" ht="36" x14ac:dyDescent="0.25">
      <c r="B11" s="429"/>
      <c r="C11" s="429"/>
      <c r="D11" s="431"/>
      <c r="E11" s="429"/>
      <c r="F11" s="433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52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22.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52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4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479" t="s">
        <v>546</v>
      </c>
      <c r="R197" s="479" t="s">
        <v>547</v>
      </c>
      <c r="S197" s="479" t="s">
        <v>549</v>
      </c>
      <c r="T197" s="479" t="s">
        <v>550</v>
      </c>
      <c r="U197" s="479" t="s">
        <v>551</v>
      </c>
      <c r="V197" s="479" t="s">
        <v>552</v>
      </c>
      <c r="W197" s="479" t="s">
        <v>553</v>
      </c>
      <c r="X197" s="479" t="s">
        <v>554</v>
      </c>
      <c r="Y197" s="480" t="s">
        <v>548</v>
      </c>
      <c r="Z197" s="479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479"/>
      <c r="R198" s="479"/>
      <c r="S198" s="479"/>
      <c r="T198" s="479"/>
      <c r="U198" s="479"/>
      <c r="V198" s="479"/>
      <c r="W198" s="479"/>
      <c r="X198" s="479"/>
      <c r="Y198" s="480"/>
      <c r="Z198" s="479"/>
    </row>
  </sheetData>
  <mergeCells count="27">
    <mergeCell ref="B10:B11"/>
    <mergeCell ref="Z197:Z198"/>
    <mergeCell ref="U197:U198"/>
    <mergeCell ref="Q10:Z10"/>
    <mergeCell ref="C10:C11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G400" sqref="G400:I40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936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45422</v>
      </c>
      <c r="C8" s="420"/>
      <c r="D8" s="23" t="s">
        <v>954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6" t="s">
        <v>933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64">
        <v>1</v>
      </c>
      <c r="G70" s="471">
        <f>43.05</f>
        <v>43.05</v>
      </c>
      <c r="H70" s="472"/>
      <c r="I70" s="473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65"/>
      <c r="G71" s="474"/>
      <c r="H71" s="475"/>
      <c r="I71" s="476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68" t="s">
        <v>883</v>
      </c>
      <c r="H72" s="469"/>
      <c r="I72" s="470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66" t="s">
        <v>838</v>
      </c>
      <c r="H73" s="467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66">
        <v>9</v>
      </c>
      <c r="H74" s="467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66">
        <v>5</v>
      </c>
      <c r="H75" s="467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66">
        <f xml:space="preserve"> (13.03 * 2.7)</f>
        <v>35.180999999999997</v>
      </c>
      <c r="H76" s="467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66">
        <v>3</v>
      </c>
      <c r="H77" s="467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66">
        <v>7</v>
      </c>
      <c r="H78" s="467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66">
        <v>21</v>
      </c>
      <c r="H79" s="467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66">
        <v>27</v>
      </c>
      <c r="H80" s="467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66">
        <v>26</v>
      </c>
      <c r="H81" s="467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66">
        <v>1.6</v>
      </c>
      <c r="H82" s="467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66">
        <v>1.6</v>
      </c>
      <c r="H83" s="467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66">
        <v>45</v>
      </c>
      <c r="H84" s="467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66">
        <v>19</v>
      </c>
      <c r="H85" s="467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66">
        <v>19</v>
      </c>
      <c r="H86" s="467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66">
        <v>5</v>
      </c>
      <c r="H87" s="467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66">
        <v>14</v>
      </c>
      <c r="H88" s="467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77">
        <v>36</v>
      </c>
      <c r="H89" s="478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77">
        <v>46</v>
      </c>
      <c r="H90" s="478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66">
        <v>41</v>
      </c>
      <c r="H91" s="467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66">
        <v>27</v>
      </c>
      <c r="H92" s="467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66">
        <v>53</v>
      </c>
      <c r="H93" s="467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66">
        <f xml:space="preserve"> (2.65*1.8)</f>
        <v>4.7699999999999996</v>
      </c>
      <c r="H94" s="467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66">
        <v>30</v>
      </c>
      <c r="H95" s="467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66">
        <v>30</v>
      </c>
      <c r="H96" s="467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66">
        <v>14</v>
      </c>
      <c r="H97" s="467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66">
        <v>14</v>
      </c>
      <c r="H98" s="467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66">
        <v>20</v>
      </c>
      <c r="H99" s="467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66">
        <v>3</v>
      </c>
      <c r="H100" s="467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66">
        <v>4</v>
      </c>
      <c r="H101" s="467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66">
        <v>12</v>
      </c>
      <c r="H102" s="467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66">
        <v>20</v>
      </c>
      <c r="H103" s="467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66">
        <v>4</v>
      </c>
      <c r="H104" s="467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66">
        <v>5</v>
      </c>
      <c r="H105" s="467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66">
        <f>1184.23-SUM(G74:H105)</f>
        <v>582.07900000000006</v>
      </c>
      <c r="H106" s="467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66"/>
      <c r="H107" s="467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7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5"/>
      <c r="I172" s="446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7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7">
        <f>(2*12)+(2*3.79)+(2*8.94)+(2*6.27)+ 1.39+0.99 +(2*1.85)+(2*1.7)+ (2*1.35)</f>
        <v>74.180000000000007</v>
      </c>
      <c r="H174" s="448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7">
        <f>(2*10.92)+(2*10.92)+ 1.3 + 1.1</f>
        <v>46.08</v>
      </c>
      <c r="H175" s="448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7">
        <f>(2*1.87)+(2*1.87)</f>
        <v>7.48</v>
      </c>
      <c r="H176" s="448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7">
        <f>(2*6.55)+(2*6.3)+1.75+1.35+1.19</f>
        <v>29.990000000000002</v>
      </c>
      <c r="H177" s="448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7">
        <f>(2*8.39)+(2*1.7)+ 1.1+ 3.13 + (2*5.24)+ (2*3.11)</f>
        <v>41.11</v>
      </c>
      <c r="H178" s="448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7"/>
      <c r="H179" s="448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7"/>
      <c r="H180" s="448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7"/>
      <c r="H181" s="448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7"/>
      <c r="H182" s="448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7"/>
      <c r="H183" s="448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7"/>
      <c r="H184" s="448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7"/>
      <c r="H185" s="448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7"/>
      <c r="H186" s="448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7"/>
      <c r="H187" s="448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7"/>
      <c r="H188" s="448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7"/>
      <c r="H189" s="448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7"/>
      <c r="H190" s="448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7"/>
      <c r="H191" s="448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7"/>
      <c r="H192" s="448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7"/>
      <c r="H193" s="448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7"/>
      <c r="H194" s="448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7"/>
      <c r="H195" s="448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7"/>
      <c r="H196" s="448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7"/>
      <c r="H197" s="448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7"/>
      <c r="H198" s="448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7"/>
      <c r="H199" s="448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4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4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4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4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4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4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4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5"/>
      <c r="I208" s="446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5"/>
      <c r="I209" s="446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7" t="s">
        <v>679</v>
      </c>
      <c r="H217" s="448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4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4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4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4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4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4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7" t="s">
        <v>686</v>
      </c>
      <c r="H224" s="448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4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4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7" t="s">
        <v>689</v>
      </c>
      <c r="H227" s="448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4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7" t="s">
        <v>691</v>
      </c>
      <c r="H229" s="448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4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4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7" t="s">
        <v>694</v>
      </c>
      <c r="H232" s="448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4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4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4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4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4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4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4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7" t="s">
        <v>702</v>
      </c>
      <c r="H240" s="448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4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4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4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4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4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4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4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5"/>
      <c r="I248" s="446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5"/>
      <c r="I249" s="446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60" t="s">
        <v>874</v>
      </c>
      <c r="H257" s="461"/>
      <c r="I257" s="462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5"/>
      <c r="I258" s="446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5"/>
      <c r="I259" s="446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5"/>
      <c r="I260" s="446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5"/>
      <c r="I261" s="446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5"/>
      <c r="I262" s="446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7" t="s">
        <v>647</v>
      </c>
      <c r="H263" s="448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4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4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4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4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4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4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4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4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4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4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4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4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4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4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4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4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4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4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4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4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4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4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4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4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4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4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4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4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4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4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7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4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4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4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4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4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4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4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5"/>
      <c r="I303" s="446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7" t="s">
        <v>628</v>
      </c>
      <c r="H306" s="448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4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4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4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4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4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4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4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4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4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4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4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4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4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4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4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4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4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4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4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4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4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4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4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5"/>
      <c r="I330" s="446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7" t="s">
        <v>628</v>
      </c>
      <c r="H331" s="448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4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4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4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4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4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4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4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7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5"/>
      <c r="I340" s="446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5"/>
      <c r="I341" s="446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7" t="s">
        <v>706</v>
      </c>
      <c r="H350" s="448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4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4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4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4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4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4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4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4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4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4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4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4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4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4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4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4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4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4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4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4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4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4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4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4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4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4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4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4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4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4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443">
        <f>243.89*0.7</f>
        <v>170.72299999999998</v>
      </c>
      <c r="H385" s="445"/>
      <c r="I385" s="446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443">
        <v>38.520000000000003</v>
      </c>
      <c r="H386" s="445"/>
      <c r="I386" s="446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443">
        <f>288*0.7</f>
        <v>201.6</v>
      </c>
      <c r="H390" s="445"/>
      <c r="I390" s="446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443">
        <v>44.5</v>
      </c>
      <c r="H391" s="445"/>
      <c r="I391" s="446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443">
        <f>0.6*357.5</f>
        <v>214.5</v>
      </c>
      <c r="H392" s="445"/>
      <c r="I392" s="446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96" customFormat="1" ht="22.9" customHeight="1" x14ac:dyDescent="0.25">
      <c r="B394" s="388"/>
      <c r="C394" s="389"/>
      <c r="D394" s="390" t="s">
        <v>953</v>
      </c>
      <c r="E394" s="391"/>
      <c r="F394" s="392">
        <v>1</v>
      </c>
      <c r="G394" s="496">
        <f>0.6* 39.1</f>
        <v>23.46</v>
      </c>
      <c r="H394" s="497"/>
      <c r="I394" s="498"/>
      <c r="J394" s="393"/>
      <c r="K394" s="394">
        <f>F394*G394</f>
        <v>23.46</v>
      </c>
      <c r="L394" s="394"/>
      <c r="M394" s="394"/>
      <c r="N394" s="395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96" customFormat="1" ht="30.6" customHeight="1" x14ac:dyDescent="0.25">
      <c r="B396" s="388"/>
      <c r="C396" s="389"/>
      <c r="D396" s="390" t="s">
        <v>953</v>
      </c>
      <c r="E396" s="391"/>
      <c r="F396" s="392">
        <v>1</v>
      </c>
      <c r="G396" s="496">
        <f>0.6* 692.8</f>
        <v>415.67999999999995</v>
      </c>
      <c r="H396" s="497"/>
      <c r="I396" s="498"/>
      <c r="J396" s="393"/>
      <c r="K396" s="394">
        <f>F396*G396</f>
        <v>415.67999999999995</v>
      </c>
      <c r="L396" s="394"/>
      <c r="M396" s="394"/>
      <c r="N396" s="395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294" t="s">
        <v>937</v>
      </c>
      <c r="E398" s="64"/>
      <c r="F398" s="105">
        <v>1</v>
      </c>
      <c r="G398" s="443">
        <f>671.1*0.7</f>
        <v>469.77</v>
      </c>
      <c r="H398" s="445"/>
      <c r="I398" s="446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294" t="s">
        <v>938</v>
      </c>
      <c r="E399" s="64"/>
      <c r="F399" s="105">
        <v>1</v>
      </c>
      <c r="G399" s="443">
        <v>108.8</v>
      </c>
      <c r="H399" s="445"/>
      <c r="I399" s="446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294" t="s">
        <v>953</v>
      </c>
      <c r="E400" s="64"/>
      <c r="F400" s="105">
        <v>1</v>
      </c>
      <c r="G400" s="443">
        <f>0.6* 95</f>
        <v>57</v>
      </c>
      <c r="H400" s="445"/>
      <c r="I400" s="446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485">
        <f>87.4*0.7</f>
        <v>61.18</v>
      </c>
      <c r="H402" s="486"/>
      <c r="I402" s="487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486">
        <f>13.12*0.7</f>
        <v>9.1839999999999993</v>
      </c>
      <c r="H407" s="486"/>
      <c r="I407" s="487"/>
      <c r="J407" s="99"/>
      <c r="K407" s="82">
        <f>F407*G407</f>
        <v>9.1839999999999993</v>
      </c>
      <c r="L407" s="82"/>
      <c r="M407" s="82"/>
      <c r="N407" s="86"/>
    </row>
    <row r="408" spans="2:14" ht="22.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443">
        <f>K406</f>
        <v>9.1839999999999993</v>
      </c>
      <c r="H409" s="445"/>
      <c r="I409" s="446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443">
        <v>1.5</v>
      </c>
      <c r="H480" s="445"/>
      <c r="I480" s="446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443">
        <v>2.1</v>
      </c>
      <c r="H481" s="445"/>
      <c r="I481" s="446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443">
        <v>1.4</v>
      </c>
      <c r="H482" s="445"/>
      <c r="I482" s="446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443">
        <v>1.4</v>
      </c>
      <c r="H483" s="445"/>
      <c r="I483" s="446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443">
        <v>3.6</v>
      </c>
      <c r="H484" s="445"/>
      <c r="I484" s="446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443">
        <v>3.2</v>
      </c>
      <c r="H485" s="445"/>
      <c r="I485" s="446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485">
        <v>1.6</v>
      </c>
      <c r="H487" s="486"/>
      <c r="I487" s="487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485">
        <v>1.8</v>
      </c>
      <c r="H488" s="486"/>
      <c r="I488" s="487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485">
        <v>3.1</v>
      </c>
      <c r="H489" s="486"/>
      <c r="I489" s="487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485">
        <v>1.8</v>
      </c>
      <c r="H490" s="486"/>
      <c r="I490" s="487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485">
        <v>2.2999999999999998</v>
      </c>
      <c r="H491" s="486"/>
      <c r="I491" s="487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485">
        <v>2.8</v>
      </c>
      <c r="H492" s="486"/>
      <c r="I492" s="487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485">
        <v>1.6</v>
      </c>
      <c r="H494" s="486"/>
      <c r="I494" s="487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485">
        <v>1.8</v>
      </c>
      <c r="H495" s="486"/>
      <c r="I495" s="487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485">
        <v>3.1</v>
      </c>
      <c r="H496" s="486"/>
      <c r="I496" s="487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485">
        <v>1.8</v>
      </c>
      <c r="H497" s="486"/>
      <c r="I497" s="487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485">
        <v>2.2999999999999998</v>
      </c>
      <c r="H498" s="486"/>
      <c r="I498" s="487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485">
        <v>2.8</v>
      </c>
      <c r="H499" s="486"/>
      <c r="I499" s="487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443">
        <f>K413+J413</f>
        <v>846.84500000000003</v>
      </c>
      <c r="H501" s="445"/>
      <c r="I501" s="446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33.7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56.2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35"/>
      <c r="H614" s="435"/>
      <c r="I614" s="436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34">
        <v>11.01</v>
      </c>
      <c r="H620" s="435"/>
      <c r="I620" s="436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34"/>
      <c r="H622" s="435"/>
      <c r="I622" s="436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34">
        <v>67.27</v>
      </c>
      <c r="H623" s="435"/>
      <c r="I623" s="436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34">
        <v>134.43</v>
      </c>
      <c r="H624" s="435"/>
      <c r="I624" s="436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77"/>
      <c r="H629" s="378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477">
        <v>0.41560999999999998</v>
      </c>
      <c r="H630" s="488"/>
      <c r="I630" s="489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77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22.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77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477">
        <v>0.41563</v>
      </c>
      <c r="H633" s="488"/>
      <c r="I633" s="489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77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483">
        <v>8.4384999999999994</v>
      </c>
      <c r="H635" s="483"/>
      <c r="I635" s="484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80"/>
      <c r="H636" s="381"/>
      <c r="I636" s="379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82"/>
      <c r="H637" s="383">
        <v>15.84</v>
      </c>
      <c r="I637" s="384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477"/>
      <c r="H638" s="488"/>
      <c r="I638" s="489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477">
        <v>6.55</v>
      </c>
      <c r="H639" s="488"/>
      <c r="I639" s="489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490"/>
      <c r="H640" s="491"/>
      <c r="I640" s="492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85">
        <v>63.6</v>
      </c>
      <c r="H641" s="386">
        <v>0.5</v>
      </c>
      <c r="I641" s="387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477"/>
      <c r="H642" s="488"/>
      <c r="I642" s="489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477">
        <v>6.3616900000000003</v>
      </c>
      <c r="H643" s="478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75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34">
        <v>110.765</v>
      </c>
      <c r="H645" s="437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34">
        <f>65.43</f>
        <v>65.430000000000007</v>
      </c>
      <c r="H647" s="437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493" t="s">
        <v>836</v>
      </c>
      <c r="H656" s="494"/>
      <c r="I656" s="495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885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45386</v>
      </c>
      <c r="C8" s="420"/>
      <c r="D8" s="23" t="s">
        <v>886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887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935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45386</v>
      </c>
      <c r="C8" s="420"/>
      <c r="D8" s="23" t="s">
        <v>954</v>
      </c>
      <c r="E8" s="421">
        <f>'BOLETIM DE MEDIÇÃO 05'!E8</f>
        <v>103177.48903680005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933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214"/>
  <sheetViews>
    <sheetView tabSelected="1" view="pageBreakPreview" topLeftCell="A194" zoomScale="68" zoomScaleNormal="62" zoomScaleSheetLayoutView="68" workbookViewId="0">
      <selection activeCell="X211" sqref="X211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4" width="14.28515625" customWidth="1"/>
    <col min="15" max="15" width="23.5703125" bestFit="1" customWidth="1"/>
    <col min="16" max="16" width="10.85546875" style="167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hidden="1" customWidth="1"/>
    <col min="23" max="23" width="15.42578125" hidden="1" customWidth="1"/>
    <col min="24" max="24" width="16.5703125" customWidth="1"/>
    <col min="25" max="25" width="18.5703125" customWidth="1"/>
    <col min="26" max="26" width="17.28515625" bestFit="1" customWidth="1"/>
    <col min="28" max="28" width="17.140625" bestFit="1" customWidth="1"/>
  </cols>
  <sheetData>
    <row r="1" spans="2:27" ht="15.75" thickBot="1" x14ac:dyDescent="0.3"/>
    <row r="2" spans="2:27" ht="21" thickBot="1" x14ac:dyDescent="0.3">
      <c r="B2" s="405" t="s">
        <v>965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7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345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7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7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22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7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7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22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7" ht="17.25" thickBot="1" x14ac:dyDescent="0.3">
      <c r="B8" s="419">
        <v>45520</v>
      </c>
      <c r="C8" s="420"/>
      <c r="D8" s="23" t="s">
        <v>984</v>
      </c>
      <c r="E8" s="140">
        <f>X196</f>
        <v>40632.783196400007</v>
      </c>
      <c r="F8" s="138"/>
      <c r="G8" s="139"/>
      <c r="H8" s="141">
        <f>Y196-E8</f>
        <v>448117.19390904997</v>
      </c>
      <c r="I8" s="142"/>
      <c r="J8" s="425">
        <f>Y196-E8</f>
        <v>448117.19390904997</v>
      </c>
      <c r="K8" s="425"/>
      <c r="L8" s="425"/>
      <c r="M8" s="425"/>
      <c r="N8" s="425"/>
      <c r="O8" s="425"/>
      <c r="P8" s="456"/>
      <c r="Q8" s="426" t="s">
        <v>966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7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7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543</v>
      </c>
      <c r="G10" s="481" t="s">
        <v>530</v>
      </c>
      <c r="H10" s="439"/>
      <c r="I10" s="439"/>
      <c r="J10" s="439"/>
      <c r="K10" s="439"/>
      <c r="L10" s="439"/>
      <c r="M10" s="439"/>
      <c r="N10" s="439"/>
      <c r="O10" s="439"/>
      <c r="P10" s="439"/>
      <c r="Q10" s="440" t="s">
        <v>531</v>
      </c>
      <c r="R10" s="441"/>
      <c r="S10" s="441"/>
      <c r="T10" s="441"/>
      <c r="U10" s="441"/>
      <c r="V10" s="441"/>
      <c r="W10" s="441"/>
      <c r="X10" s="441"/>
      <c r="Y10" s="482"/>
      <c r="Z10" s="442"/>
    </row>
    <row r="11" spans="2:27" ht="18" x14ac:dyDescent="0.25">
      <c r="B11" s="429"/>
      <c r="C11" s="429"/>
      <c r="D11" s="431"/>
      <c r="E11" s="429"/>
      <c r="F11" s="433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  <c r="AA11" s="505" t="s">
        <v>987</v>
      </c>
    </row>
    <row r="12" spans="2:27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7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7" ht="22.5" x14ac:dyDescent="0.25">
      <c r="B14" s="346" t="s">
        <v>13</v>
      </c>
      <c r="C14" s="358" t="s">
        <v>14</v>
      </c>
      <c r="D14" s="348" t="s">
        <v>15</v>
      </c>
      <c r="E14" s="349" t="s">
        <v>17</v>
      </c>
      <c r="F14" s="349">
        <v>414.1</v>
      </c>
      <c r="G14" s="349">
        <v>6</v>
      </c>
      <c r="H14" s="350">
        <f>'MEMORIAL DE CALCULO 01'!K14</f>
        <v>6</v>
      </c>
      <c r="I14" s="350"/>
      <c r="J14" s="350"/>
      <c r="K14" s="351"/>
      <c r="L14" s="351"/>
      <c r="M14" s="351"/>
      <c r="N14" s="349"/>
      <c r="O14" s="349">
        <f>H14+I14+J14+K14+L14+M14+N14</f>
        <v>6</v>
      </c>
      <c r="P14" s="206">
        <f>G14-O14</f>
        <v>0</v>
      </c>
      <c r="Q14" s="349">
        <f>F14*G14</f>
        <v>2484.6000000000004</v>
      </c>
      <c r="R14" s="352">
        <f>F14*H14</f>
        <v>2484.6000000000004</v>
      </c>
      <c r="S14" s="352">
        <f>F14*I14</f>
        <v>0</v>
      </c>
      <c r="T14" s="352">
        <f>TRUNC(F14*J14,2)</f>
        <v>0</v>
      </c>
      <c r="U14" s="352">
        <f>TRUNC(F14*K14,2)</f>
        <v>0</v>
      </c>
      <c r="V14" s="352">
        <f>TRUNC(F14*L14,2)</f>
        <v>0</v>
      </c>
      <c r="W14" s="352">
        <f>M14*F14</f>
        <v>0</v>
      </c>
      <c r="X14" s="352">
        <f>F14*N14</f>
        <v>0</v>
      </c>
      <c r="Y14" s="353">
        <f>R14+S14+T14+U14+V14+W14+X14</f>
        <v>2484.6000000000004</v>
      </c>
      <c r="Z14" s="354">
        <f>Q14-Y14</f>
        <v>0</v>
      </c>
      <c r="AA14" s="506">
        <f>Y14/Q14</f>
        <v>1</v>
      </c>
    </row>
    <row r="15" spans="2:27" ht="22.5" x14ac:dyDescent="0.25">
      <c r="B15" s="346" t="s">
        <v>18</v>
      </c>
      <c r="C15" s="358">
        <v>93209</v>
      </c>
      <c r="D15" s="348" t="s">
        <v>20</v>
      </c>
      <c r="E15" s="349" t="s">
        <v>17</v>
      </c>
      <c r="F15" s="349">
        <v>947.21</v>
      </c>
      <c r="G15" s="349">
        <v>5</v>
      </c>
      <c r="H15" s="350">
        <v>2.25</v>
      </c>
      <c r="I15" s="350">
        <f>'MEMORIAL DE CALCULO 02'!K15</f>
        <v>2.75</v>
      </c>
      <c r="J15" s="350"/>
      <c r="K15" s="351"/>
      <c r="L15" s="351"/>
      <c r="M15" s="351"/>
      <c r="N15" s="349"/>
      <c r="O15" s="349">
        <f t="shared" ref="O15:O78" si="0">H15+I15+J15+K15+L15+M15+N15</f>
        <v>5</v>
      </c>
      <c r="P15" s="206">
        <f t="shared" ref="P15:P78" si="1">G15-O15</f>
        <v>0</v>
      </c>
      <c r="Q15" s="349">
        <f t="shared" ref="Q15:Q78" si="2">F15*G15</f>
        <v>4736.05</v>
      </c>
      <c r="R15" s="352">
        <f t="shared" ref="R15:R78" si="3">F15*H15</f>
        <v>2131.2224999999999</v>
      </c>
      <c r="S15" s="352">
        <f t="shared" ref="S15:S78" si="4">F15*I15</f>
        <v>2604.8275000000003</v>
      </c>
      <c r="T15" s="352">
        <f t="shared" ref="T15:T78" si="5">F15*J15</f>
        <v>0</v>
      </c>
      <c r="U15" s="352">
        <f t="shared" ref="U15:U78" si="6">TRUNC(F15*K15,2)</f>
        <v>0</v>
      </c>
      <c r="V15" s="352">
        <f t="shared" ref="V15:V78" si="7">TRUNC(F15*L15,2)</f>
        <v>0</v>
      </c>
      <c r="W15" s="352">
        <f t="shared" ref="W15:W78" si="8">M15*F15</f>
        <v>0</v>
      </c>
      <c r="X15" s="352">
        <f t="shared" ref="X15:X78" si="9">F15*N15</f>
        <v>0</v>
      </c>
      <c r="Y15" s="353">
        <f t="shared" ref="Y15:Y78" si="10">R15+S15+T15+U15+V15+W15+X15</f>
        <v>4736.05</v>
      </c>
      <c r="Z15" s="354">
        <f t="shared" ref="Z15:Z78" si="11">Q15-Y15</f>
        <v>0</v>
      </c>
      <c r="AA15" s="506">
        <f t="shared" ref="AA15:AA78" si="12">Y15/Q15</f>
        <v>1</v>
      </c>
    </row>
    <row r="16" spans="2:27" ht="33.75" x14ac:dyDescent="0.25">
      <c r="B16" s="346" t="s">
        <v>22</v>
      </c>
      <c r="C16" s="358">
        <v>93206</v>
      </c>
      <c r="D16" s="348" t="s">
        <v>23</v>
      </c>
      <c r="E16" s="349" t="s">
        <v>17</v>
      </c>
      <c r="F16" s="349">
        <v>1086.7</v>
      </c>
      <c r="G16" s="349">
        <v>5</v>
      </c>
      <c r="H16" s="350">
        <v>2.25</v>
      </c>
      <c r="I16" s="350">
        <f>'MEMORIAL DE CALCULO 02'!K16</f>
        <v>2.75</v>
      </c>
      <c r="J16" s="350"/>
      <c r="K16" s="351"/>
      <c r="L16" s="351"/>
      <c r="M16" s="351"/>
      <c r="N16" s="349"/>
      <c r="O16" s="349">
        <f t="shared" si="0"/>
        <v>5</v>
      </c>
      <c r="P16" s="206">
        <f t="shared" si="1"/>
        <v>0</v>
      </c>
      <c r="Q16" s="349">
        <f t="shared" si="2"/>
        <v>5433.5</v>
      </c>
      <c r="R16" s="352">
        <f t="shared" si="3"/>
        <v>2445.0750000000003</v>
      </c>
      <c r="S16" s="352">
        <f t="shared" si="4"/>
        <v>2988.4250000000002</v>
      </c>
      <c r="T16" s="352">
        <f t="shared" si="5"/>
        <v>0</v>
      </c>
      <c r="U16" s="352">
        <f t="shared" si="6"/>
        <v>0</v>
      </c>
      <c r="V16" s="352">
        <f t="shared" si="7"/>
        <v>0</v>
      </c>
      <c r="W16" s="352">
        <f t="shared" si="8"/>
        <v>0</v>
      </c>
      <c r="X16" s="352">
        <f t="shared" si="9"/>
        <v>0</v>
      </c>
      <c r="Y16" s="353">
        <f t="shared" si="10"/>
        <v>5433.5</v>
      </c>
      <c r="Z16" s="354">
        <f t="shared" si="11"/>
        <v>0</v>
      </c>
      <c r="AA16" s="506">
        <f t="shared" si="12"/>
        <v>1</v>
      </c>
    </row>
    <row r="17" spans="1:29" ht="22.5" x14ac:dyDescent="0.25">
      <c r="B17" s="346" t="s">
        <v>24</v>
      </c>
      <c r="C17" s="358" t="s">
        <v>25</v>
      </c>
      <c r="D17" s="348" t="s">
        <v>26</v>
      </c>
      <c r="E17" s="349" t="s">
        <v>17</v>
      </c>
      <c r="F17" s="349">
        <v>102.24</v>
      </c>
      <c r="G17" s="349">
        <v>277.39999999999998</v>
      </c>
      <c r="H17" s="350">
        <v>258.39999999999998</v>
      </c>
      <c r="I17" s="350">
        <f>'MEMORIAL DE CALCULO 02'!K17</f>
        <v>19</v>
      </c>
      <c r="J17" s="350"/>
      <c r="K17" s="351"/>
      <c r="L17" s="351"/>
      <c r="M17" s="351"/>
      <c r="N17" s="349"/>
      <c r="O17" s="349">
        <f t="shared" si="0"/>
        <v>277.39999999999998</v>
      </c>
      <c r="P17" s="206">
        <f t="shared" si="1"/>
        <v>0</v>
      </c>
      <c r="Q17" s="349">
        <f t="shared" si="2"/>
        <v>28361.375999999997</v>
      </c>
      <c r="R17" s="352">
        <f t="shared" si="3"/>
        <v>26418.815999999995</v>
      </c>
      <c r="S17" s="352">
        <f t="shared" si="4"/>
        <v>1942.56</v>
      </c>
      <c r="T17" s="352">
        <f t="shared" si="5"/>
        <v>0</v>
      </c>
      <c r="U17" s="352">
        <f t="shared" si="6"/>
        <v>0</v>
      </c>
      <c r="V17" s="352">
        <f t="shared" si="7"/>
        <v>0</v>
      </c>
      <c r="W17" s="352">
        <f t="shared" si="8"/>
        <v>0</v>
      </c>
      <c r="X17" s="352">
        <f t="shared" si="9"/>
        <v>0</v>
      </c>
      <c r="Y17" s="353">
        <f t="shared" si="10"/>
        <v>28361.375999999997</v>
      </c>
      <c r="Z17" s="354">
        <f t="shared" si="11"/>
        <v>0</v>
      </c>
      <c r="AA17" s="506">
        <f t="shared" si="12"/>
        <v>1</v>
      </c>
    </row>
    <row r="18" spans="1:29" s="164" customFormat="1" ht="22.5" x14ac:dyDescent="0.25">
      <c r="B18" s="346" t="s">
        <v>27</v>
      </c>
      <c r="C18" s="358">
        <v>98524</v>
      </c>
      <c r="D18" s="348" t="s">
        <v>28</v>
      </c>
      <c r="E18" s="349" t="s">
        <v>17</v>
      </c>
      <c r="F18" s="349">
        <v>2.29</v>
      </c>
      <c r="G18" s="349">
        <v>1430.2</v>
      </c>
      <c r="H18" s="350"/>
      <c r="I18" s="350"/>
      <c r="J18" s="350"/>
      <c r="K18" s="351"/>
      <c r="L18" s="351"/>
      <c r="M18" s="351"/>
      <c r="N18" s="349"/>
      <c r="O18" s="349">
        <f t="shared" si="0"/>
        <v>0</v>
      </c>
      <c r="P18" s="206">
        <f t="shared" si="1"/>
        <v>1430.2</v>
      </c>
      <c r="Q18" s="349">
        <f t="shared" si="2"/>
        <v>3275.1580000000004</v>
      </c>
      <c r="R18" s="352">
        <f t="shared" si="3"/>
        <v>0</v>
      </c>
      <c r="S18" s="352">
        <f t="shared" si="4"/>
        <v>0</v>
      </c>
      <c r="T18" s="352">
        <f t="shared" si="5"/>
        <v>0</v>
      </c>
      <c r="U18" s="352">
        <f t="shared" si="6"/>
        <v>0</v>
      </c>
      <c r="V18" s="352">
        <f t="shared" si="7"/>
        <v>0</v>
      </c>
      <c r="W18" s="352">
        <f t="shared" si="8"/>
        <v>0</v>
      </c>
      <c r="X18" s="352">
        <f t="shared" si="9"/>
        <v>0</v>
      </c>
      <c r="Y18" s="353">
        <f t="shared" si="10"/>
        <v>0</v>
      </c>
      <c r="Z18" s="354">
        <f t="shared" si="11"/>
        <v>3275.1580000000004</v>
      </c>
      <c r="AA18" s="506">
        <f t="shared" si="12"/>
        <v>0</v>
      </c>
    </row>
    <row r="19" spans="1:29" s="164" customFormat="1" ht="22.5" x14ac:dyDescent="0.25">
      <c r="B19" s="346" t="s">
        <v>29</v>
      </c>
      <c r="C19" s="347">
        <v>100575</v>
      </c>
      <c r="D19" s="348" t="s">
        <v>31</v>
      </c>
      <c r="E19" s="349" t="s">
        <v>17</v>
      </c>
      <c r="F19" s="349">
        <v>0.12</v>
      </c>
      <c r="G19" s="349">
        <v>1430.2</v>
      </c>
      <c r="H19" s="350"/>
      <c r="I19" s="350"/>
      <c r="J19" s="350"/>
      <c r="K19" s="351"/>
      <c r="L19" s="351"/>
      <c r="M19" s="351"/>
      <c r="N19" s="349"/>
      <c r="O19" s="349">
        <f t="shared" si="0"/>
        <v>0</v>
      </c>
      <c r="P19" s="206">
        <f t="shared" si="1"/>
        <v>1430.2</v>
      </c>
      <c r="Q19" s="349">
        <f t="shared" si="2"/>
        <v>171.624</v>
      </c>
      <c r="R19" s="352">
        <f t="shared" si="3"/>
        <v>0</v>
      </c>
      <c r="S19" s="352">
        <f t="shared" si="4"/>
        <v>0</v>
      </c>
      <c r="T19" s="352">
        <f t="shared" si="5"/>
        <v>0</v>
      </c>
      <c r="U19" s="352">
        <f t="shared" si="6"/>
        <v>0</v>
      </c>
      <c r="V19" s="352">
        <f t="shared" si="7"/>
        <v>0</v>
      </c>
      <c r="W19" s="352">
        <f t="shared" si="8"/>
        <v>0</v>
      </c>
      <c r="X19" s="352">
        <f t="shared" si="9"/>
        <v>0</v>
      </c>
      <c r="Y19" s="353">
        <f t="shared" si="10"/>
        <v>0</v>
      </c>
      <c r="Z19" s="354">
        <f t="shared" si="11"/>
        <v>171.624</v>
      </c>
      <c r="AA19" s="506">
        <f t="shared" si="12"/>
        <v>0</v>
      </c>
    </row>
    <row r="20" spans="1:29" ht="14.45" customHeight="1" x14ac:dyDescent="0.25">
      <c r="B20" s="356" t="s">
        <v>32</v>
      </c>
      <c r="C20" s="357" t="s">
        <v>33</v>
      </c>
      <c r="D20" s="348"/>
      <c r="E20" s="349"/>
      <c r="F20" s="349"/>
      <c r="G20" s="349"/>
      <c r="H20" s="350"/>
      <c r="I20" s="350"/>
      <c r="J20" s="350"/>
      <c r="K20" s="351"/>
      <c r="L20" s="351"/>
      <c r="M20" s="351"/>
      <c r="N20" s="349"/>
      <c r="O20" s="349"/>
      <c r="P20" s="206"/>
      <c r="Q20" s="349"/>
      <c r="R20" s="352">
        <f t="shared" si="3"/>
        <v>0</v>
      </c>
      <c r="S20" s="352">
        <f t="shared" si="4"/>
        <v>0</v>
      </c>
      <c r="T20" s="352">
        <f t="shared" si="5"/>
        <v>0</v>
      </c>
      <c r="U20" s="352">
        <f t="shared" si="6"/>
        <v>0</v>
      </c>
      <c r="V20" s="352">
        <f t="shared" si="7"/>
        <v>0</v>
      </c>
      <c r="W20" s="352">
        <f t="shared" si="8"/>
        <v>0</v>
      </c>
      <c r="X20" s="352">
        <f t="shared" si="9"/>
        <v>0</v>
      </c>
      <c r="Y20" s="353">
        <f t="shared" si="10"/>
        <v>0</v>
      </c>
      <c r="Z20" s="354">
        <f t="shared" si="11"/>
        <v>0</v>
      </c>
      <c r="AA20" s="506"/>
    </row>
    <row r="21" spans="1:29" ht="32.450000000000003" customHeight="1" x14ac:dyDescent="0.25">
      <c r="B21" s="346" t="s">
        <v>34</v>
      </c>
      <c r="C21" s="347">
        <v>99059</v>
      </c>
      <c r="D21" s="348" t="s">
        <v>36</v>
      </c>
      <c r="E21" s="349" t="s">
        <v>37</v>
      </c>
      <c r="F21" s="349">
        <v>52.4</v>
      </c>
      <c r="G21" s="349">
        <v>137.5</v>
      </c>
      <c r="H21" s="350">
        <f>'MEMORIAL DE CALCULO 01'!K22</f>
        <v>137.5</v>
      </c>
      <c r="I21" s="350"/>
      <c r="J21" s="350"/>
      <c r="K21" s="351"/>
      <c r="L21" s="351"/>
      <c r="M21" s="351"/>
      <c r="N21" s="349"/>
      <c r="O21" s="349">
        <f t="shared" si="0"/>
        <v>137.5</v>
      </c>
      <c r="P21" s="206">
        <f t="shared" si="1"/>
        <v>0</v>
      </c>
      <c r="Q21" s="349">
        <f t="shared" si="2"/>
        <v>7205</v>
      </c>
      <c r="R21" s="352">
        <f t="shared" si="3"/>
        <v>7205</v>
      </c>
      <c r="S21" s="352">
        <f t="shared" si="4"/>
        <v>0</v>
      </c>
      <c r="T21" s="352">
        <f t="shared" si="5"/>
        <v>0</v>
      </c>
      <c r="U21" s="352">
        <f t="shared" si="6"/>
        <v>0</v>
      </c>
      <c r="V21" s="352">
        <f t="shared" si="7"/>
        <v>0</v>
      </c>
      <c r="W21" s="352">
        <f t="shared" si="8"/>
        <v>0</v>
      </c>
      <c r="X21" s="352">
        <f t="shared" si="9"/>
        <v>0</v>
      </c>
      <c r="Y21" s="353">
        <f t="shared" si="10"/>
        <v>7205</v>
      </c>
      <c r="Z21" s="354">
        <f t="shared" si="11"/>
        <v>0</v>
      </c>
      <c r="AA21" s="506">
        <f t="shared" si="12"/>
        <v>1</v>
      </c>
    </row>
    <row r="22" spans="1:29" s="168" customFormat="1" ht="22.5" x14ac:dyDescent="0.25">
      <c r="A22" s="163"/>
      <c r="B22" s="374" t="s">
        <v>38</v>
      </c>
      <c r="C22" s="347">
        <v>93358</v>
      </c>
      <c r="D22" s="348" t="s">
        <v>40</v>
      </c>
      <c r="E22" s="349" t="s">
        <v>41</v>
      </c>
      <c r="F22" s="349">
        <v>64.95</v>
      </c>
      <c r="G22" s="349">
        <v>89.01</v>
      </c>
      <c r="H22" s="350">
        <f>'MEMORIAL DE CALCULO 01'!K23</f>
        <v>69.939250000000001</v>
      </c>
      <c r="I22" s="350">
        <f>'MEMORIAL DE CALCULO 02'!K25</f>
        <v>1.2053699999999998</v>
      </c>
      <c r="J22" s="350">
        <f>'MEMORIAL DE CALCULO 03'!K25</f>
        <v>14.04</v>
      </c>
      <c r="K22" s="351"/>
      <c r="L22" s="351"/>
      <c r="M22" s="351"/>
      <c r="N22" s="349"/>
      <c r="O22" s="349">
        <f t="shared" si="0"/>
        <v>85.184619999999995</v>
      </c>
      <c r="P22" s="206">
        <f t="shared" si="1"/>
        <v>3.8253800000000098</v>
      </c>
      <c r="Q22" s="349">
        <f t="shared" si="2"/>
        <v>5781.1995000000006</v>
      </c>
      <c r="R22" s="352">
        <f t="shared" si="3"/>
        <v>4542.5542875000001</v>
      </c>
      <c r="S22" s="352">
        <f t="shared" si="4"/>
        <v>78.288781499999999</v>
      </c>
      <c r="T22" s="352">
        <f t="shared" si="5"/>
        <v>911.89800000000002</v>
      </c>
      <c r="U22" s="352">
        <f t="shared" si="6"/>
        <v>0</v>
      </c>
      <c r="V22" s="352">
        <f t="shared" si="7"/>
        <v>0</v>
      </c>
      <c r="W22" s="352">
        <f t="shared" si="8"/>
        <v>0</v>
      </c>
      <c r="X22" s="352">
        <f t="shared" si="9"/>
        <v>0</v>
      </c>
      <c r="Y22" s="353">
        <f t="shared" si="10"/>
        <v>5532.7410690000006</v>
      </c>
      <c r="Z22" s="354">
        <f t="shared" si="11"/>
        <v>248.45843100000002</v>
      </c>
      <c r="AA22" s="506">
        <f t="shared" si="12"/>
        <v>0.9570230311200989</v>
      </c>
      <c r="AB22" s="163"/>
      <c r="AC22" s="163"/>
    </row>
    <row r="23" spans="1:29" s="168" customFormat="1" x14ac:dyDescent="0.25">
      <c r="A23" s="163"/>
      <c r="B23" s="346" t="s">
        <v>42</v>
      </c>
      <c r="C23" s="347">
        <v>96995</v>
      </c>
      <c r="D23" s="348" t="s">
        <v>44</v>
      </c>
      <c r="E23" s="349" t="s">
        <v>41</v>
      </c>
      <c r="F23" s="349">
        <v>39.369999999999997</v>
      </c>
      <c r="G23" s="349">
        <v>44.26</v>
      </c>
      <c r="H23" s="350"/>
      <c r="I23" s="350"/>
      <c r="J23" s="350">
        <f>'MEMORIAL DE CALCULO 03'!K68</f>
        <v>43.05</v>
      </c>
      <c r="K23" s="351"/>
      <c r="L23" s="351"/>
      <c r="M23" s="351"/>
      <c r="N23" s="349"/>
      <c r="O23" s="349">
        <f t="shared" si="0"/>
        <v>43.05</v>
      </c>
      <c r="P23" s="206">
        <f t="shared" si="1"/>
        <v>1.2100000000000009</v>
      </c>
      <c r="Q23" s="349">
        <f t="shared" si="2"/>
        <v>1742.5161999999998</v>
      </c>
      <c r="R23" s="352">
        <f t="shared" si="3"/>
        <v>0</v>
      </c>
      <c r="S23" s="352">
        <f t="shared" si="4"/>
        <v>0</v>
      </c>
      <c r="T23" s="352">
        <f t="shared" si="5"/>
        <v>1694.8784999999998</v>
      </c>
      <c r="U23" s="352">
        <f t="shared" si="6"/>
        <v>0</v>
      </c>
      <c r="V23" s="352">
        <f t="shared" si="7"/>
        <v>0</v>
      </c>
      <c r="W23" s="352">
        <f t="shared" si="8"/>
        <v>0</v>
      </c>
      <c r="X23" s="352">
        <f t="shared" si="9"/>
        <v>0</v>
      </c>
      <c r="Y23" s="353">
        <f t="shared" si="10"/>
        <v>1694.8784999999998</v>
      </c>
      <c r="Z23" s="354">
        <f t="shared" si="11"/>
        <v>47.637699999999995</v>
      </c>
      <c r="AA23" s="506">
        <f t="shared" si="12"/>
        <v>0.97266154541346583</v>
      </c>
      <c r="AB23" s="163"/>
      <c r="AC23" s="163"/>
    </row>
    <row r="24" spans="1:29" s="169" customFormat="1" ht="22.5" x14ac:dyDescent="0.25">
      <c r="A24" s="164"/>
      <c r="B24" s="346" t="s">
        <v>45</v>
      </c>
      <c r="C24" s="347">
        <v>94319</v>
      </c>
      <c r="D24" s="348" t="s">
        <v>47</v>
      </c>
      <c r="E24" s="349" t="s">
        <v>41</v>
      </c>
      <c r="F24" s="349">
        <v>74.510000000000005</v>
      </c>
      <c r="G24" s="349">
        <v>93.63</v>
      </c>
      <c r="H24" s="350"/>
      <c r="I24" s="350"/>
      <c r="J24" s="350"/>
      <c r="K24" s="351">
        <v>0</v>
      </c>
      <c r="L24" s="351"/>
      <c r="M24" s="351"/>
      <c r="N24" s="349"/>
      <c r="O24" s="349">
        <f t="shared" si="0"/>
        <v>0</v>
      </c>
      <c r="P24" s="206">
        <f t="shared" si="1"/>
        <v>93.63</v>
      </c>
      <c r="Q24" s="349">
        <f t="shared" si="2"/>
        <v>6976.3712999999998</v>
      </c>
      <c r="R24" s="352">
        <f t="shared" si="3"/>
        <v>0</v>
      </c>
      <c r="S24" s="352">
        <f t="shared" si="4"/>
        <v>0</v>
      </c>
      <c r="T24" s="352">
        <f t="shared" si="5"/>
        <v>0</v>
      </c>
      <c r="U24" s="352">
        <f t="shared" si="6"/>
        <v>0</v>
      </c>
      <c r="V24" s="352">
        <f t="shared" si="7"/>
        <v>0</v>
      </c>
      <c r="W24" s="352">
        <f t="shared" si="8"/>
        <v>0</v>
      </c>
      <c r="X24" s="352">
        <f t="shared" si="9"/>
        <v>0</v>
      </c>
      <c r="Y24" s="353">
        <f t="shared" si="10"/>
        <v>0</v>
      </c>
      <c r="Z24" s="354">
        <f t="shared" si="11"/>
        <v>6976.3712999999998</v>
      </c>
      <c r="AA24" s="506">
        <f t="shared" si="12"/>
        <v>0</v>
      </c>
      <c r="AB24" s="164"/>
      <c r="AC24" s="164"/>
    </row>
    <row r="25" spans="1:29" s="167" customFormat="1" x14ac:dyDescent="0.25">
      <c r="A25"/>
      <c r="B25" s="356" t="s">
        <v>48</v>
      </c>
      <c r="C25" s="357" t="s">
        <v>49</v>
      </c>
      <c r="D25" s="348"/>
      <c r="E25" s="349"/>
      <c r="F25" s="349"/>
      <c r="G25" s="349"/>
      <c r="H25" s="350"/>
      <c r="I25" s="350"/>
      <c r="J25" s="350"/>
      <c r="K25" s="351"/>
      <c r="L25" s="351"/>
      <c r="M25" s="351"/>
      <c r="N25" s="349"/>
      <c r="O25" s="349"/>
      <c r="P25" s="206"/>
      <c r="Q25" s="349"/>
      <c r="R25" s="352">
        <f t="shared" si="3"/>
        <v>0</v>
      </c>
      <c r="S25" s="352">
        <f t="shared" si="4"/>
        <v>0</v>
      </c>
      <c r="T25" s="352">
        <f t="shared" si="5"/>
        <v>0</v>
      </c>
      <c r="U25" s="352">
        <f t="shared" si="6"/>
        <v>0</v>
      </c>
      <c r="V25" s="352">
        <f t="shared" si="7"/>
        <v>0</v>
      </c>
      <c r="W25" s="352">
        <f t="shared" si="8"/>
        <v>0</v>
      </c>
      <c r="X25" s="352">
        <f t="shared" si="9"/>
        <v>0</v>
      </c>
      <c r="Y25" s="353">
        <f t="shared" si="10"/>
        <v>0</v>
      </c>
      <c r="Z25" s="354">
        <f t="shared" si="11"/>
        <v>0</v>
      </c>
      <c r="AA25" s="506"/>
      <c r="AB25"/>
      <c r="AC25"/>
    </row>
    <row r="26" spans="1:29" s="168" customFormat="1" ht="43.15" customHeight="1" x14ac:dyDescent="0.25">
      <c r="A26" s="163"/>
      <c r="B26" s="346" t="s">
        <v>50</v>
      </c>
      <c r="C26" s="358" t="s">
        <v>51</v>
      </c>
      <c r="D26" s="348" t="s">
        <v>52</v>
      </c>
      <c r="E26" s="349" t="s">
        <v>41</v>
      </c>
      <c r="F26" s="349">
        <v>411.48</v>
      </c>
      <c r="G26" s="349">
        <v>13.99</v>
      </c>
      <c r="H26" s="350"/>
      <c r="I26" s="350">
        <f>'MEMORIAL DE CALCULO 02'!K54</f>
        <v>7.3434100000000004</v>
      </c>
      <c r="J26" s="350">
        <v>6.6420000000000003</v>
      </c>
      <c r="K26" s="351"/>
      <c r="L26" s="351"/>
      <c r="M26" s="351"/>
      <c r="N26" s="349"/>
      <c r="O26" s="349">
        <f t="shared" si="0"/>
        <v>13.985410000000002</v>
      </c>
      <c r="P26" s="206">
        <f t="shared" si="1"/>
        <v>4.5899999999985397E-3</v>
      </c>
      <c r="Q26" s="349">
        <f t="shared" si="2"/>
        <v>5756.6052</v>
      </c>
      <c r="R26" s="352">
        <f t="shared" si="3"/>
        <v>0</v>
      </c>
      <c r="S26" s="352">
        <f t="shared" si="4"/>
        <v>3021.6663468000002</v>
      </c>
      <c r="T26" s="352">
        <f>TRUNC(F26*J26,2)</f>
        <v>2733.05</v>
      </c>
      <c r="U26" s="352">
        <f t="shared" si="6"/>
        <v>0</v>
      </c>
      <c r="V26" s="352">
        <f t="shared" si="7"/>
        <v>0</v>
      </c>
      <c r="W26" s="352">
        <f t="shared" si="8"/>
        <v>0</v>
      </c>
      <c r="X26" s="352">
        <f t="shared" si="9"/>
        <v>0</v>
      </c>
      <c r="Y26" s="353">
        <f t="shared" si="10"/>
        <v>5754.7163467999999</v>
      </c>
      <c r="Z26" s="354">
        <f t="shared" si="11"/>
        <v>1.8888532000000851</v>
      </c>
      <c r="AA26" s="506">
        <f t="shared" si="12"/>
        <v>0.99967188071191682</v>
      </c>
      <c r="AB26" s="163"/>
      <c r="AC26" s="163"/>
    </row>
    <row r="27" spans="1:29" ht="25.15" customHeight="1" x14ac:dyDescent="0.25">
      <c r="B27" s="346" t="s">
        <v>53</v>
      </c>
      <c r="C27" s="347">
        <v>101616</v>
      </c>
      <c r="D27" s="348" t="s">
        <v>55</v>
      </c>
      <c r="E27" s="349" t="s">
        <v>17</v>
      </c>
      <c r="F27" s="349">
        <v>4.91</v>
      </c>
      <c r="G27" s="349">
        <v>37.81</v>
      </c>
      <c r="H27" s="350"/>
      <c r="I27" s="350">
        <v>37.81</v>
      </c>
      <c r="J27" s="350"/>
      <c r="K27" s="351"/>
      <c r="L27" s="351"/>
      <c r="M27" s="351"/>
      <c r="N27" s="349"/>
      <c r="O27" s="349">
        <f t="shared" si="0"/>
        <v>37.81</v>
      </c>
      <c r="P27" s="206">
        <f t="shared" si="1"/>
        <v>0</v>
      </c>
      <c r="Q27" s="349">
        <f t="shared" si="2"/>
        <v>185.64710000000002</v>
      </c>
      <c r="R27" s="352">
        <f t="shared" si="3"/>
        <v>0</v>
      </c>
      <c r="S27" s="352">
        <f t="shared" si="4"/>
        <v>185.64710000000002</v>
      </c>
      <c r="T27" s="352">
        <f t="shared" si="5"/>
        <v>0</v>
      </c>
      <c r="U27" s="352">
        <f t="shared" si="6"/>
        <v>0</v>
      </c>
      <c r="V27" s="352">
        <f t="shared" si="7"/>
        <v>0</v>
      </c>
      <c r="W27" s="352">
        <f t="shared" si="8"/>
        <v>0</v>
      </c>
      <c r="X27" s="352">
        <f t="shared" si="9"/>
        <v>0</v>
      </c>
      <c r="Y27" s="353">
        <f t="shared" si="10"/>
        <v>185.64710000000002</v>
      </c>
      <c r="Z27" s="354">
        <f t="shared" si="11"/>
        <v>0</v>
      </c>
      <c r="AA27" s="506">
        <f t="shared" si="12"/>
        <v>1</v>
      </c>
    </row>
    <row r="28" spans="1:29" s="164" customFormat="1" ht="30" customHeight="1" x14ac:dyDescent="0.25">
      <c r="B28" s="346" t="s">
        <v>56</v>
      </c>
      <c r="C28" s="347">
        <v>96619</v>
      </c>
      <c r="D28" s="355" t="s">
        <v>58</v>
      </c>
      <c r="E28" s="349" t="s">
        <v>17</v>
      </c>
      <c r="F28" s="349">
        <v>30.67</v>
      </c>
      <c r="G28" s="349">
        <v>77.41</v>
      </c>
      <c r="H28" s="350"/>
      <c r="I28" s="350">
        <v>37.81</v>
      </c>
      <c r="J28" s="350"/>
      <c r="K28" s="278"/>
      <c r="L28" s="278"/>
      <c r="M28" s="278"/>
      <c r="N28" s="278"/>
      <c r="O28" s="349">
        <f t="shared" si="0"/>
        <v>37.81</v>
      </c>
      <c r="P28" s="206">
        <f t="shared" si="1"/>
        <v>39.599999999999994</v>
      </c>
      <c r="Q28" s="349">
        <f t="shared" si="2"/>
        <v>2374.1646999999998</v>
      </c>
      <c r="R28" s="352">
        <f t="shared" si="3"/>
        <v>0</v>
      </c>
      <c r="S28" s="352">
        <f t="shared" si="4"/>
        <v>1159.6327000000001</v>
      </c>
      <c r="T28" s="352">
        <f t="shared" si="5"/>
        <v>0</v>
      </c>
      <c r="U28" s="352">
        <f t="shared" si="6"/>
        <v>0</v>
      </c>
      <c r="V28" s="352">
        <f t="shared" si="7"/>
        <v>0</v>
      </c>
      <c r="W28" s="352">
        <f t="shared" si="8"/>
        <v>0</v>
      </c>
      <c r="X28" s="352">
        <f t="shared" si="9"/>
        <v>0</v>
      </c>
      <c r="Y28" s="353">
        <f t="shared" si="10"/>
        <v>1159.6327000000001</v>
      </c>
      <c r="Z28" s="354">
        <f t="shared" si="11"/>
        <v>1214.5319999999997</v>
      </c>
      <c r="AA28" s="506">
        <f t="shared" si="12"/>
        <v>0.48843818628084235</v>
      </c>
    </row>
    <row r="29" spans="1:29" s="163" customFormat="1" ht="22.5" x14ac:dyDescent="0.25">
      <c r="B29" s="346" t="s">
        <v>59</v>
      </c>
      <c r="C29" s="347">
        <v>96545</v>
      </c>
      <c r="D29" s="348" t="s">
        <v>61</v>
      </c>
      <c r="E29" s="349" t="s">
        <v>62</v>
      </c>
      <c r="F29" s="349">
        <v>15.99</v>
      </c>
      <c r="G29" s="349">
        <v>537.29999999999995</v>
      </c>
      <c r="H29" s="350"/>
      <c r="I29" s="350">
        <f>'MEMORIAL DE CALCULO 02'!K90</f>
        <v>44.520449999999997</v>
      </c>
      <c r="J29" s="350">
        <v>492.77940000000001</v>
      </c>
      <c r="K29" s="351"/>
      <c r="L29" s="351"/>
      <c r="M29" s="351"/>
      <c r="N29" s="349"/>
      <c r="O29" s="349">
        <f t="shared" si="0"/>
        <v>537.29984999999999</v>
      </c>
      <c r="P29" s="206">
        <f t="shared" si="1"/>
        <v>1.4999999996234692E-4</v>
      </c>
      <c r="Q29" s="349">
        <f t="shared" si="2"/>
        <v>8591.4269999999997</v>
      </c>
      <c r="R29" s="352">
        <f t="shared" si="3"/>
        <v>0</v>
      </c>
      <c r="S29" s="352">
        <f t="shared" si="4"/>
        <v>711.8819954999999</v>
      </c>
      <c r="T29" s="352">
        <f t="shared" si="5"/>
        <v>7879.542606</v>
      </c>
      <c r="U29" s="352">
        <f t="shared" si="6"/>
        <v>0</v>
      </c>
      <c r="V29" s="352">
        <f t="shared" si="7"/>
        <v>0</v>
      </c>
      <c r="W29" s="352">
        <f t="shared" si="8"/>
        <v>0</v>
      </c>
      <c r="X29" s="352">
        <f t="shared" si="9"/>
        <v>0</v>
      </c>
      <c r="Y29" s="353">
        <f t="shared" si="10"/>
        <v>8591.424601499999</v>
      </c>
      <c r="Z29" s="354">
        <f t="shared" si="11"/>
        <v>2.3985000007087365E-3</v>
      </c>
      <c r="AA29" s="506">
        <f t="shared" si="12"/>
        <v>0.99999972082635391</v>
      </c>
    </row>
    <row r="30" spans="1:29" s="163" customFormat="1" ht="33.75" x14ac:dyDescent="0.25">
      <c r="B30" s="346" t="s">
        <v>63</v>
      </c>
      <c r="C30" s="347">
        <v>94966</v>
      </c>
      <c r="D30" s="348" t="s">
        <v>65</v>
      </c>
      <c r="E30" s="349" t="s">
        <v>41</v>
      </c>
      <c r="F30" s="349">
        <v>530.88</v>
      </c>
      <c r="G30" s="349">
        <v>21.16</v>
      </c>
      <c r="H30" s="350"/>
      <c r="I30" s="350">
        <f>'MEMORIAL DE CALCULO 02'!K99</f>
        <v>8.4130549999999982</v>
      </c>
      <c r="J30" s="350">
        <v>12.746919999999999</v>
      </c>
      <c r="K30" s="351"/>
      <c r="L30" s="351"/>
      <c r="M30" s="351"/>
      <c r="N30" s="349"/>
      <c r="O30" s="349">
        <f t="shared" si="0"/>
        <v>21.159974999999996</v>
      </c>
      <c r="P30" s="206">
        <f t="shared" si="1"/>
        <v>2.5000000004382628E-5</v>
      </c>
      <c r="Q30" s="349">
        <f t="shared" si="2"/>
        <v>11233.4208</v>
      </c>
      <c r="R30" s="352">
        <f t="shared" si="3"/>
        <v>0</v>
      </c>
      <c r="S30" s="352">
        <f t="shared" si="4"/>
        <v>4466.3226383999991</v>
      </c>
      <c r="T30" s="352">
        <f t="shared" si="5"/>
        <v>6767.0848895999998</v>
      </c>
      <c r="U30" s="352">
        <f t="shared" si="6"/>
        <v>0</v>
      </c>
      <c r="V30" s="352">
        <f t="shared" si="7"/>
        <v>0</v>
      </c>
      <c r="W30" s="352">
        <f t="shared" si="8"/>
        <v>0</v>
      </c>
      <c r="X30" s="352">
        <f t="shared" si="9"/>
        <v>0</v>
      </c>
      <c r="Y30" s="353">
        <f t="shared" si="10"/>
        <v>11233.407528</v>
      </c>
      <c r="Z30" s="354">
        <f t="shared" si="11"/>
        <v>1.3272000000142725E-2</v>
      </c>
      <c r="AA30" s="506">
        <f t="shared" si="12"/>
        <v>0.99999881852551986</v>
      </c>
    </row>
    <row r="31" spans="1:29" ht="33.75" x14ac:dyDescent="0.25">
      <c r="B31" s="346" t="s">
        <v>66</v>
      </c>
      <c r="C31" s="347">
        <v>94964</v>
      </c>
      <c r="D31" s="348" t="s">
        <v>68</v>
      </c>
      <c r="E31" s="349" t="s">
        <v>41</v>
      </c>
      <c r="F31" s="349">
        <v>488.69</v>
      </c>
      <c r="G31" s="349">
        <v>9.6</v>
      </c>
      <c r="H31" s="350"/>
      <c r="I31" s="350"/>
      <c r="J31" s="350">
        <v>9.6</v>
      </c>
      <c r="K31" s="351"/>
      <c r="L31" s="351"/>
      <c r="M31" s="351"/>
      <c r="N31" s="349"/>
      <c r="O31" s="349">
        <f t="shared" si="0"/>
        <v>9.6</v>
      </c>
      <c r="P31" s="206">
        <f t="shared" si="1"/>
        <v>0</v>
      </c>
      <c r="Q31" s="349">
        <f t="shared" si="2"/>
        <v>4691.424</v>
      </c>
      <c r="R31" s="352">
        <f t="shared" si="3"/>
        <v>0</v>
      </c>
      <c r="S31" s="352">
        <f t="shared" si="4"/>
        <v>0</v>
      </c>
      <c r="T31" s="352">
        <f t="shared" si="5"/>
        <v>4691.424</v>
      </c>
      <c r="U31" s="352">
        <f t="shared" si="6"/>
        <v>0</v>
      </c>
      <c r="V31" s="352">
        <f t="shared" si="7"/>
        <v>0</v>
      </c>
      <c r="W31" s="352">
        <f t="shared" si="8"/>
        <v>0</v>
      </c>
      <c r="X31" s="352">
        <f t="shared" si="9"/>
        <v>0</v>
      </c>
      <c r="Y31" s="353">
        <f t="shared" si="10"/>
        <v>4691.424</v>
      </c>
      <c r="Z31" s="354">
        <f t="shared" si="11"/>
        <v>0</v>
      </c>
      <c r="AA31" s="506">
        <f t="shared" si="12"/>
        <v>1</v>
      </c>
    </row>
    <row r="32" spans="1:29" s="163" customFormat="1" ht="22.5" x14ac:dyDescent="0.25">
      <c r="B32" s="346" t="s">
        <v>69</v>
      </c>
      <c r="C32" s="347">
        <v>103670</v>
      </c>
      <c r="D32" s="348" t="s">
        <v>71</v>
      </c>
      <c r="E32" s="349" t="s">
        <v>41</v>
      </c>
      <c r="F32" s="349">
        <v>230.55</v>
      </c>
      <c r="G32" s="349">
        <v>30.76</v>
      </c>
      <c r="H32" s="350"/>
      <c r="I32" s="350">
        <f>'MEMORIAL DE CALCULO 02'!K151</f>
        <v>18.013054999999998</v>
      </c>
      <c r="J32" s="350">
        <v>12.746969999999999</v>
      </c>
      <c r="K32" s="351"/>
      <c r="L32" s="351"/>
      <c r="M32" s="351"/>
      <c r="N32" s="349"/>
      <c r="O32" s="349">
        <f t="shared" si="0"/>
        <v>30.760024999999999</v>
      </c>
      <c r="P32" s="206">
        <f t="shared" si="1"/>
        <v>-2.49999999972772E-5</v>
      </c>
      <c r="Q32" s="349">
        <f t="shared" si="2"/>
        <v>7091.7180000000008</v>
      </c>
      <c r="R32" s="352">
        <f t="shared" si="3"/>
        <v>0</v>
      </c>
      <c r="S32" s="352">
        <f t="shared" si="4"/>
        <v>4152.9098302499997</v>
      </c>
      <c r="T32" s="352">
        <f t="shared" si="5"/>
        <v>2938.8139335000001</v>
      </c>
      <c r="U32" s="352">
        <f t="shared" si="6"/>
        <v>0</v>
      </c>
      <c r="V32" s="352">
        <f t="shared" si="7"/>
        <v>0</v>
      </c>
      <c r="W32" s="352">
        <f t="shared" si="8"/>
        <v>0</v>
      </c>
      <c r="X32" s="352">
        <f t="shared" si="9"/>
        <v>0</v>
      </c>
      <c r="Y32" s="353">
        <f t="shared" si="10"/>
        <v>7091.7237637500002</v>
      </c>
      <c r="Z32" s="354">
        <f t="shared" si="11"/>
        <v>-5.7637499994598329E-3</v>
      </c>
      <c r="AA32" s="506">
        <f t="shared" si="12"/>
        <v>1.0000008127438231</v>
      </c>
    </row>
    <row r="33" spans="2:29" s="163" customFormat="1" ht="22.5" x14ac:dyDescent="0.25">
      <c r="B33" s="346" t="s">
        <v>72</v>
      </c>
      <c r="C33" s="347">
        <v>96543</v>
      </c>
      <c r="D33" s="348" t="s">
        <v>74</v>
      </c>
      <c r="E33" s="349" t="s">
        <v>62</v>
      </c>
      <c r="F33" s="349">
        <v>17.5</v>
      </c>
      <c r="G33" s="349">
        <v>404.4</v>
      </c>
      <c r="H33" s="350"/>
      <c r="I33" s="350">
        <f>'MEMORIAL DE CALCULO 02'!K153</f>
        <v>194.26804319999999</v>
      </c>
      <c r="J33" s="350">
        <f>'MEMORIAL DE CALCULO 03'!K262</f>
        <v>210.13</v>
      </c>
      <c r="K33" s="351"/>
      <c r="L33" s="351"/>
      <c r="M33" s="351"/>
      <c r="N33" s="349"/>
      <c r="O33" s="349">
        <f t="shared" si="0"/>
        <v>404.39804319999996</v>
      </c>
      <c r="P33" s="206">
        <f t="shared" si="1"/>
        <v>1.9568000000163011E-3</v>
      </c>
      <c r="Q33" s="349">
        <f t="shared" si="2"/>
        <v>7077</v>
      </c>
      <c r="R33" s="352">
        <f t="shared" si="3"/>
        <v>0</v>
      </c>
      <c r="S33" s="352">
        <f t="shared" si="4"/>
        <v>3399.690756</v>
      </c>
      <c r="T33" s="352">
        <f t="shared" si="5"/>
        <v>3677.2750000000001</v>
      </c>
      <c r="U33" s="352">
        <f t="shared" si="6"/>
        <v>0</v>
      </c>
      <c r="V33" s="352">
        <f t="shared" si="7"/>
        <v>0</v>
      </c>
      <c r="W33" s="352">
        <f t="shared" si="8"/>
        <v>0</v>
      </c>
      <c r="X33" s="352">
        <f t="shared" si="9"/>
        <v>0</v>
      </c>
      <c r="Y33" s="353">
        <f t="shared" si="10"/>
        <v>7076.9657559999996</v>
      </c>
      <c r="Z33" s="354">
        <f t="shared" si="11"/>
        <v>3.4244000000398955E-2</v>
      </c>
      <c r="AA33" s="506">
        <f t="shared" si="12"/>
        <v>0.99999516122650833</v>
      </c>
    </row>
    <row r="34" spans="2:29" ht="22.5" x14ac:dyDescent="0.25">
      <c r="B34" s="346" t="s">
        <v>75</v>
      </c>
      <c r="C34" s="347">
        <v>96544</v>
      </c>
      <c r="D34" s="348" t="s">
        <v>77</v>
      </c>
      <c r="E34" s="349" t="s">
        <v>62</v>
      </c>
      <c r="F34" s="349">
        <v>16.59</v>
      </c>
      <c r="G34" s="349">
        <v>295</v>
      </c>
      <c r="H34" s="350"/>
      <c r="I34" s="350">
        <f>'MEMORIAL DE CALCULO 02'!K193</f>
        <v>295</v>
      </c>
      <c r="J34" s="350"/>
      <c r="K34" s="351"/>
      <c r="L34" s="351"/>
      <c r="M34" s="351"/>
      <c r="N34" s="349"/>
      <c r="O34" s="349">
        <f>H34+I34+J34+K34+L34+M34+N34</f>
        <v>295</v>
      </c>
      <c r="P34" s="206">
        <f t="shared" si="1"/>
        <v>0</v>
      </c>
      <c r="Q34" s="349">
        <f t="shared" si="2"/>
        <v>4894.05</v>
      </c>
      <c r="R34" s="352">
        <f t="shared" si="3"/>
        <v>0</v>
      </c>
      <c r="S34" s="352">
        <f t="shared" si="4"/>
        <v>4894.05</v>
      </c>
      <c r="T34" s="352">
        <f t="shared" si="5"/>
        <v>0</v>
      </c>
      <c r="U34" s="352">
        <f t="shared" si="6"/>
        <v>0</v>
      </c>
      <c r="V34" s="352">
        <f t="shared" si="7"/>
        <v>0</v>
      </c>
      <c r="W34" s="352">
        <f t="shared" si="8"/>
        <v>0</v>
      </c>
      <c r="X34" s="352">
        <f t="shared" si="9"/>
        <v>0</v>
      </c>
      <c r="Y34" s="353">
        <f t="shared" si="10"/>
        <v>4894.05</v>
      </c>
      <c r="Z34" s="354">
        <f t="shared" si="11"/>
        <v>0</v>
      </c>
      <c r="AA34" s="506">
        <f t="shared" si="12"/>
        <v>1</v>
      </c>
      <c r="AC34" s="164"/>
    </row>
    <row r="35" spans="2:29" ht="22.5" x14ac:dyDescent="0.25">
      <c r="B35" s="346" t="s">
        <v>78</v>
      </c>
      <c r="C35" s="347">
        <v>96546</v>
      </c>
      <c r="D35" s="348" t="s">
        <v>80</v>
      </c>
      <c r="E35" s="349" t="s">
        <v>62</v>
      </c>
      <c r="F35" s="349">
        <v>14.35</v>
      </c>
      <c r="G35" s="349">
        <v>534.1</v>
      </c>
      <c r="H35" s="350"/>
      <c r="I35" s="350">
        <v>534.1</v>
      </c>
      <c r="J35" s="350"/>
      <c r="K35" s="351"/>
      <c r="L35" s="351"/>
      <c r="M35" s="351"/>
      <c r="N35" s="349"/>
      <c r="O35" s="349">
        <f>H35+I35+J35+K35+L35+M35+N35</f>
        <v>534.1</v>
      </c>
      <c r="P35" s="206">
        <f t="shared" si="1"/>
        <v>0</v>
      </c>
      <c r="Q35" s="349">
        <f t="shared" si="2"/>
        <v>7664.335</v>
      </c>
      <c r="R35" s="352">
        <f t="shared" si="3"/>
        <v>0</v>
      </c>
      <c r="S35" s="352">
        <f t="shared" si="4"/>
        <v>7664.335</v>
      </c>
      <c r="T35" s="352">
        <f t="shared" si="5"/>
        <v>0</v>
      </c>
      <c r="U35" s="352">
        <f t="shared" si="6"/>
        <v>0</v>
      </c>
      <c r="V35" s="352">
        <f t="shared" si="7"/>
        <v>0</v>
      </c>
      <c r="W35" s="352">
        <f t="shared" si="8"/>
        <v>0</v>
      </c>
      <c r="X35" s="352">
        <f t="shared" si="9"/>
        <v>0</v>
      </c>
      <c r="Y35" s="353">
        <f t="shared" si="10"/>
        <v>7664.335</v>
      </c>
      <c r="Z35" s="354">
        <f t="shared" si="11"/>
        <v>0</v>
      </c>
      <c r="AA35" s="506">
        <f t="shared" si="12"/>
        <v>1</v>
      </c>
    </row>
    <row r="36" spans="2:29" s="163" customFormat="1" ht="22.5" x14ac:dyDescent="0.25">
      <c r="B36" s="346" t="s">
        <v>81</v>
      </c>
      <c r="C36" s="347">
        <v>96547</v>
      </c>
      <c r="D36" s="348" t="s">
        <v>83</v>
      </c>
      <c r="E36" s="349" t="s">
        <v>62</v>
      </c>
      <c r="F36" s="349">
        <v>11.9</v>
      </c>
      <c r="G36" s="349">
        <v>152.9</v>
      </c>
      <c r="H36" s="350"/>
      <c r="I36" s="350">
        <f>'MEMORIAL DE CALCULO 02'!K221</f>
        <v>100.55646000000002</v>
      </c>
      <c r="J36" s="350">
        <f>'MEMORIAL DE CALCULO 03'!K330</f>
        <v>52.34</v>
      </c>
      <c r="K36" s="351"/>
      <c r="L36" s="351"/>
      <c r="M36" s="351"/>
      <c r="N36" s="349"/>
      <c r="O36" s="349">
        <f>H36+I36+J36+K36+L36+M36+N36</f>
        <v>152.89646000000002</v>
      </c>
      <c r="P36" s="206">
        <f t="shared" si="1"/>
        <v>3.5399999999867759E-3</v>
      </c>
      <c r="Q36" s="349">
        <f t="shared" si="2"/>
        <v>1819.5100000000002</v>
      </c>
      <c r="R36" s="352">
        <f t="shared" si="3"/>
        <v>0</v>
      </c>
      <c r="S36" s="352">
        <f t="shared" si="4"/>
        <v>1196.6218740000002</v>
      </c>
      <c r="T36" s="352">
        <f t="shared" si="5"/>
        <v>622.846</v>
      </c>
      <c r="U36" s="352">
        <f t="shared" si="6"/>
        <v>0</v>
      </c>
      <c r="V36" s="352">
        <f t="shared" si="7"/>
        <v>0</v>
      </c>
      <c r="W36" s="352">
        <f t="shared" si="8"/>
        <v>0</v>
      </c>
      <c r="X36" s="352">
        <f t="shared" si="9"/>
        <v>0</v>
      </c>
      <c r="Y36" s="353">
        <f t="shared" si="10"/>
        <v>1819.4678740000002</v>
      </c>
      <c r="Z36" s="354">
        <f t="shared" si="11"/>
        <v>4.2126000000052954E-2</v>
      </c>
      <c r="AA36" s="506">
        <f t="shared" si="12"/>
        <v>0.9999768476128188</v>
      </c>
    </row>
    <row r="37" spans="2:29" s="163" customFormat="1" ht="33.75" x14ac:dyDescent="0.25">
      <c r="B37" s="346" t="s">
        <v>84</v>
      </c>
      <c r="C37" s="347">
        <v>96536</v>
      </c>
      <c r="D37" s="348" t="s">
        <v>86</v>
      </c>
      <c r="E37" s="349" t="s">
        <v>17</v>
      </c>
      <c r="F37" s="349">
        <v>69.64</v>
      </c>
      <c r="G37" s="349">
        <v>429.83</v>
      </c>
      <c r="H37" s="350"/>
      <c r="I37" s="350">
        <f>'MEMORIAL DE CALCULO 02'!K238</f>
        <v>206.33700000000002</v>
      </c>
      <c r="J37" s="350">
        <f>'MEMORIAL DE CALCULO 03'!K340</f>
        <v>223.49</v>
      </c>
      <c r="K37" s="351"/>
      <c r="L37" s="351"/>
      <c r="M37" s="351"/>
      <c r="N37" s="349"/>
      <c r="O37" s="349">
        <f t="shared" si="0"/>
        <v>429.827</v>
      </c>
      <c r="P37" s="206">
        <f t="shared" si="1"/>
        <v>2.9999999999859028E-3</v>
      </c>
      <c r="Q37" s="349">
        <f t="shared" si="2"/>
        <v>29933.361199999999</v>
      </c>
      <c r="R37" s="352">
        <f t="shared" si="3"/>
        <v>0</v>
      </c>
      <c r="S37" s="352">
        <f t="shared" si="4"/>
        <v>14369.308680000002</v>
      </c>
      <c r="T37" s="352">
        <f t="shared" si="5"/>
        <v>15563.8436</v>
      </c>
      <c r="U37" s="352">
        <f t="shared" si="6"/>
        <v>0</v>
      </c>
      <c r="V37" s="352">
        <f t="shared" si="7"/>
        <v>0</v>
      </c>
      <c r="W37" s="352">
        <f t="shared" si="8"/>
        <v>0</v>
      </c>
      <c r="X37" s="352">
        <f t="shared" si="9"/>
        <v>0</v>
      </c>
      <c r="Y37" s="353">
        <f t="shared" si="10"/>
        <v>29933.152280000002</v>
      </c>
      <c r="Z37" s="354">
        <f t="shared" si="11"/>
        <v>0.20891999999730615</v>
      </c>
      <c r="AA37" s="506">
        <f t="shared" si="12"/>
        <v>0.99999302049647543</v>
      </c>
    </row>
    <row r="38" spans="2:29" s="164" customFormat="1" ht="22.5" x14ac:dyDescent="0.25">
      <c r="B38" s="346" t="s">
        <v>87</v>
      </c>
      <c r="C38" s="347">
        <v>98557</v>
      </c>
      <c r="D38" s="348" t="s">
        <v>89</v>
      </c>
      <c r="E38" s="349" t="s">
        <v>17</v>
      </c>
      <c r="F38" s="349">
        <v>48.22</v>
      </c>
      <c r="G38" s="349">
        <v>253.95</v>
      </c>
      <c r="H38" s="350"/>
      <c r="I38" s="350"/>
      <c r="J38" s="350"/>
      <c r="K38" s="351">
        <f>'MEMORIAL DE CALCULO 04'!K381</f>
        <v>253.95000000000002</v>
      </c>
      <c r="L38" s="351"/>
      <c r="M38" s="351"/>
      <c r="N38" s="349"/>
      <c r="O38" s="349">
        <f t="shared" si="0"/>
        <v>253.95000000000002</v>
      </c>
      <c r="P38" s="206">
        <f t="shared" si="1"/>
        <v>0</v>
      </c>
      <c r="Q38" s="349">
        <f t="shared" si="2"/>
        <v>12245.468999999999</v>
      </c>
      <c r="R38" s="352">
        <f t="shared" si="3"/>
        <v>0</v>
      </c>
      <c r="S38" s="352">
        <f t="shared" si="4"/>
        <v>0</v>
      </c>
      <c r="T38" s="352">
        <f t="shared" si="5"/>
        <v>0</v>
      </c>
      <c r="U38" s="352">
        <f t="shared" si="6"/>
        <v>12245.46</v>
      </c>
      <c r="V38" s="352">
        <f t="shared" si="7"/>
        <v>0</v>
      </c>
      <c r="W38" s="352">
        <f t="shared" si="8"/>
        <v>0</v>
      </c>
      <c r="X38" s="352">
        <f t="shared" si="9"/>
        <v>0</v>
      </c>
      <c r="Y38" s="353">
        <f t="shared" si="10"/>
        <v>12245.46</v>
      </c>
      <c r="Z38" s="354">
        <f t="shared" si="11"/>
        <v>9.0000000000145519E-3</v>
      </c>
      <c r="AA38" s="506">
        <f t="shared" si="12"/>
        <v>0.99999926503427516</v>
      </c>
    </row>
    <row r="39" spans="2:29" x14ac:dyDescent="0.25">
      <c r="B39" s="356" t="s">
        <v>90</v>
      </c>
      <c r="C39" s="357" t="s">
        <v>91</v>
      </c>
      <c r="D39" s="348"/>
      <c r="E39" s="349"/>
      <c r="F39" s="349"/>
      <c r="G39" s="349"/>
      <c r="H39" s="350"/>
      <c r="I39" s="350"/>
      <c r="J39" s="350"/>
      <c r="K39" s="351"/>
      <c r="L39" s="351"/>
      <c r="M39" s="351"/>
      <c r="N39" s="349"/>
      <c r="O39" s="349"/>
      <c r="P39" s="206"/>
      <c r="Q39" s="349"/>
      <c r="R39" s="352">
        <f t="shared" si="3"/>
        <v>0</v>
      </c>
      <c r="S39" s="352">
        <f t="shared" si="4"/>
        <v>0</v>
      </c>
      <c r="T39" s="352">
        <f t="shared" si="5"/>
        <v>0</v>
      </c>
      <c r="U39" s="352">
        <f t="shared" si="6"/>
        <v>0</v>
      </c>
      <c r="V39" s="352">
        <f t="shared" si="7"/>
        <v>0</v>
      </c>
      <c r="W39" s="352">
        <f t="shared" si="8"/>
        <v>0</v>
      </c>
      <c r="X39" s="352">
        <f t="shared" si="9"/>
        <v>0</v>
      </c>
      <c r="Y39" s="353">
        <f t="shared" si="10"/>
        <v>0</v>
      </c>
      <c r="Z39" s="354">
        <f t="shared" si="11"/>
        <v>0</v>
      </c>
      <c r="AA39" s="506"/>
    </row>
    <row r="40" spans="2:29" s="164" customFormat="1" ht="45" x14ac:dyDescent="0.35">
      <c r="B40" s="346" t="s">
        <v>92</v>
      </c>
      <c r="C40" s="347">
        <v>92443</v>
      </c>
      <c r="D40" s="348" t="s">
        <v>94</v>
      </c>
      <c r="E40" s="349" t="s">
        <v>17</v>
      </c>
      <c r="F40" s="349">
        <v>40.35</v>
      </c>
      <c r="G40" s="349">
        <v>408.7</v>
      </c>
      <c r="H40" s="350"/>
      <c r="I40" s="350"/>
      <c r="J40" s="350"/>
      <c r="K40" s="351">
        <f>'MEMORIAL DE CALCULO 04'!K384</f>
        <v>190.61699999999999</v>
      </c>
      <c r="L40" s="351">
        <f>'MEMORIAL DE CALCULO 05'!K384</f>
        <v>209.24299999999999</v>
      </c>
      <c r="M40" s="351"/>
      <c r="N40" s="349"/>
      <c r="O40" s="349">
        <f t="shared" si="0"/>
        <v>399.86</v>
      </c>
      <c r="P40" s="206">
        <f t="shared" si="1"/>
        <v>8.839999999999975</v>
      </c>
      <c r="Q40" s="349">
        <f>F40*G40</f>
        <v>16491.045000000002</v>
      </c>
      <c r="R40" s="352">
        <f t="shared" si="3"/>
        <v>0</v>
      </c>
      <c r="S40" s="352">
        <f t="shared" si="4"/>
        <v>0</v>
      </c>
      <c r="T40" s="352">
        <f t="shared" si="5"/>
        <v>0</v>
      </c>
      <c r="U40" s="352">
        <f t="shared" si="6"/>
        <v>7691.39</v>
      </c>
      <c r="V40" s="352">
        <f t="shared" si="7"/>
        <v>8442.9500000000007</v>
      </c>
      <c r="W40" s="352">
        <f t="shared" si="8"/>
        <v>0</v>
      </c>
      <c r="X40" s="352">
        <f t="shared" si="9"/>
        <v>0</v>
      </c>
      <c r="Y40" s="353">
        <f t="shared" si="10"/>
        <v>16134.34</v>
      </c>
      <c r="Z40" s="354">
        <f t="shared" si="11"/>
        <v>356.70500000000175</v>
      </c>
      <c r="AA40" s="506">
        <f t="shared" si="12"/>
        <v>0.97836977583894769</v>
      </c>
      <c r="AB40" s="403"/>
    </row>
    <row r="41" spans="2:29" s="164" customFormat="1" ht="33.75" x14ac:dyDescent="0.25">
      <c r="B41" s="332" t="s">
        <v>95</v>
      </c>
      <c r="C41" s="333">
        <v>92480</v>
      </c>
      <c r="D41" s="342" t="s">
        <v>97</v>
      </c>
      <c r="E41" s="336" t="s">
        <v>17</v>
      </c>
      <c r="F41" s="336">
        <v>62.17</v>
      </c>
      <c r="G41" s="336">
        <v>435.33</v>
      </c>
      <c r="H41" s="343"/>
      <c r="I41" s="343"/>
      <c r="J41" s="338"/>
      <c r="K41" s="343"/>
      <c r="L41" s="343"/>
      <c r="M41" s="338">
        <f>'MEMORIAL DE CALCULO 06'!K384</f>
        <v>261.94400000000002</v>
      </c>
      <c r="N41" s="338">
        <f>'MEMORIAL DE CALCULO 07'!K384</f>
        <v>32.747</v>
      </c>
      <c r="O41" s="336">
        <f t="shared" si="0"/>
        <v>294.69100000000003</v>
      </c>
      <c r="P41" s="336">
        <f t="shared" si="1"/>
        <v>140.63899999999995</v>
      </c>
      <c r="Q41" s="336">
        <f t="shared" si="2"/>
        <v>27064.466100000001</v>
      </c>
      <c r="R41" s="339">
        <f t="shared" si="3"/>
        <v>0</v>
      </c>
      <c r="S41" s="339">
        <f t="shared" si="4"/>
        <v>0</v>
      </c>
      <c r="T41" s="339">
        <f t="shared" si="5"/>
        <v>0</v>
      </c>
      <c r="U41" s="339">
        <f t="shared" si="6"/>
        <v>0</v>
      </c>
      <c r="V41" s="339">
        <f t="shared" si="7"/>
        <v>0</v>
      </c>
      <c r="W41" s="339">
        <f t="shared" si="8"/>
        <v>16285.058480000002</v>
      </c>
      <c r="X41" s="339">
        <f t="shared" si="9"/>
        <v>2035.8809900000001</v>
      </c>
      <c r="Y41" s="340">
        <f t="shared" si="10"/>
        <v>18320.939470000001</v>
      </c>
      <c r="Z41" s="341">
        <f t="shared" si="11"/>
        <v>8743.5266300000003</v>
      </c>
      <c r="AA41" s="506">
        <f t="shared" si="12"/>
        <v>0.67693703627133439</v>
      </c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7"/>
      <c r="O42" s="206">
        <f t="shared" si="0"/>
        <v>0</v>
      </c>
      <c r="P42" s="206">
        <f t="shared" si="1"/>
        <v>111.15</v>
      </c>
      <c r="Q42" s="206">
        <f t="shared" si="2"/>
        <v>3444.5385000000001</v>
      </c>
      <c r="R42" s="208">
        <f t="shared" si="3"/>
        <v>0</v>
      </c>
      <c r="S42" s="208">
        <f t="shared" si="4"/>
        <v>0</v>
      </c>
      <c r="T42" s="208">
        <f t="shared" si="5"/>
        <v>0</v>
      </c>
      <c r="U42" s="208">
        <f t="shared" si="6"/>
        <v>0</v>
      </c>
      <c r="V42" s="208">
        <f t="shared" si="7"/>
        <v>0</v>
      </c>
      <c r="W42" s="208">
        <f t="shared" si="8"/>
        <v>0</v>
      </c>
      <c r="X42" s="208">
        <f t="shared" si="9"/>
        <v>0</v>
      </c>
      <c r="Y42" s="209">
        <f t="shared" si="10"/>
        <v>0</v>
      </c>
      <c r="Z42" s="210">
        <f t="shared" si="11"/>
        <v>3444.5385000000001</v>
      </c>
      <c r="AA42" s="506">
        <f t="shared" si="12"/>
        <v>0</v>
      </c>
    </row>
    <row r="43" spans="2:29" s="169" customFormat="1" ht="33.75" x14ac:dyDescent="0.25">
      <c r="B43" s="203" t="s">
        <v>101</v>
      </c>
      <c r="C43" s="211">
        <v>92759</v>
      </c>
      <c r="D43" s="205" t="s">
        <v>103</v>
      </c>
      <c r="E43" s="206" t="s">
        <v>62</v>
      </c>
      <c r="F43" s="206">
        <v>14.67</v>
      </c>
      <c r="G43" s="206">
        <v>1027.8</v>
      </c>
      <c r="H43" s="207"/>
      <c r="I43" s="29"/>
      <c r="J43" s="29"/>
      <c r="K43" s="207">
        <f>'MEMORIAL DE CALCULO 04'!K389</f>
        <v>222.09999999999997</v>
      </c>
      <c r="L43" s="207">
        <f>'MEMORIAL DE CALCULO 05'!K389</f>
        <v>460.6</v>
      </c>
      <c r="M43" s="207">
        <f>'MEMORIAL DE CALCULO 06'!K386</f>
        <v>214.5</v>
      </c>
      <c r="N43" s="206"/>
      <c r="O43" s="206">
        <f t="shared" si="0"/>
        <v>897.2</v>
      </c>
      <c r="P43" s="206">
        <f t="shared" si="1"/>
        <v>130.59999999999991</v>
      </c>
      <c r="Q43" s="206">
        <f t="shared" si="2"/>
        <v>15077.825999999999</v>
      </c>
      <c r="R43" s="208">
        <f t="shared" si="3"/>
        <v>0</v>
      </c>
      <c r="S43" s="208">
        <f t="shared" si="4"/>
        <v>0</v>
      </c>
      <c r="T43" s="208">
        <f t="shared" si="5"/>
        <v>0</v>
      </c>
      <c r="U43" s="208">
        <f t="shared" si="6"/>
        <v>3258.2</v>
      </c>
      <c r="V43" s="208">
        <f t="shared" si="7"/>
        <v>6757</v>
      </c>
      <c r="W43" s="208">
        <f t="shared" si="8"/>
        <v>3146.7150000000001</v>
      </c>
      <c r="X43" s="208">
        <f t="shared" si="9"/>
        <v>0</v>
      </c>
      <c r="Y43" s="353">
        <f t="shared" si="10"/>
        <v>13161.915000000001</v>
      </c>
      <c r="Z43" s="210">
        <f t="shared" si="11"/>
        <v>1915.9109999999982</v>
      </c>
      <c r="AA43" s="506">
        <f t="shared" si="12"/>
        <v>0.87293188023260126</v>
      </c>
    </row>
    <row r="44" spans="2:29" s="169" customFormat="1" ht="33.75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>
        <f>'MEMORIAL DE CALCULO 05'!K393</f>
        <v>23.46</v>
      </c>
      <c r="M44" s="207">
        <f>'MEMORIAL DE CALCULO 06'!K388</f>
        <v>15.64</v>
      </c>
      <c r="N44" s="206"/>
      <c r="O44" s="206">
        <f t="shared" si="0"/>
        <v>39.1</v>
      </c>
      <c r="P44" s="206">
        <f>G44-O44</f>
        <v>0</v>
      </c>
      <c r="Q44" s="206">
        <f t="shared" si="2"/>
        <v>563.04000000000008</v>
      </c>
      <c r="R44" s="208">
        <f t="shared" si="3"/>
        <v>0</v>
      </c>
      <c r="S44" s="208">
        <f t="shared" si="4"/>
        <v>0</v>
      </c>
      <c r="T44" s="208">
        <f t="shared" si="5"/>
        <v>0</v>
      </c>
      <c r="U44" s="208">
        <f t="shared" si="6"/>
        <v>0</v>
      </c>
      <c r="V44" s="208">
        <f t="shared" si="7"/>
        <v>337.82</v>
      </c>
      <c r="W44" s="208">
        <f t="shared" si="8"/>
        <v>225.21600000000001</v>
      </c>
      <c r="X44" s="352">
        <f t="shared" si="9"/>
        <v>0</v>
      </c>
      <c r="Y44" s="353">
        <f t="shared" si="10"/>
        <v>563.03600000000006</v>
      </c>
      <c r="Z44" s="210">
        <f t="shared" si="11"/>
        <v>4.0000000000190994E-3</v>
      </c>
      <c r="AA44" s="506">
        <f t="shared" si="12"/>
        <v>0.99999289570900818</v>
      </c>
    </row>
    <row r="45" spans="2:29" ht="33.75" x14ac:dyDescent="0.25">
      <c r="B45" s="346" t="s">
        <v>107</v>
      </c>
      <c r="C45" s="347">
        <v>92761</v>
      </c>
      <c r="D45" s="348" t="s">
        <v>109</v>
      </c>
      <c r="E45" s="349" t="s">
        <v>62</v>
      </c>
      <c r="F45" s="349">
        <v>14.25</v>
      </c>
      <c r="G45" s="349">
        <v>1000</v>
      </c>
      <c r="H45" s="351"/>
      <c r="I45" s="350"/>
      <c r="J45" s="350"/>
      <c r="K45" s="351"/>
      <c r="L45" s="351">
        <f>'MEMORIAL DE CALCULO 05'!K395</f>
        <v>415.67999999999995</v>
      </c>
      <c r="M45" s="351">
        <f>'MEMORIAL DE CALCULO 06'!K390</f>
        <v>415.67999999999995</v>
      </c>
      <c r="N45" s="349"/>
      <c r="O45" s="349">
        <f t="shared" si="0"/>
        <v>831.3599999999999</v>
      </c>
      <c r="P45" s="206">
        <f t="shared" si="1"/>
        <v>168.6400000000001</v>
      </c>
      <c r="Q45" s="349">
        <f t="shared" si="2"/>
        <v>14250</v>
      </c>
      <c r="R45" s="352">
        <f t="shared" si="3"/>
        <v>0</v>
      </c>
      <c r="S45" s="352">
        <f t="shared" si="4"/>
        <v>0</v>
      </c>
      <c r="T45" s="352">
        <f t="shared" si="5"/>
        <v>0</v>
      </c>
      <c r="U45" s="352">
        <f t="shared" si="6"/>
        <v>0</v>
      </c>
      <c r="V45" s="352">
        <f t="shared" si="7"/>
        <v>5923.44</v>
      </c>
      <c r="W45" s="352">
        <f t="shared" si="8"/>
        <v>5923.44</v>
      </c>
      <c r="X45" s="352">
        <f t="shared" si="9"/>
        <v>0</v>
      </c>
      <c r="Y45" s="353">
        <f t="shared" si="10"/>
        <v>11846.88</v>
      </c>
      <c r="Z45" s="354">
        <f t="shared" si="11"/>
        <v>2403.1200000000008</v>
      </c>
      <c r="AA45" s="506">
        <f t="shared" si="12"/>
        <v>0.83135999999999999</v>
      </c>
    </row>
    <row r="46" spans="2:29" s="164" customFormat="1" ht="33.75" x14ac:dyDescent="0.25">
      <c r="B46" s="346" t="s">
        <v>110</v>
      </c>
      <c r="C46" s="347">
        <v>92762</v>
      </c>
      <c r="D46" s="348" t="s">
        <v>112</v>
      </c>
      <c r="E46" s="349" t="s">
        <v>62</v>
      </c>
      <c r="F46" s="349">
        <v>12.94</v>
      </c>
      <c r="G46" s="349">
        <v>1306.0999999999999</v>
      </c>
      <c r="H46" s="351"/>
      <c r="I46" s="350"/>
      <c r="J46" s="350"/>
      <c r="K46" s="351">
        <f>'MEMORIAL DE CALCULO 04'!K393</f>
        <v>601.83000000000004</v>
      </c>
      <c r="L46" s="351">
        <f>'MEMORIAL DE CALCULO 05'!K397</f>
        <v>635.56999999999994</v>
      </c>
      <c r="M46" s="351">
        <f>'MEMORIAL DE CALCULO 06'!K392</f>
        <v>57</v>
      </c>
      <c r="N46" s="349"/>
      <c r="O46" s="349">
        <f t="shared" si="0"/>
        <v>1294.4000000000001</v>
      </c>
      <c r="P46" s="206">
        <f t="shared" si="1"/>
        <v>11.699999999999818</v>
      </c>
      <c r="Q46" s="349">
        <f t="shared" si="2"/>
        <v>16900.933999999997</v>
      </c>
      <c r="R46" s="352">
        <f t="shared" si="3"/>
        <v>0</v>
      </c>
      <c r="S46" s="352">
        <f t="shared" si="4"/>
        <v>0</v>
      </c>
      <c r="T46" s="352">
        <f t="shared" si="5"/>
        <v>0</v>
      </c>
      <c r="U46" s="352">
        <f t="shared" si="6"/>
        <v>7787.68</v>
      </c>
      <c r="V46" s="352">
        <f t="shared" si="7"/>
        <v>8224.27</v>
      </c>
      <c r="W46" s="352">
        <f t="shared" si="8"/>
        <v>737.57999999999993</v>
      </c>
      <c r="X46" s="352">
        <f t="shared" si="9"/>
        <v>0</v>
      </c>
      <c r="Y46" s="353">
        <f t="shared" si="10"/>
        <v>16749.53</v>
      </c>
      <c r="Z46" s="354">
        <f t="shared" si="11"/>
        <v>151.40399999999863</v>
      </c>
      <c r="AA46" s="506">
        <f t="shared" si="12"/>
        <v>0.9910416785249857</v>
      </c>
    </row>
    <row r="47" spans="2:29" s="164" customFormat="1" ht="33.75" x14ac:dyDescent="0.25">
      <c r="B47" s="346" t="s">
        <v>113</v>
      </c>
      <c r="C47" s="347">
        <v>92763</v>
      </c>
      <c r="D47" s="348" t="s">
        <v>115</v>
      </c>
      <c r="E47" s="349" t="s">
        <v>62</v>
      </c>
      <c r="F47" s="349">
        <v>10.71</v>
      </c>
      <c r="G47" s="349">
        <v>168.2</v>
      </c>
      <c r="H47" s="351"/>
      <c r="I47" s="350"/>
      <c r="J47" s="350"/>
      <c r="K47" s="351">
        <f>'MEMORIAL DE CALCULO 04'!K396</f>
        <v>100.42</v>
      </c>
      <c r="L47" s="351">
        <f>'MEMORIAL DE CALCULO 05'!K401</f>
        <v>61.18</v>
      </c>
      <c r="M47" s="351"/>
      <c r="N47" s="349"/>
      <c r="O47" s="349">
        <f t="shared" si="0"/>
        <v>161.6</v>
      </c>
      <c r="P47" s="206">
        <f t="shared" si="1"/>
        <v>6.5999999999999943</v>
      </c>
      <c r="Q47" s="349">
        <f t="shared" si="2"/>
        <v>1801.422</v>
      </c>
      <c r="R47" s="352">
        <f t="shared" si="3"/>
        <v>0</v>
      </c>
      <c r="S47" s="352">
        <f t="shared" si="4"/>
        <v>0</v>
      </c>
      <c r="T47" s="352">
        <f t="shared" si="5"/>
        <v>0</v>
      </c>
      <c r="U47" s="352">
        <f t="shared" si="6"/>
        <v>1075.49</v>
      </c>
      <c r="V47" s="352">
        <f t="shared" si="7"/>
        <v>655.23</v>
      </c>
      <c r="W47" s="352">
        <f t="shared" si="8"/>
        <v>0</v>
      </c>
      <c r="X47" s="352">
        <f t="shared" si="9"/>
        <v>0</v>
      </c>
      <c r="Y47" s="353">
        <f t="shared" si="10"/>
        <v>1730.72</v>
      </c>
      <c r="Z47" s="354">
        <f t="shared" si="11"/>
        <v>70.701999999999998</v>
      </c>
      <c r="AA47" s="506">
        <f t="shared" si="12"/>
        <v>0.96075211693872953</v>
      </c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>
        <f>'MEMORIAL DE CALCULO 06'!K394</f>
        <v>130.5</v>
      </c>
      <c r="N48" s="207"/>
      <c r="O48" s="206">
        <f t="shared" si="0"/>
        <v>130.5</v>
      </c>
      <c r="P48" s="206">
        <f t="shared" si="1"/>
        <v>28.199999999999989</v>
      </c>
      <c r="Q48" s="206">
        <f t="shared" si="2"/>
        <v>2270.9969999999998</v>
      </c>
      <c r="R48" s="208">
        <f t="shared" si="3"/>
        <v>0</v>
      </c>
      <c r="S48" s="208">
        <f t="shared" si="4"/>
        <v>0</v>
      </c>
      <c r="T48" s="208">
        <f t="shared" si="5"/>
        <v>0</v>
      </c>
      <c r="U48" s="208">
        <f t="shared" si="6"/>
        <v>0</v>
      </c>
      <c r="V48" s="208">
        <f t="shared" si="7"/>
        <v>0</v>
      </c>
      <c r="W48" s="208">
        <f t="shared" si="8"/>
        <v>1867.4550000000002</v>
      </c>
      <c r="X48" s="208">
        <f t="shared" si="9"/>
        <v>0</v>
      </c>
      <c r="Y48" s="209">
        <f t="shared" si="10"/>
        <v>1867.4550000000002</v>
      </c>
      <c r="Z48" s="210">
        <f t="shared" si="11"/>
        <v>403.54199999999969</v>
      </c>
      <c r="AA48" s="506">
        <f t="shared" si="12"/>
        <v>0.82230623818525528</v>
      </c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>
        <f>'MEMORIAL DE CALCULO 06'!K396</f>
        <v>157.6</v>
      </c>
      <c r="N49" s="207"/>
      <c r="O49" s="206">
        <f t="shared" si="0"/>
        <v>157.6</v>
      </c>
      <c r="P49" s="206">
        <f t="shared" si="1"/>
        <v>12.900000000000006</v>
      </c>
      <c r="Q49" s="206">
        <f t="shared" si="2"/>
        <v>2388.7049999999999</v>
      </c>
      <c r="R49" s="208">
        <f t="shared" si="3"/>
        <v>0</v>
      </c>
      <c r="S49" s="208">
        <f t="shared" si="4"/>
        <v>0</v>
      </c>
      <c r="T49" s="208">
        <f t="shared" si="5"/>
        <v>0</v>
      </c>
      <c r="U49" s="208">
        <f t="shared" si="6"/>
        <v>0</v>
      </c>
      <c r="V49" s="208">
        <f t="shared" si="7"/>
        <v>0</v>
      </c>
      <c r="W49" s="208">
        <f t="shared" si="8"/>
        <v>2207.9760000000001</v>
      </c>
      <c r="X49" s="208">
        <f t="shared" si="9"/>
        <v>0</v>
      </c>
      <c r="Y49" s="209">
        <f t="shared" si="10"/>
        <v>2207.9760000000001</v>
      </c>
      <c r="Z49" s="210">
        <f t="shared" si="11"/>
        <v>180.72899999999981</v>
      </c>
      <c r="AA49" s="506">
        <f t="shared" si="12"/>
        <v>0.92434017595307927</v>
      </c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>
        <f>'MEMORIAL DE CALCULO 06'!K398</f>
        <v>259</v>
      </c>
      <c r="N50" s="207"/>
      <c r="O50" s="206">
        <f t="shared" si="0"/>
        <v>259</v>
      </c>
      <c r="P50" s="206">
        <f t="shared" si="1"/>
        <v>20.100000000000023</v>
      </c>
      <c r="Q50" s="206">
        <f t="shared" si="2"/>
        <v>3868.326</v>
      </c>
      <c r="R50" s="208">
        <f t="shared" si="3"/>
        <v>0</v>
      </c>
      <c r="S50" s="208">
        <f t="shared" si="4"/>
        <v>0</v>
      </c>
      <c r="T50" s="208">
        <f t="shared" si="5"/>
        <v>0</v>
      </c>
      <c r="U50" s="208">
        <f t="shared" si="6"/>
        <v>0</v>
      </c>
      <c r="V50" s="208">
        <f t="shared" si="7"/>
        <v>0</v>
      </c>
      <c r="W50" s="208">
        <f t="shared" si="8"/>
        <v>3589.74</v>
      </c>
      <c r="X50" s="208">
        <f t="shared" si="9"/>
        <v>0</v>
      </c>
      <c r="Y50" s="209">
        <f t="shared" si="10"/>
        <v>3589.74</v>
      </c>
      <c r="Z50" s="210">
        <f t="shared" si="11"/>
        <v>278.58600000000024</v>
      </c>
      <c r="AA50" s="506">
        <f t="shared" si="12"/>
        <v>0.92798280186313142</v>
      </c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>
        <f>'MEMORIAL DE CALCULO 06'!K400</f>
        <v>19.399999999999999</v>
      </c>
      <c r="N51" s="337">
        <f>'MEMORIAL DE CALCULO 07'!K403</f>
        <v>4.84</v>
      </c>
      <c r="O51" s="336">
        <f t="shared" si="0"/>
        <v>43.67</v>
      </c>
      <c r="P51" s="336">
        <f t="shared" si="1"/>
        <v>17.89</v>
      </c>
      <c r="Q51" s="336">
        <f t="shared" si="2"/>
        <v>32680.9728</v>
      </c>
      <c r="R51" s="339">
        <f t="shared" si="3"/>
        <v>0</v>
      </c>
      <c r="S51" s="339">
        <f t="shared" si="4"/>
        <v>0</v>
      </c>
      <c r="T51" s="339">
        <f t="shared" si="5"/>
        <v>0</v>
      </c>
      <c r="U51" s="339">
        <f t="shared" si="6"/>
        <v>5439.39</v>
      </c>
      <c r="V51" s="339">
        <f t="shared" si="7"/>
        <v>4875.6000000000004</v>
      </c>
      <c r="W51" s="339">
        <f t="shared" si="8"/>
        <v>10299.071999999998</v>
      </c>
      <c r="X51" s="339">
        <f t="shared" si="9"/>
        <v>2569.4591999999998</v>
      </c>
      <c r="Y51" s="340">
        <f t="shared" si="10"/>
        <v>23183.521199999999</v>
      </c>
      <c r="Z51" s="341">
        <f t="shared" si="11"/>
        <v>9497.4516000000003</v>
      </c>
      <c r="AA51" s="506">
        <f t="shared" si="12"/>
        <v>0.70938895674488611</v>
      </c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38">
        <f>'MEMORIAL DE CALCULO 06'!K403</f>
        <v>19.399999999999999</v>
      </c>
      <c r="N52" s="338">
        <f>'MEMORIAL DE CALCULO 07'!K407</f>
        <v>4.84</v>
      </c>
      <c r="O52" s="336">
        <f t="shared" si="0"/>
        <v>43.67</v>
      </c>
      <c r="P52" s="336">
        <f t="shared" si="1"/>
        <v>17.89</v>
      </c>
      <c r="Q52" s="336">
        <f t="shared" si="2"/>
        <v>14192.658000000001</v>
      </c>
      <c r="R52" s="339">
        <f t="shared" si="3"/>
        <v>0</v>
      </c>
      <c r="S52" s="339">
        <f t="shared" si="4"/>
        <v>0</v>
      </c>
      <c r="T52" s="339">
        <f t="shared" si="5"/>
        <v>0</v>
      </c>
      <c r="U52" s="339">
        <f t="shared" si="6"/>
        <v>2362.21</v>
      </c>
      <c r="V52" s="339">
        <f t="shared" si="7"/>
        <v>2117.37</v>
      </c>
      <c r="W52" s="339">
        <f t="shared" si="8"/>
        <v>4472.67</v>
      </c>
      <c r="X52" s="339">
        <f t="shared" si="9"/>
        <v>1115.8620000000001</v>
      </c>
      <c r="Y52" s="340">
        <f t="shared" si="10"/>
        <v>10068.112000000001</v>
      </c>
      <c r="Z52" s="341">
        <f t="shared" si="11"/>
        <v>4124.5460000000003</v>
      </c>
      <c r="AA52" s="506">
        <f t="shared" si="12"/>
        <v>0.70938875579190308</v>
      </c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9">
        <f>'MEMORIAL DE CALCULO 06'!K405</f>
        <v>217.7</v>
      </c>
      <c r="N53" s="216"/>
      <c r="O53" s="206">
        <f t="shared" si="0"/>
        <v>217.7</v>
      </c>
      <c r="P53" s="206">
        <f t="shared" si="1"/>
        <v>94.600000000000023</v>
      </c>
      <c r="Q53" s="206">
        <f t="shared" si="2"/>
        <v>3919.3650000000002</v>
      </c>
      <c r="R53" s="208">
        <f t="shared" si="3"/>
        <v>0</v>
      </c>
      <c r="S53" s="208">
        <f t="shared" si="4"/>
        <v>0</v>
      </c>
      <c r="T53" s="208">
        <f t="shared" si="5"/>
        <v>0</v>
      </c>
      <c r="U53" s="208">
        <f t="shared" si="6"/>
        <v>0</v>
      </c>
      <c r="V53" s="208">
        <f t="shared" si="7"/>
        <v>0</v>
      </c>
      <c r="W53" s="208">
        <f t="shared" si="8"/>
        <v>2732.1350000000002</v>
      </c>
      <c r="X53" s="208">
        <f t="shared" si="9"/>
        <v>0</v>
      </c>
      <c r="Y53" s="209">
        <f t="shared" si="10"/>
        <v>2732.1350000000002</v>
      </c>
      <c r="Z53" s="210">
        <f t="shared" si="11"/>
        <v>1187.23</v>
      </c>
      <c r="AA53" s="506">
        <f t="shared" si="12"/>
        <v>0.69708613512648099</v>
      </c>
    </row>
    <row r="54" spans="2:27" ht="33.75" x14ac:dyDescent="0.25">
      <c r="B54" s="346" t="s">
        <v>130</v>
      </c>
      <c r="C54" s="347">
        <v>92772</v>
      </c>
      <c r="D54" s="348" t="s">
        <v>132</v>
      </c>
      <c r="E54" s="349" t="s">
        <v>62</v>
      </c>
      <c r="F54" s="349">
        <v>10.39</v>
      </c>
      <c r="G54" s="349">
        <v>154.80000000000001</v>
      </c>
      <c r="H54" s="351"/>
      <c r="I54" s="350"/>
      <c r="J54" s="350"/>
      <c r="K54" s="351"/>
      <c r="L54" s="351"/>
      <c r="M54" s="351">
        <f>'MEMORIAL DE CALCULO 06'!K407</f>
        <v>154.80000000000001</v>
      </c>
      <c r="N54" s="349"/>
      <c r="O54" s="349">
        <f t="shared" si="0"/>
        <v>154.80000000000001</v>
      </c>
      <c r="P54" s="206">
        <f t="shared" si="1"/>
        <v>0</v>
      </c>
      <c r="Q54" s="349">
        <f t="shared" si="2"/>
        <v>1608.3720000000003</v>
      </c>
      <c r="R54" s="352">
        <f t="shared" si="3"/>
        <v>0</v>
      </c>
      <c r="S54" s="352">
        <f t="shared" si="4"/>
        <v>0</v>
      </c>
      <c r="T54" s="352">
        <f t="shared" si="5"/>
        <v>0</v>
      </c>
      <c r="U54" s="352">
        <f t="shared" si="6"/>
        <v>0</v>
      </c>
      <c r="V54" s="352">
        <f t="shared" si="7"/>
        <v>0</v>
      </c>
      <c r="W54" s="352">
        <f t="shared" si="8"/>
        <v>1608.3720000000003</v>
      </c>
      <c r="X54" s="352">
        <f t="shared" si="9"/>
        <v>0</v>
      </c>
      <c r="Y54" s="353">
        <f t="shared" si="10"/>
        <v>1608.3720000000003</v>
      </c>
      <c r="Z54" s="354">
        <f t="shared" si="11"/>
        <v>0</v>
      </c>
      <c r="AA54" s="506">
        <f t="shared" si="12"/>
        <v>1</v>
      </c>
    </row>
    <row r="55" spans="2:27" x14ac:dyDescent="0.25">
      <c r="B55" s="356">
        <v>1.5</v>
      </c>
      <c r="C55" s="357" t="s">
        <v>134</v>
      </c>
      <c r="D55" s="348"/>
      <c r="E55" s="349"/>
      <c r="F55" s="349"/>
      <c r="G55" s="349"/>
      <c r="H55" s="351"/>
      <c r="I55" s="350"/>
      <c r="J55" s="350"/>
      <c r="K55" s="351"/>
      <c r="L55" s="351"/>
      <c r="M55" s="351"/>
      <c r="N55" s="349"/>
      <c r="O55" s="349"/>
      <c r="P55" s="206"/>
      <c r="Q55" s="349"/>
      <c r="R55" s="352">
        <f t="shared" si="3"/>
        <v>0</v>
      </c>
      <c r="S55" s="352">
        <f t="shared" si="4"/>
        <v>0</v>
      </c>
      <c r="T55" s="352">
        <f t="shared" si="5"/>
        <v>0</v>
      </c>
      <c r="U55" s="352">
        <f t="shared" si="6"/>
        <v>0</v>
      </c>
      <c r="V55" s="352">
        <f t="shared" si="7"/>
        <v>0</v>
      </c>
      <c r="W55" s="352">
        <f t="shared" si="8"/>
        <v>0</v>
      </c>
      <c r="X55" s="352">
        <f t="shared" si="9"/>
        <v>0</v>
      </c>
      <c r="Y55" s="353">
        <f t="shared" si="10"/>
        <v>0</v>
      </c>
      <c r="Z55" s="354">
        <f t="shared" si="11"/>
        <v>0</v>
      </c>
      <c r="AA55" s="506"/>
    </row>
    <row r="56" spans="2:27" ht="45" x14ac:dyDescent="0.25">
      <c r="B56" s="346" t="s">
        <v>135</v>
      </c>
      <c r="C56" s="347">
        <v>103356</v>
      </c>
      <c r="D56" s="348" t="s">
        <v>137</v>
      </c>
      <c r="E56" s="349" t="s">
        <v>17</v>
      </c>
      <c r="F56" s="349">
        <v>46.86</v>
      </c>
      <c r="G56" s="349">
        <v>1131.99</v>
      </c>
      <c r="H56" s="351"/>
      <c r="I56" s="350"/>
      <c r="J56" s="350"/>
      <c r="K56" s="351">
        <f>'MEMORIAL DE CALCULO 04'!K410</f>
        <v>354.68499999999995</v>
      </c>
      <c r="L56" s="351">
        <f>'MEMORIAL DE CALCULO 05'!K413</f>
        <v>492.16000000000014</v>
      </c>
      <c r="M56" s="351"/>
      <c r="N56" s="349"/>
      <c r="O56" s="349">
        <f t="shared" si="0"/>
        <v>846.84500000000003</v>
      </c>
      <c r="P56" s="206">
        <f t="shared" si="1"/>
        <v>285.14499999999998</v>
      </c>
      <c r="Q56" s="349">
        <f t="shared" si="2"/>
        <v>53045.051399999997</v>
      </c>
      <c r="R56" s="352">
        <f t="shared" si="3"/>
        <v>0</v>
      </c>
      <c r="S56" s="352">
        <f t="shared" si="4"/>
        <v>0</v>
      </c>
      <c r="T56" s="352">
        <f t="shared" si="5"/>
        <v>0</v>
      </c>
      <c r="U56" s="352">
        <f t="shared" si="6"/>
        <v>16620.53</v>
      </c>
      <c r="V56" s="352">
        <f t="shared" si="7"/>
        <v>23062.61</v>
      </c>
      <c r="W56" s="352">
        <f t="shared" si="8"/>
        <v>0</v>
      </c>
      <c r="X56" s="352">
        <f t="shared" si="9"/>
        <v>0</v>
      </c>
      <c r="Y56" s="353">
        <f t="shared" si="10"/>
        <v>39683.14</v>
      </c>
      <c r="Z56" s="354">
        <f t="shared" si="11"/>
        <v>13361.911399999997</v>
      </c>
      <c r="AA56" s="506">
        <f t="shared" si="12"/>
        <v>0.74810258360877002</v>
      </c>
    </row>
    <row r="57" spans="2:27" ht="22.5" x14ac:dyDescent="0.25">
      <c r="B57" s="346" t="s">
        <v>138</v>
      </c>
      <c r="C57" s="347">
        <v>93189</v>
      </c>
      <c r="D57" s="355" t="s">
        <v>140</v>
      </c>
      <c r="E57" s="349" t="s">
        <v>37</v>
      </c>
      <c r="F57" s="349">
        <v>99.36</v>
      </c>
      <c r="G57" s="349">
        <v>64.099999999999994</v>
      </c>
      <c r="H57" s="278"/>
      <c r="I57" s="350"/>
      <c r="J57" s="350"/>
      <c r="K57" s="350">
        <f>'MEMORIAL DE CALCULO 04'!K484</f>
        <v>10.199999999999999</v>
      </c>
      <c r="L57" s="350">
        <f>'MEMORIAL DE CALCULO 05'!K479</f>
        <v>53.900000000000006</v>
      </c>
      <c r="M57" s="278"/>
      <c r="N57" s="278"/>
      <c r="O57" s="349">
        <f t="shared" si="0"/>
        <v>64.100000000000009</v>
      </c>
      <c r="P57" s="206">
        <f t="shared" si="1"/>
        <v>0</v>
      </c>
      <c r="Q57" s="349">
        <f t="shared" si="2"/>
        <v>6368.9759999999997</v>
      </c>
      <c r="R57" s="352">
        <f t="shared" si="3"/>
        <v>0</v>
      </c>
      <c r="S57" s="352">
        <f t="shared" si="4"/>
        <v>0</v>
      </c>
      <c r="T57" s="352">
        <f t="shared" si="5"/>
        <v>0</v>
      </c>
      <c r="U57" s="352">
        <f t="shared" si="6"/>
        <v>1013.47</v>
      </c>
      <c r="V57" s="352">
        <f t="shared" si="7"/>
        <v>5355.5</v>
      </c>
      <c r="W57" s="352">
        <f t="shared" si="8"/>
        <v>0</v>
      </c>
      <c r="X57" s="352">
        <f t="shared" si="9"/>
        <v>0</v>
      </c>
      <c r="Y57" s="353">
        <f t="shared" si="10"/>
        <v>6368.97</v>
      </c>
      <c r="Z57" s="354">
        <f t="shared" si="11"/>
        <v>5.9999999994033715E-3</v>
      </c>
      <c r="AA57" s="506">
        <f t="shared" si="12"/>
        <v>0.99999905793333188</v>
      </c>
    </row>
    <row r="58" spans="2:27" ht="33.75" x14ac:dyDescent="0.25">
      <c r="B58" s="346" t="s">
        <v>141</v>
      </c>
      <c r="C58" s="347">
        <v>93191</v>
      </c>
      <c r="D58" s="348" t="s">
        <v>143</v>
      </c>
      <c r="E58" s="349" t="s">
        <v>37</v>
      </c>
      <c r="F58" s="349">
        <v>50.71</v>
      </c>
      <c r="G58" s="349">
        <v>72.2</v>
      </c>
      <c r="H58" s="351"/>
      <c r="I58" s="350"/>
      <c r="J58" s="350"/>
      <c r="K58" s="351">
        <f>'MEMORIAL DE CALCULO 04'!K488</f>
        <v>11.6</v>
      </c>
      <c r="L58" s="351">
        <f>'MEMORIAL DE CALCULO 05'!K486</f>
        <v>60.600000000000009</v>
      </c>
      <c r="M58" s="351"/>
      <c r="N58" s="349"/>
      <c r="O58" s="349">
        <f t="shared" si="0"/>
        <v>72.2</v>
      </c>
      <c r="P58" s="206">
        <f t="shared" si="1"/>
        <v>0</v>
      </c>
      <c r="Q58" s="349">
        <f t="shared" si="2"/>
        <v>3661.2620000000002</v>
      </c>
      <c r="R58" s="352">
        <f t="shared" si="3"/>
        <v>0</v>
      </c>
      <c r="S58" s="352">
        <f t="shared" si="4"/>
        <v>0</v>
      </c>
      <c r="T58" s="352">
        <f t="shared" si="5"/>
        <v>0</v>
      </c>
      <c r="U58" s="352">
        <f t="shared" si="6"/>
        <v>588.23</v>
      </c>
      <c r="V58" s="352">
        <f t="shared" si="7"/>
        <v>3073.02</v>
      </c>
      <c r="W58" s="352">
        <f t="shared" si="8"/>
        <v>0</v>
      </c>
      <c r="X58" s="352">
        <f t="shared" si="9"/>
        <v>0</v>
      </c>
      <c r="Y58" s="353">
        <f t="shared" si="10"/>
        <v>3661.25</v>
      </c>
      <c r="Z58" s="354">
        <f t="shared" si="11"/>
        <v>1.2000000000170985E-2</v>
      </c>
      <c r="AA58" s="506">
        <f t="shared" si="12"/>
        <v>0.9999967224416062</v>
      </c>
    </row>
    <row r="59" spans="2:27" ht="22.5" x14ac:dyDescent="0.25">
      <c r="B59" s="346" t="s">
        <v>144</v>
      </c>
      <c r="C59" s="347">
        <v>93197</v>
      </c>
      <c r="D59" s="348" t="s">
        <v>146</v>
      </c>
      <c r="E59" s="349" t="s">
        <v>37</v>
      </c>
      <c r="F59" s="349">
        <v>90.23</v>
      </c>
      <c r="G59" s="349">
        <v>72.2</v>
      </c>
      <c r="H59" s="351"/>
      <c r="I59" s="350"/>
      <c r="J59" s="350"/>
      <c r="K59" s="351">
        <f>'MEMORIAL DE CALCULO 04'!K492</f>
        <v>11.6</v>
      </c>
      <c r="L59" s="351">
        <f>'MEMORIAL DE CALCULO 05'!K493</f>
        <v>60.600000000000009</v>
      </c>
      <c r="M59" s="351"/>
      <c r="N59" s="349"/>
      <c r="O59" s="349">
        <f t="shared" si="0"/>
        <v>72.2</v>
      </c>
      <c r="P59" s="206">
        <f t="shared" si="1"/>
        <v>0</v>
      </c>
      <c r="Q59" s="349">
        <f t="shared" si="2"/>
        <v>6514.6060000000007</v>
      </c>
      <c r="R59" s="352">
        <f t="shared" si="3"/>
        <v>0</v>
      </c>
      <c r="S59" s="352">
        <f t="shared" si="4"/>
        <v>0</v>
      </c>
      <c r="T59" s="352">
        <f t="shared" si="5"/>
        <v>0</v>
      </c>
      <c r="U59" s="352">
        <f t="shared" si="6"/>
        <v>1046.6600000000001</v>
      </c>
      <c r="V59" s="352">
        <f t="shared" si="7"/>
        <v>5467.93</v>
      </c>
      <c r="W59" s="352">
        <f t="shared" si="8"/>
        <v>0</v>
      </c>
      <c r="X59" s="352">
        <f t="shared" si="9"/>
        <v>0</v>
      </c>
      <c r="Y59" s="353">
        <f t="shared" si="10"/>
        <v>6514.59</v>
      </c>
      <c r="Z59" s="354">
        <f t="shared" si="11"/>
        <v>1.6000000000531145E-2</v>
      </c>
      <c r="AA59" s="506">
        <f t="shared" si="12"/>
        <v>0.9999975439804033</v>
      </c>
    </row>
    <row r="60" spans="2:27" ht="14.45" customHeight="1" x14ac:dyDescent="0.25">
      <c r="B60" s="356">
        <v>1.6</v>
      </c>
      <c r="C60" s="357" t="s">
        <v>148</v>
      </c>
      <c r="D60" s="348"/>
      <c r="E60" s="349"/>
      <c r="F60" s="349"/>
      <c r="G60" s="349"/>
      <c r="H60" s="351"/>
      <c r="I60" s="350"/>
      <c r="J60" s="350"/>
      <c r="K60" s="351"/>
      <c r="L60" s="351"/>
      <c r="M60" s="351"/>
      <c r="N60" s="349"/>
      <c r="O60" s="349"/>
      <c r="P60" s="206"/>
      <c r="Q60" s="349"/>
      <c r="R60" s="352">
        <f t="shared" si="3"/>
        <v>0</v>
      </c>
      <c r="S60" s="352">
        <f t="shared" si="4"/>
        <v>0</v>
      </c>
      <c r="T60" s="352">
        <f t="shared" si="5"/>
        <v>0</v>
      </c>
      <c r="U60" s="352">
        <f t="shared" si="6"/>
        <v>0</v>
      </c>
      <c r="V60" s="352">
        <f t="shared" si="7"/>
        <v>0</v>
      </c>
      <c r="W60" s="352"/>
      <c r="X60" s="352">
        <f t="shared" si="9"/>
        <v>0</v>
      </c>
      <c r="Y60" s="353">
        <f t="shared" si="10"/>
        <v>0</v>
      </c>
      <c r="Z60" s="354"/>
      <c r="AA60" s="506"/>
    </row>
    <row r="61" spans="2:27" ht="45" x14ac:dyDescent="0.25">
      <c r="B61" s="346" t="s">
        <v>149</v>
      </c>
      <c r="C61" s="347">
        <v>87893</v>
      </c>
      <c r="D61" s="348" t="s">
        <v>151</v>
      </c>
      <c r="E61" s="349" t="s">
        <v>17</v>
      </c>
      <c r="F61" s="349">
        <v>6.08</v>
      </c>
      <c r="G61" s="349">
        <v>1348.98</v>
      </c>
      <c r="H61" s="351"/>
      <c r="I61" s="350"/>
      <c r="J61" s="350"/>
      <c r="K61" s="351"/>
      <c r="L61" s="351">
        <v>1348.98</v>
      </c>
      <c r="M61" s="351"/>
      <c r="N61" s="349"/>
      <c r="O61" s="349">
        <f t="shared" si="0"/>
        <v>1348.98</v>
      </c>
      <c r="P61" s="206">
        <f t="shared" si="1"/>
        <v>0</v>
      </c>
      <c r="Q61" s="349">
        <f t="shared" si="2"/>
        <v>8201.7983999999997</v>
      </c>
      <c r="R61" s="352">
        <f t="shared" si="3"/>
        <v>0</v>
      </c>
      <c r="S61" s="352">
        <f t="shared" si="4"/>
        <v>0</v>
      </c>
      <c r="T61" s="352">
        <f t="shared" si="5"/>
        <v>0</v>
      </c>
      <c r="U61" s="352">
        <f t="shared" si="6"/>
        <v>0</v>
      </c>
      <c r="V61" s="352">
        <f t="shared" si="7"/>
        <v>8201.7900000000009</v>
      </c>
      <c r="W61" s="352">
        <f t="shared" si="8"/>
        <v>0</v>
      </c>
      <c r="X61" s="352">
        <f t="shared" si="9"/>
        <v>0</v>
      </c>
      <c r="Y61" s="353">
        <f t="shared" si="10"/>
        <v>8201.7900000000009</v>
      </c>
      <c r="Z61" s="354">
        <f t="shared" si="11"/>
        <v>8.3999999988009222E-3</v>
      </c>
      <c r="AA61" s="506">
        <f t="shared" si="12"/>
        <v>0.99999897583437325</v>
      </c>
    </row>
    <row r="62" spans="2:27" ht="45" x14ac:dyDescent="0.25">
      <c r="B62" s="332" t="s">
        <v>152</v>
      </c>
      <c r="C62" s="333">
        <v>87548</v>
      </c>
      <c r="D62" s="334" t="s">
        <v>154</v>
      </c>
      <c r="E62" s="336" t="s">
        <v>17</v>
      </c>
      <c r="F62" s="336">
        <v>22.4</v>
      </c>
      <c r="G62" s="336">
        <v>997.11</v>
      </c>
      <c r="H62" s="337"/>
      <c r="I62" s="338"/>
      <c r="J62" s="338"/>
      <c r="K62" s="337"/>
      <c r="L62" s="337"/>
      <c r="M62" s="337">
        <f>'MEMORIAL DE CALCULO 06'!K410</f>
        <v>299.13299999999998</v>
      </c>
      <c r="N62" s="337">
        <v>697.97678599999995</v>
      </c>
      <c r="O62" s="336">
        <f t="shared" si="0"/>
        <v>997.10978599999999</v>
      </c>
      <c r="P62" s="336">
        <f t="shared" si="1"/>
        <v>2.1400000002813613E-4</v>
      </c>
      <c r="Q62" s="336">
        <f t="shared" si="2"/>
        <v>22335.263999999999</v>
      </c>
      <c r="R62" s="339">
        <f t="shared" si="3"/>
        <v>0</v>
      </c>
      <c r="S62" s="339">
        <f t="shared" si="4"/>
        <v>0</v>
      </c>
      <c r="T62" s="339">
        <f t="shared" si="5"/>
        <v>0</v>
      </c>
      <c r="U62" s="339">
        <f t="shared" si="6"/>
        <v>0</v>
      </c>
      <c r="V62" s="339">
        <f t="shared" si="7"/>
        <v>0</v>
      </c>
      <c r="W62" s="339">
        <f t="shared" si="8"/>
        <v>6700.5791999999992</v>
      </c>
      <c r="X62" s="339">
        <f t="shared" si="9"/>
        <v>15634.680006399998</v>
      </c>
      <c r="Y62" s="340">
        <f t="shared" si="10"/>
        <v>22335.259206399998</v>
      </c>
      <c r="Z62" s="341">
        <f t="shared" si="11"/>
        <v>4.7936000009940472E-3</v>
      </c>
      <c r="AA62" s="506">
        <f t="shared" si="12"/>
        <v>0.99999978537974743</v>
      </c>
    </row>
    <row r="63" spans="2:27" ht="56.25" x14ac:dyDescent="0.25">
      <c r="B63" s="332" t="s">
        <v>155</v>
      </c>
      <c r="C63" s="333">
        <v>87536</v>
      </c>
      <c r="D63" s="334" t="s">
        <v>157</v>
      </c>
      <c r="E63" s="336" t="s">
        <v>17</v>
      </c>
      <c r="F63" s="336">
        <v>31.26</v>
      </c>
      <c r="G63" s="336">
        <v>351.87</v>
      </c>
      <c r="H63" s="337"/>
      <c r="I63" s="338"/>
      <c r="J63" s="338"/>
      <c r="K63" s="337"/>
      <c r="L63" s="337"/>
      <c r="M63" s="337"/>
      <c r="N63" s="337">
        <f>'MEMORIAL DE CALCULO 07'!K417</f>
        <v>351.87</v>
      </c>
      <c r="O63" s="336">
        <f t="shared" si="0"/>
        <v>351.87</v>
      </c>
      <c r="P63" s="336">
        <f t="shared" si="1"/>
        <v>0</v>
      </c>
      <c r="Q63" s="336">
        <f t="shared" si="2"/>
        <v>10999.456200000001</v>
      </c>
      <c r="R63" s="339">
        <f t="shared" si="3"/>
        <v>0</v>
      </c>
      <c r="S63" s="339">
        <f t="shared" si="4"/>
        <v>0</v>
      </c>
      <c r="T63" s="339">
        <f t="shared" si="5"/>
        <v>0</v>
      </c>
      <c r="U63" s="339">
        <f t="shared" si="6"/>
        <v>0</v>
      </c>
      <c r="V63" s="339">
        <f t="shared" si="7"/>
        <v>0</v>
      </c>
      <c r="W63" s="339">
        <f t="shared" si="8"/>
        <v>0</v>
      </c>
      <c r="X63" s="339">
        <f t="shared" si="9"/>
        <v>10999.456200000001</v>
      </c>
      <c r="Y63" s="340">
        <f t="shared" si="10"/>
        <v>10999.456200000001</v>
      </c>
      <c r="Z63" s="341">
        <f t="shared" si="11"/>
        <v>0</v>
      </c>
      <c r="AA63" s="506">
        <f t="shared" si="12"/>
        <v>1</v>
      </c>
    </row>
    <row r="64" spans="2:27" ht="33.75" x14ac:dyDescent="0.25">
      <c r="B64" s="346" t="s">
        <v>158</v>
      </c>
      <c r="C64" s="347">
        <v>87275</v>
      </c>
      <c r="D64" s="348" t="s">
        <v>160</v>
      </c>
      <c r="E64" s="349" t="s">
        <v>17</v>
      </c>
      <c r="F64" s="349">
        <v>75.14</v>
      </c>
      <c r="G64" s="349">
        <v>351.87</v>
      </c>
      <c r="H64" s="351"/>
      <c r="I64" s="350"/>
      <c r="J64" s="350"/>
      <c r="K64" s="351"/>
      <c r="L64" s="351"/>
      <c r="M64" s="351"/>
      <c r="N64" s="349"/>
      <c r="O64" s="349">
        <f t="shared" si="0"/>
        <v>0</v>
      </c>
      <c r="P64" s="206">
        <f t="shared" si="1"/>
        <v>351.87</v>
      </c>
      <c r="Q64" s="349">
        <f t="shared" si="2"/>
        <v>26439.5118</v>
      </c>
      <c r="R64" s="352">
        <f t="shared" si="3"/>
        <v>0</v>
      </c>
      <c r="S64" s="352">
        <f t="shared" si="4"/>
        <v>0</v>
      </c>
      <c r="T64" s="352">
        <f t="shared" si="5"/>
        <v>0</v>
      </c>
      <c r="U64" s="352">
        <f t="shared" si="6"/>
        <v>0</v>
      </c>
      <c r="V64" s="352">
        <f t="shared" si="7"/>
        <v>0</v>
      </c>
      <c r="W64" s="352">
        <f t="shared" si="8"/>
        <v>0</v>
      </c>
      <c r="X64" s="352">
        <f t="shared" si="9"/>
        <v>0</v>
      </c>
      <c r="Y64" s="353">
        <f t="shared" si="10"/>
        <v>0</v>
      </c>
      <c r="Z64" s="354">
        <f t="shared" si="11"/>
        <v>26439.5118</v>
      </c>
      <c r="AA64" s="506">
        <f t="shared" si="12"/>
        <v>0</v>
      </c>
    </row>
    <row r="65" spans="2:27" x14ac:dyDescent="0.25">
      <c r="B65" s="356">
        <v>1.7</v>
      </c>
      <c r="C65" s="357" t="s">
        <v>162</v>
      </c>
      <c r="D65" s="348"/>
      <c r="E65" s="349"/>
      <c r="F65" s="349"/>
      <c r="G65" s="349"/>
      <c r="H65" s="351"/>
      <c r="I65" s="350"/>
      <c r="J65" s="350"/>
      <c r="K65" s="351"/>
      <c r="L65" s="351"/>
      <c r="M65" s="351"/>
      <c r="N65" s="349"/>
      <c r="O65" s="349"/>
      <c r="P65" s="206"/>
      <c r="Q65" s="349"/>
      <c r="R65" s="352">
        <f t="shared" si="3"/>
        <v>0</v>
      </c>
      <c r="S65" s="352">
        <f t="shared" si="4"/>
        <v>0</v>
      </c>
      <c r="T65" s="352">
        <f t="shared" si="5"/>
        <v>0</v>
      </c>
      <c r="U65" s="352">
        <f t="shared" si="6"/>
        <v>0</v>
      </c>
      <c r="V65" s="352">
        <f t="shared" si="7"/>
        <v>0</v>
      </c>
      <c r="W65" s="352"/>
      <c r="X65" s="352">
        <f t="shared" si="9"/>
        <v>0</v>
      </c>
      <c r="Y65" s="353">
        <f t="shared" si="10"/>
        <v>0</v>
      </c>
      <c r="Z65" s="354"/>
      <c r="AA65" s="506"/>
    </row>
    <row r="66" spans="2:27" ht="56.25" x14ac:dyDescent="0.25">
      <c r="B66" s="346" t="s">
        <v>163</v>
      </c>
      <c r="C66" s="347">
        <v>91315</v>
      </c>
      <c r="D66" s="355" t="s">
        <v>165</v>
      </c>
      <c r="E66" s="349" t="s">
        <v>166</v>
      </c>
      <c r="F66" s="349">
        <v>919.01</v>
      </c>
      <c r="G66" s="349">
        <v>18</v>
      </c>
      <c r="H66" s="278"/>
      <c r="I66" s="350"/>
      <c r="J66" s="350"/>
      <c r="K66" s="278"/>
      <c r="L66" s="278"/>
      <c r="M66" s="278"/>
      <c r="N66" s="278"/>
      <c r="O66" s="349">
        <f t="shared" si="0"/>
        <v>0</v>
      </c>
      <c r="P66" s="206">
        <f t="shared" si="1"/>
        <v>18</v>
      </c>
      <c r="Q66" s="349">
        <f t="shared" si="2"/>
        <v>16542.18</v>
      </c>
      <c r="R66" s="352">
        <f t="shared" si="3"/>
        <v>0</v>
      </c>
      <c r="S66" s="352">
        <f t="shared" si="4"/>
        <v>0</v>
      </c>
      <c r="T66" s="352">
        <f t="shared" si="5"/>
        <v>0</v>
      </c>
      <c r="U66" s="352">
        <f t="shared" si="6"/>
        <v>0</v>
      </c>
      <c r="V66" s="352">
        <f t="shared" si="7"/>
        <v>0</v>
      </c>
      <c r="W66" s="352">
        <f t="shared" si="8"/>
        <v>0</v>
      </c>
      <c r="X66" s="352">
        <f t="shared" si="9"/>
        <v>0</v>
      </c>
      <c r="Y66" s="353">
        <f t="shared" si="10"/>
        <v>0</v>
      </c>
      <c r="Z66" s="354">
        <f t="shared" si="11"/>
        <v>16542.18</v>
      </c>
      <c r="AA66" s="506">
        <f t="shared" si="12"/>
        <v>0</v>
      </c>
    </row>
    <row r="67" spans="2:27" ht="45" x14ac:dyDescent="0.25">
      <c r="B67" s="346" t="s">
        <v>167</v>
      </c>
      <c r="C67" s="347">
        <v>94570</v>
      </c>
      <c r="D67" s="348" t="s">
        <v>169</v>
      </c>
      <c r="E67" s="349" t="s">
        <v>17</v>
      </c>
      <c r="F67" s="349">
        <v>960.32</v>
      </c>
      <c r="G67" s="349">
        <v>49.7</v>
      </c>
      <c r="H67" s="351"/>
      <c r="I67" s="350"/>
      <c r="J67" s="350"/>
      <c r="K67" s="351"/>
      <c r="L67" s="351"/>
      <c r="M67" s="351"/>
      <c r="N67" s="349"/>
      <c r="O67" s="349">
        <f t="shared" si="0"/>
        <v>0</v>
      </c>
      <c r="P67" s="206">
        <f t="shared" si="1"/>
        <v>49.7</v>
      </c>
      <c r="Q67" s="349">
        <f t="shared" si="2"/>
        <v>47727.904000000002</v>
      </c>
      <c r="R67" s="352">
        <f t="shared" si="3"/>
        <v>0</v>
      </c>
      <c r="S67" s="352">
        <f t="shared" si="4"/>
        <v>0</v>
      </c>
      <c r="T67" s="352">
        <f t="shared" si="5"/>
        <v>0</v>
      </c>
      <c r="U67" s="352">
        <f t="shared" si="6"/>
        <v>0</v>
      </c>
      <c r="V67" s="352">
        <f t="shared" si="7"/>
        <v>0</v>
      </c>
      <c r="W67" s="352">
        <f t="shared" si="8"/>
        <v>0</v>
      </c>
      <c r="X67" s="352">
        <f t="shared" si="9"/>
        <v>0</v>
      </c>
      <c r="Y67" s="353">
        <f t="shared" si="10"/>
        <v>0</v>
      </c>
      <c r="Z67" s="354">
        <f t="shared" si="11"/>
        <v>47727.904000000002</v>
      </c>
      <c r="AA67" s="506">
        <f t="shared" si="12"/>
        <v>0</v>
      </c>
    </row>
    <row r="68" spans="2:27" ht="56.25" x14ac:dyDescent="0.25">
      <c r="B68" s="346" t="s">
        <v>170</v>
      </c>
      <c r="C68" s="347">
        <v>100689</v>
      </c>
      <c r="D68" s="348" t="s">
        <v>172</v>
      </c>
      <c r="E68" s="349" t="s">
        <v>166</v>
      </c>
      <c r="F68" s="349">
        <v>1069.74</v>
      </c>
      <c r="G68" s="349">
        <v>5</v>
      </c>
      <c r="H68" s="351"/>
      <c r="I68" s="350"/>
      <c r="J68" s="350"/>
      <c r="K68" s="351"/>
      <c r="L68" s="351"/>
      <c r="M68" s="351"/>
      <c r="N68" s="349"/>
      <c r="O68" s="349">
        <f t="shared" si="0"/>
        <v>0</v>
      </c>
      <c r="P68" s="206">
        <f t="shared" si="1"/>
        <v>5</v>
      </c>
      <c r="Q68" s="349">
        <f t="shared" si="2"/>
        <v>5348.7</v>
      </c>
      <c r="R68" s="352">
        <f t="shared" si="3"/>
        <v>0</v>
      </c>
      <c r="S68" s="352">
        <f t="shared" si="4"/>
        <v>0</v>
      </c>
      <c r="T68" s="352">
        <f t="shared" si="5"/>
        <v>0</v>
      </c>
      <c r="U68" s="352">
        <f t="shared" si="6"/>
        <v>0</v>
      </c>
      <c r="V68" s="352">
        <f t="shared" si="7"/>
        <v>0</v>
      </c>
      <c r="W68" s="352">
        <f t="shared" si="8"/>
        <v>0</v>
      </c>
      <c r="X68" s="352">
        <f t="shared" si="9"/>
        <v>0</v>
      </c>
      <c r="Y68" s="353">
        <f t="shared" si="10"/>
        <v>0</v>
      </c>
      <c r="Z68" s="354">
        <f t="shared" si="11"/>
        <v>5348.7</v>
      </c>
      <c r="AA68" s="506">
        <f t="shared" si="12"/>
        <v>0</v>
      </c>
    </row>
    <row r="69" spans="2:27" ht="33.75" x14ac:dyDescent="0.25">
      <c r="B69" s="346" t="s">
        <v>173</v>
      </c>
      <c r="C69" s="358" t="s">
        <v>174</v>
      </c>
      <c r="D69" s="348" t="s">
        <v>175</v>
      </c>
      <c r="E69" s="349" t="s">
        <v>5</v>
      </c>
      <c r="F69" s="349">
        <v>2030.34</v>
      </c>
      <c r="G69" s="349">
        <v>1</v>
      </c>
      <c r="H69" s="351"/>
      <c r="I69" s="350"/>
      <c r="J69" s="350"/>
      <c r="K69" s="351"/>
      <c r="L69" s="351"/>
      <c r="M69" s="351"/>
      <c r="N69" s="349"/>
      <c r="O69" s="349">
        <f t="shared" si="0"/>
        <v>0</v>
      </c>
      <c r="P69" s="206">
        <f t="shared" si="1"/>
        <v>1</v>
      </c>
      <c r="Q69" s="349">
        <f t="shared" si="2"/>
        <v>2030.34</v>
      </c>
      <c r="R69" s="352">
        <f t="shared" si="3"/>
        <v>0</v>
      </c>
      <c r="S69" s="352">
        <f t="shared" si="4"/>
        <v>0</v>
      </c>
      <c r="T69" s="352">
        <f t="shared" si="5"/>
        <v>0</v>
      </c>
      <c r="U69" s="352">
        <f t="shared" si="6"/>
        <v>0</v>
      </c>
      <c r="V69" s="352">
        <f t="shared" si="7"/>
        <v>0</v>
      </c>
      <c r="W69" s="352">
        <f t="shared" si="8"/>
        <v>0</v>
      </c>
      <c r="X69" s="352">
        <f t="shared" si="9"/>
        <v>0</v>
      </c>
      <c r="Y69" s="353">
        <f t="shared" si="10"/>
        <v>0</v>
      </c>
      <c r="Z69" s="354">
        <f t="shared" si="11"/>
        <v>2030.34</v>
      </c>
      <c r="AA69" s="506">
        <f t="shared" si="12"/>
        <v>0</v>
      </c>
    </row>
    <row r="70" spans="2:27" ht="33.75" x14ac:dyDescent="0.25">
      <c r="B70" s="346" t="s">
        <v>176</v>
      </c>
      <c r="C70" s="358" t="s">
        <v>177</v>
      </c>
      <c r="D70" s="348" t="s">
        <v>178</v>
      </c>
      <c r="E70" s="349" t="s">
        <v>5</v>
      </c>
      <c r="F70" s="349">
        <v>4697.45</v>
      </c>
      <c r="G70" s="349">
        <v>3</v>
      </c>
      <c r="H70" s="351"/>
      <c r="I70" s="350"/>
      <c r="J70" s="350"/>
      <c r="K70" s="351"/>
      <c r="L70" s="351"/>
      <c r="M70" s="351"/>
      <c r="N70" s="349"/>
      <c r="O70" s="349">
        <f t="shared" si="0"/>
        <v>0</v>
      </c>
      <c r="P70" s="206">
        <f t="shared" si="1"/>
        <v>3</v>
      </c>
      <c r="Q70" s="349">
        <f t="shared" si="2"/>
        <v>14092.349999999999</v>
      </c>
      <c r="R70" s="352">
        <f t="shared" si="3"/>
        <v>0</v>
      </c>
      <c r="S70" s="352">
        <f t="shared" si="4"/>
        <v>0</v>
      </c>
      <c r="T70" s="352">
        <f t="shared" si="5"/>
        <v>0</v>
      </c>
      <c r="U70" s="352">
        <f t="shared" si="6"/>
        <v>0</v>
      </c>
      <c r="V70" s="352">
        <f t="shared" si="7"/>
        <v>0</v>
      </c>
      <c r="W70" s="352">
        <f t="shared" si="8"/>
        <v>0</v>
      </c>
      <c r="X70" s="352">
        <f t="shared" si="9"/>
        <v>0</v>
      </c>
      <c r="Y70" s="353">
        <f t="shared" si="10"/>
        <v>0</v>
      </c>
      <c r="Z70" s="354">
        <f t="shared" si="11"/>
        <v>14092.349999999999</v>
      </c>
      <c r="AA70" s="506">
        <f t="shared" si="12"/>
        <v>0</v>
      </c>
    </row>
    <row r="71" spans="2:27" ht="33.75" x14ac:dyDescent="0.25">
      <c r="B71" s="346" t="s">
        <v>179</v>
      </c>
      <c r="C71" s="347">
        <v>91341</v>
      </c>
      <c r="D71" s="348" t="s">
        <v>181</v>
      </c>
      <c r="E71" s="349" t="s">
        <v>17</v>
      </c>
      <c r="F71" s="349">
        <v>976.37</v>
      </c>
      <c r="G71" s="349">
        <v>12.96</v>
      </c>
      <c r="H71" s="351"/>
      <c r="I71" s="350"/>
      <c r="J71" s="350"/>
      <c r="K71" s="351"/>
      <c r="L71" s="351"/>
      <c r="M71" s="351"/>
      <c r="N71" s="349"/>
      <c r="O71" s="349">
        <f t="shared" si="0"/>
        <v>0</v>
      </c>
      <c r="P71" s="206">
        <f t="shared" si="1"/>
        <v>12.96</v>
      </c>
      <c r="Q71" s="349">
        <f t="shared" si="2"/>
        <v>12653.755200000001</v>
      </c>
      <c r="R71" s="352">
        <f t="shared" si="3"/>
        <v>0</v>
      </c>
      <c r="S71" s="352">
        <f t="shared" si="4"/>
        <v>0</v>
      </c>
      <c r="T71" s="352">
        <f t="shared" si="5"/>
        <v>0</v>
      </c>
      <c r="U71" s="352">
        <f t="shared" si="6"/>
        <v>0</v>
      </c>
      <c r="V71" s="352">
        <f t="shared" si="7"/>
        <v>0</v>
      </c>
      <c r="W71" s="352">
        <f t="shared" si="8"/>
        <v>0</v>
      </c>
      <c r="X71" s="352">
        <f t="shared" si="9"/>
        <v>0</v>
      </c>
      <c r="Y71" s="353">
        <f t="shared" si="10"/>
        <v>0</v>
      </c>
      <c r="Z71" s="354">
        <f t="shared" si="11"/>
        <v>12653.755200000001</v>
      </c>
      <c r="AA71" s="506">
        <f t="shared" si="12"/>
        <v>0</v>
      </c>
    </row>
    <row r="72" spans="2:27" ht="33.75" x14ac:dyDescent="0.25">
      <c r="B72" s="346" t="s">
        <v>182</v>
      </c>
      <c r="C72" s="347">
        <v>100702</v>
      </c>
      <c r="D72" s="348" t="s">
        <v>184</v>
      </c>
      <c r="E72" s="349" t="s">
        <v>17</v>
      </c>
      <c r="F72" s="349">
        <v>579.9</v>
      </c>
      <c r="G72" s="349">
        <v>19.96</v>
      </c>
      <c r="H72" s="351"/>
      <c r="I72" s="350"/>
      <c r="J72" s="350"/>
      <c r="K72" s="351"/>
      <c r="L72" s="351"/>
      <c r="M72" s="351"/>
      <c r="N72" s="349"/>
      <c r="O72" s="349">
        <f t="shared" si="0"/>
        <v>0</v>
      </c>
      <c r="P72" s="206">
        <f t="shared" si="1"/>
        <v>19.96</v>
      </c>
      <c r="Q72" s="349">
        <f t="shared" si="2"/>
        <v>11574.804</v>
      </c>
      <c r="R72" s="352">
        <f t="shared" si="3"/>
        <v>0</v>
      </c>
      <c r="S72" s="352">
        <f t="shared" si="4"/>
        <v>0</v>
      </c>
      <c r="T72" s="352">
        <f t="shared" si="5"/>
        <v>0</v>
      </c>
      <c r="U72" s="352">
        <f t="shared" si="6"/>
        <v>0</v>
      </c>
      <c r="V72" s="352">
        <f t="shared" si="7"/>
        <v>0</v>
      </c>
      <c r="W72" s="352">
        <f t="shared" si="8"/>
        <v>0</v>
      </c>
      <c r="X72" s="352">
        <f t="shared" si="9"/>
        <v>0</v>
      </c>
      <c r="Y72" s="353">
        <f t="shared" si="10"/>
        <v>0</v>
      </c>
      <c r="Z72" s="354">
        <f t="shared" si="11"/>
        <v>11574.804</v>
      </c>
      <c r="AA72" s="506">
        <f t="shared" si="12"/>
        <v>0</v>
      </c>
    </row>
    <row r="73" spans="2:27" ht="45" x14ac:dyDescent="0.25">
      <c r="B73" s="346" t="s">
        <v>185</v>
      </c>
      <c r="C73" s="347">
        <v>90831</v>
      </c>
      <c r="D73" s="348" t="s">
        <v>187</v>
      </c>
      <c r="E73" s="349" t="s">
        <v>166</v>
      </c>
      <c r="F73" s="349">
        <v>137.30000000000001</v>
      </c>
      <c r="G73" s="349">
        <v>8</v>
      </c>
      <c r="H73" s="351"/>
      <c r="I73" s="350"/>
      <c r="J73" s="350"/>
      <c r="K73" s="351"/>
      <c r="L73" s="351"/>
      <c r="M73" s="351"/>
      <c r="N73" s="349"/>
      <c r="O73" s="349">
        <f t="shared" si="0"/>
        <v>0</v>
      </c>
      <c r="P73" s="206">
        <f t="shared" si="1"/>
        <v>8</v>
      </c>
      <c r="Q73" s="349">
        <f t="shared" si="2"/>
        <v>1098.4000000000001</v>
      </c>
      <c r="R73" s="352">
        <f t="shared" si="3"/>
        <v>0</v>
      </c>
      <c r="S73" s="352">
        <f t="shared" si="4"/>
        <v>0</v>
      </c>
      <c r="T73" s="352">
        <f t="shared" si="5"/>
        <v>0</v>
      </c>
      <c r="U73" s="352">
        <f t="shared" si="6"/>
        <v>0</v>
      </c>
      <c r="V73" s="352">
        <f t="shared" si="7"/>
        <v>0</v>
      </c>
      <c r="W73" s="352">
        <f t="shared" si="8"/>
        <v>0</v>
      </c>
      <c r="X73" s="352">
        <f t="shared" si="9"/>
        <v>0</v>
      </c>
      <c r="Y73" s="353">
        <f t="shared" si="10"/>
        <v>0</v>
      </c>
      <c r="Z73" s="354">
        <f t="shared" si="11"/>
        <v>1098.4000000000001</v>
      </c>
      <c r="AA73" s="506">
        <f t="shared" si="12"/>
        <v>0</v>
      </c>
    </row>
    <row r="74" spans="2:27" x14ac:dyDescent="0.25">
      <c r="B74" s="356">
        <v>1.8</v>
      </c>
      <c r="C74" s="357" t="s">
        <v>189</v>
      </c>
      <c r="D74" s="348"/>
      <c r="E74" s="277"/>
      <c r="F74" s="349"/>
      <c r="G74" s="349"/>
      <c r="H74" s="351"/>
      <c r="I74" s="350"/>
      <c r="J74" s="350"/>
      <c r="K74" s="351"/>
      <c r="L74" s="351"/>
      <c r="M74" s="351"/>
      <c r="N74" s="349"/>
      <c r="O74" s="349"/>
      <c r="P74" s="206"/>
      <c r="Q74" s="349"/>
      <c r="R74" s="352">
        <f t="shared" si="3"/>
        <v>0</v>
      </c>
      <c r="S74" s="352">
        <f t="shared" si="4"/>
        <v>0</v>
      </c>
      <c r="T74" s="352">
        <f t="shared" si="5"/>
        <v>0</v>
      </c>
      <c r="U74" s="352">
        <f t="shared" si="6"/>
        <v>0</v>
      </c>
      <c r="V74" s="352">
        <f t="shared" si="7"/>
        <v>0</v>
      </c>
      <c r="W74" s="352">
        <f t="shared" si="8"/>
        <v>0</v>
      </c>
      <c r="X74" s="352">
        <f t="shared" si="9"/>
        <v>0</v>
      </c>
      <c r="Y74" s="353">
        <f t="shared" si="10"/>
        <v>0</v>
      </c>
      <c r="Z74" s="354">
        <f t="shared" si="11"/>
        <v>0</v>
      </c>
      <c r="AA74" s="506"/>
    </row>
    <row r="75" spans="2:27" ht="22.5" x14ac:dyDescent="0.25">
      <c r="B75" s="346" t="s">
        <v>190</v>
      </c>
      <c r="C75" s="347">
        <v>88485</v>
      </c>
      <c r="D75" s="348" t="s">
        <v>192</v>
      </c>
      <c r="E75" s="277" t="s">
        <v>17</v>
      </c>
      <c r="F75" s="349">
        <v>2.74</v>
      </c>
      <c r="G75" s="349">
        <v>997.11</v>
      </c>
      <c r="H75" s="351"/>
      <c r="I75" s="350"/>
      <c r="J75" s="350"/>
      <c r="K75" s="351"/>
      <c r="L75" s="351"/>
      <c r="M75" s="351"/>
      <c r="N75" s="349"/>
      <c r="O75" s="349">
        <f t="shared" si="0"/>
        <v>0</v>
      </c>
      <c r="P75" s="206">
        <f t="shared" si="1"/>
        <v>997.11</v>
      </c>
      <c r="Q75" s="349">
        <f t="shared" si="2"/>
        <v>2732.0814</v>
      </c>
      <c r="R75" s="352">
        <f t="shared" si="3"/>
        <v>0</v>
      </c>
      <c r="S75" s="352">
        <f t="shared" si="4"/>
        <v>0</v>
      </c>
      <c r="T75" s="352">
        <f t="shared" si="5"/>
        <v>0</v>
      </c>
      <c r="U75" s="352">
        <f t="shared" si="6"/>
        <v>0</v>
      </c>
      <c r="V75" s="352">
        <f t="shared" si="7"/>
        <v>0</v>
      </c>
      <c r="W75" s="352">
        <f t="shared" si="8"/>
        <v>0</v>
      </c>
      <c r="X75" s="352">
        <f t="shared" si="9"/>
        <v>0</v>
      </c>
      <c r="Y75" s="353">
        <f t="shared" si="10"/>
        <v>0</v>
      </c>
      <c r="Z75" s="354">
        <f t="shared" si="11"/>
        <v>2732.0814</v>
      </c>
      <c r="AA75" s="506">
        <f t="shared" si="12"/>
        <v>0</v>
      </c>
    </row>
    <row r="76" spans="2:27" ht="22.5" x14ac:dyDescent="0.25">
      <c r="B76" s="346" t="s">
        <v>193</v>
      </c>
      <c r="C76" s="347">
        <v>88495</v>
      </c>
      <c r="D76" s="348" t="s">
        <v>195</v>
      </c>
      <c r="E76" s="277" t="s">
        <v>17</v>
      </c>
      <c r="F76" s="349">
        <v>9.86</v>
      </c>
      <c r="G76" s="349">
        <v>997.11</v>
      </c>
      <c r="H76" s="351"/>
      <c r="I76" s="350"/>
      <c r="J76" s="350"/>
      <c r="K76" s="351"/>
      <c r="L76" s="351"/>
      <c r="M76" s="351"/>
      <c r="N76" s="349"/>
      <c r="O76" s="349">
        <f t="shared" si="0"/>
        <v>0</v>
      </c>
      <c r="P76" s="206">
        <f t="shared" si="1"/>
        <v>997.11</v>
      </c>
      <c r="Q76" s="349">
        <f t="shared" si="2"/>
        <v>9831.5046000000002</v>
      </c>
      <c r="R76" s="352">
        <f t="shared" si="3"/>
        <v>0</v>
      </c>
      <c r="S76" s="352">
        <f t="shared" si="4"/>
        <v>0</v>
      </c>
      <c r="T76" s="352">
        <f t="shared" si="5"/>
        <v>0</v>
      </c>
      <c r="U76" s="352">
        <f t="shared" si="6"/>
        <v>0</v>
      </c>
      <c r="V76" s="352">
        <f t="shared" si="7"/>
        <v>0</v>
      </c>
      <c r="W76" s="352">
        <f t="shared" si="8"/>
        <v>0</v>
      </c>
      <c r="X76" s="352">
        <f t="shared" si="9"/>
        <v>0</v>
      </c>
      <c r="Y76" s="353">
        <f t="shared" si="10"/>
        <v>0</v>
      </c>
      <c r="Z76" s="354">
        <f t="shared" si="11"/>
        <v>9831.5046000000002</v>
      </c>
      <c r="AA76" s="506">
        <f t="shared" si="12"/>
        <v>0</v>
      </c>
    </row>
    <row r="77" spans="2:27" ht="22.5" x14ac:dyDescent="0.25">
      <c r="B77" s="346" t="s">
        <v>196</v>
      </c>
      <c r="C77" s="347">
        <v>88489</v>
      </c>
      <c r="D77" s="348" t="s">
        <v>198</v>
      </c>
      <c r="E77" s="277" t="s">
        <v>17</v>
      </c>
      <c r="F77" s="349">
        <v>12.16</v>
      </c>
      <c r="G77" s="349">
        <v>997.11</v>
      </c>
      <c r="H77" s="351"/>
      <c r="I77" s="350"/>
      <c r="J77" s="350"/>
      <c r="K77" s="351"/>
      <c r="L77" s="351"/>
      <c r="M77" s="351"/>
      <c r="N77" s="349"/>
      <c r="O77" s="349">
        <f t="shared" si="0"/>
        <v>0</v>
      </c>
      <c r="P77" s="206">
        <f t="shared" si="1"/>
        <v>997.11</v>
      </c>
      <c r="Q77" s="349">
        <f t="shared" si="2"/>
        <v>12124.857600000001</v>
      </c>
      <c r="R77" s="352">
        <f t="shared" si="3"/>
        <v>0</v>
      </c>
      <c r="S77" s="352">
        <f t="shared" si="4"/>
        <v>0</v>
      </c>
      <c r="T77" s="352">
        <f t="shared" si="5"/>
        <v>0</v>
      </c>
      <c r="U77" s="352">
        <f t="shared" si="6"/>
        <v>0</v>
      </c>
      <c r="V77" s="352">
        <f t="shared" si="7"/>
        <v>0</v>
      </c>
      <c r="W77" s="352">
        <f t="shared" si="8"/>
        <v>0</v>
      </c>
      <c r="X77" s="352">
        <f t="shared" si="9"/>
        <v>0</v>
      </c>
      <c r="Y77" s="353">
        <f t="shared" si="10"/>
        <v>0</v>
      </c>
      <c r="Z77" s="354">
        <f t="shared" si="11"/>
        <v>12124.857600000001</v>
      </c>
      <c r="AA77" s="506">
        <f t="shared" si="12"/>
        <v>0</v>
      </c>
    </row>
    <row r="78" spans="2:27" ht="22.5" x14ac:dyDescent="0.25">
      <c r="B78" s="346" t="s">
        <v>199</v>
      </c>
      <c r="C78" s="347">
        <v>88484</v>
      </c>
      <c r="D78" s="348" t="s">
        <v>201</v>
      </c>
      <c r="E78" s="277" t="s">
        <v>17</v>
      </c>
      <c r="F78" s="349">
        <v>3.1</v>
      </c>
      <c r="G78" s="349">
        <v>634.5</v>
      </c>
      <c r="H78" s="351"/>
      <c r="I78" s="350"/>
      <c r="J78" s="350"/>
      <c r="K78" s="351"/>
      <c r="L78" s="351"/>
      <c r="M78" s="351"/>
      <c r="N78" s="349"/>
      <c r="O78" s="349">
        <f t="shared" si="0"/>
        <v>0</v>
      </c>
      <c r="P78" s="206">
        <f t="shared" si="1"/>
        <v>634.5</v>
      </c>
      <c r="Q78" s="349">
        <f t="shared" si="2"/>
        <v>1966.95</v>
      </c>
      <c r="R78" s="352">
        <f t="shared" si="3"/>
        <v>0</v>
      </c>
      <c r="S78" s="352">
        <f t="shared" si="4"/>
        <v>0</v>
      </c>
      <c r="T78" s="352">
        <f t="shared" si="5"/>
        <v>0</v>
      </c>
      <c r="U78" s="352">
        <f t="shared" si="6"/>
        <v>0</v>
      </c>
      <c r="V78" s="352">
        <f t="shared" si="7"/>
        <v>0</v>
      </c>
      <c r="W78" s="352">
        <f t="shared" si="8"/>
        <v>0</v>
      </c>
      <c r="X78" s="352">
        <f t="shared" si="9"/>
        <v>0</v>
      </c>
      <c r="Y78" s="353">
        <f t="shared" si="10"/>
        <v>0</v>
      </c>
      <c r="Z78" s="354">
        <f t="shared" si="11"/>
        <v>1966.95</v>
      </c>
      <c r="AA78" s="506">
        <f t="shared" si="12"/>
        <v>0</v>
      </c>
    </row>
    <row r="79" spans="2:27" ht="22.5" x14ac:dyDescent="0.25">
      <c r="B79" s="346" t="s">
        <v>202</v>
      </c>
      <c r="C79" s="347">
        <v>88494</v>
      </c>
      <c r="D79" s="348" t="s">
        <v>204</v>
      </c>
      <c r="E79" s="277" t="s">
        <v>17</v>
      </c>
      <c r="F79" s="349">
        <v>17.43</v>
      </c>
      <c r="G79" s="349">
        <v>634.5</v>
      </c>
      <c r="H79" s="351"/>
      <c r="I79" s="350"/>
      <c r="J79" s="350"/>
      <c r="K79" s="351"/>
      <c r="L79" s="351"/>
      <c r="M79" s="351"/>
      <c r="N79" s="349"/>
      <c r="O79" s="349">
        <f t="shared" ref="O79:O142" si="13">H79+I79+J79+K79+L79+M79+N79</f>
        <v>0</v>
      </c>
      <c r="P79" s="206">
        <f t="shared" ref="P79:P142" si="14">G79-O79</f>
        <v>634.5</v>
      </c>
      <c r="Q79" s="349">
        <f t="shared" ref="Q79:Q142" si="15">F79*G79</f>
        <v>11059.334999999999</v>
      </c>
      <c r="R79" s="352">
        <f t="shared" ref="R79:R142" si="16">F79*H79</f>
        <v>0</v>
      </c>
      <c r="S79" s="352">
        <f t="shared" ref="S79:S142" si="17">F79*I79</f>
        <v>0</v>
      </c>
      <c r="T79" s="352">
        <f t="shared" ref="T79:T142" si="18">F79*J79</f>
        <v>0</v>
      </c>
      <c r="U79" s="352">
        <f t="shared" ref="U79:U142" si="19">TRUNC(F79*K79,2)</f>
        <v>0</v>
      </c>
      <c r="V79" s="352">
        <f t="shared" ref="V79:V142" si="20">TRUNC(F79*L79,2)</f>
        <v>0</v>
      </c>
      <c r="W79" s="352">
        <f t="shared" ref="W79:W142" si="21">M79*F79</f>
        <v>0</v>
      </c>
      <c r="X79" s="352">
        <f t="shared" ref="X79:X142" si="22">F79*N79</f>
        <v>0</v>
      </c>
      <c r="Y79" s="353">
        <f t="shared" ref="Y79:Y142" si="23">R79+S79+T79+U79+V79+W79+X79</f>
        <v>0</v>
      </c>
      <c r="Z79" s="354">
        <f t="shared" ref="Z79:Z142" si="24">Q79-Y79</f>
        <v>11059.334999999999</v>
      </c>
      <c r="AA79" s="506">
        <f t="shared" ref="AA79:AA142" si="25">Y79/Q79</f>
        <v>0</v>
      </c>
    </row>
    <row r="80" spans="2:27" ht="22.5" x14ac:dyDescent="0.25">
      <c r="B80" s="346" t="s">
        <v>205</v>
      </c>
      <c r="C80" s="347">
        <v>88488</v>
      </c>
      <c r="D80" s="348" t="s">
        <v>207</v>
      </c>
      <c r="E80" s="277" t="s">
        <v>17</v>
      </c>
      <c r="F80" s="349">
        <v>13.74</v>
      </c>
      <c r="G80" s="349">
        <v>634.5</v>
      </c>
      <c r="H80" s="351"/>
      <c r="I80" s="350"/>
      <c r="J80" s="350"/>
      <c r="K80" s="351"/>
      <c r="L80" s="351"/>
      <c r="M80" s="351"/>
      <c r="N80" s="349"/>
      <c r="O80" s="349">
        <f t="shared" si="13"/>
        <v>0</v>
      </c>
      <c r="P80" s="206">
        <f t="shared" si="14"/>
        <v>634.5</v>
      </c>
      <c r="Q80" s="349">
        <f t="shared" si="15"/>
        <v>8718.0300000000007</v>
      </c>
      <c r="R80" s="352">
        <f t="shared" si="16"/>
        <v>0</v>
      </c>
      <c r="S80" s="352">
        <f t="shared" si="17"/>
        <v>0</v>
      </c>
      <c r="T80" s="352">
        <f t="shared" si="18"/>
        <v>0</v>
      </c>
      <c r="U80" s="352">
        <f t="shared" si="19"/>
        <v>0</v>
      </c>
      <c r="V80" s="352">
        <f t="shared" si="20"/>
        <v>0</v>
      </c>
      <c r="W80" s="352">
        <f t="shared" si="21"/>
        <v>0</v>
      </c>
      <c r="X80" s="352">
        <f t="shared" si="22"/>
        <v>0</v>
      </c>
      <c r="Y80" s="353">
        <f t="shared" si="23"/>
        <v>0</v>
      </c>
      <c r="Z80" s="354">
        <f t="shared" si="24"/>
        <v>8718.0300000000007</v>
      </c>
      <c r="AA80" s="506">
        <f t="shared" si="25"/>
        <v>0</v>
      </c>
    </row>
    <row r="81" spans="2:27" ht="14.45" customHeight="1" x14ac:dyDescent="0.25">
      <c r="B81" s="356" t="s">
        <v>208</v>
      </c>
      <c r="C81" s="357" t="s">
        <v>209</v>
      </c>
      <c r="D81" s="348"/>
      <c r="E81" s="277"/>
      <c r="F81" s="349"/>
      <c r="G81" s="349"/>
      <c r="H81" s="351"/>
      <c r="I81" s="350"/>
      <c r="J81" s="350"/>
      <c r="K81" s="351"/>
      <c r="L81" s="351"/>
      <c r="M81" s="351"/>
      <c r="N81" s="349"/>
      <c r="O81" s="349"/>
      <c r="P81" s="206"/>
      <c r="Q81" s="349"/>
      <c r="R81" s="352">
        <f t="shared" si="16"/>
        <v>0</v>
      </c>
      <c r="S81" s="352">
        <f t="shared" si="17"/>
        <v>0</v>
      </c>
      <c r="T81" s="352">
        <f t="shared" si="18"/>
        <v>0</v>
      </c>
      <c r="U81" s="352">
        <f t="shared" si="19"/>
        <v>0</v>
      </c>
      <c r="V81" s="352">
        <f t="shared" si="20"/>
        <v>0</v>
      </c>
      <c r="W81" s="352">
        <f t="shared" si="21"/>
        <v>0</v>
      </c>
      <c r="X81" s="352">
        <f t="shared" si="22"/>
        <v>0</v>
      </c>
      <c r="Y81" s="353">
        <f t="shared" si="23"/>
        <v>0</v>
      </c>
      <c r="Z81" s="354">
        <f t="shared" si="24"/>
        <v>0</v>
      </c>
      <c r="AA81" s="506"/>
    </row>
    <row r="82" spans="2:27" ht="45" x14ac:dyDescent="0.25">
      <c r="B82" s="332" t="s">
        <v>210</v>
      </c>
      <c r="C82" s="333">
        <v>87894</v>
      </c>
      <c r="D82" s="334" t="s">
        <v>212</v>
      </c>
      <c r="E82" s="335" t="s">
        <v>17</v>
      </c>
      <c r="F82" s="336">
        <v>5.72</v>
      </c>
      <c r="G82" s="336">
        <v>466.37</v>
      </c>
      <c r="H82" s="337"/>
      <c r="I82" s="338"/>
      <c r="J82" s="338"/>
      <c r="K82" s="337"/>
      <c r="L82" s="337"/>
      <c r="M82" s="337"/>
      <c r="N82" s="337">
        <f>'MEMORIAL DE CALCULO 07'!K421</f>
        <v>320.44</v>
      </c>
      <c r="O82" s="336">
        <f t="shared" si="13"/>
        <v>320.44</v>
      </c>
      <c r="P82" s="336">
        <f t="shared" si="14"/>
        <v>145.93</v>
      </c>
      <c r="Q82" s="336">
        <f t="shared" si="15"/>
        <v>2667.6363999999999</v>
      </c>
      <c r="R82" s="339">
        <f t="shared" si="16"/>
        <v>0</v>
      </c>
      <c r="S82" s="339">
        <f t="shared" si="17"/>
        <v>0</v>
      </c>
      <c r="T82" s="339">
        <f t="shared" si="18"/>
        <v>0</v>
      </c>
      <c r="U82" s="339">
        <f t="shared" si="19"/>
        <v>0</v>
      </c>
      <c r="V82" s="339">
        <f t="shared" si="20"/>
        <v>0</v>
      </c>
      <c r="W82" s="339">
        <f t="shared" si="21"/>
        <v>0</v>
      </c>
      <c r="X82" s="339">
        <f t="shared" si="22"/>
        <v>1832.9168</v>
      </c>
      <c r="Y82" s="340">
        <f t="shared" si="23"/>
        <v>1832.9168</v>
      </c>
      <c r="Z82" s="341">
        <f t="shared" si="24"/>
        <v>834.7195999999999</v>
      </c>
      <c r="AA82" s="506">
        <f t="shared" si="25"/>
        <v>0.68709393828934107</v>
      </c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7"/>
      <c r="O83" s="206">
        <f t="shared" si="13"/>
        <v>0</v>
      </c>
      <c r="P83" s="206">
        <f t="shared" si="14"/>
        <v>466.37</v>
      </c>
      <c r="Q83" s="206">
        <f t="shared" si="15"/>
        <v>14704.6461</v>
      </c>
      <c r="R83" s="208">
        <f t="shared" si="16"/>
        <v>0</v>
      </c>
      <c r="S83" s="208">
        <f t="shared" si="17"/>
        <v>0</v>
      </c>
      <c r="T83" s="208">
        <f t="shared" si="18"/>
        <v>0</v>
      </c>
      <c r="U83" s="208">
        <f t="shared" si="19"/>
        <v>0</v>
      </c>
      <c r="V83" s="208">
        <f t="shared" si="20"/>
        <v>0</v>
      </c>
      <c r="W83" s="208">
        <f t="shared" si="21"/>
        <v>0</v>
      </c>
      <c r="X83" s="208">
        <f t="shared" si="22"/>
        <v>0</v>
      </c>
      <c r="Y83" s="209">
        <f t="shared" si="23"/>
        <v>0</v>
      </c>
      <c r="Z83" s="210">
        <f t="shared" si="24"/>
        <v>14704.6461</v>
      </c>
      <c r="AA83" s="506">
        <f t="shared" si="25"/>
        <v>0</v>
      </c>
    </row>
    <row r="84" spans="2:27" ht="33.75" x14ac:dyDescent="0.25">
      <c r="B84" s="346" t="s">
        <v>216</v>
      </c>
      <c r="C84" s="358" t="s">
        <v>217</v>
      </c>
      <c r="D84" s="355" t="s">
        <v>218</v>
      </c>
      <c r="E84" s="277" t="s">
        <v>17</v>
      </c>
      <c r="F84" s="277">
        <v>154.75</v>
      </c>
      <c r="G84" s="349">
        <v>32.5</v>
      </c>
      <c r="H84" s="278"/>
      <c r="I84" s="278"/>
      <c r="J84" s="350"/>
      <c r="K84" s="278"/>
      <c r="L84" s="278"/>
      <c r="M84" s="278"/>
      <c r="N84" s="351"/>
      <c r="O84" s="349">
        <f t="shared" si="13"/>
        <v>0</v>
      </c>
      <c r="P84" s="206">
        <f t="shared" si="14"/>
        <v>32.5</v>
      </c>
      <c r="Q84" s="349">
        <f t="shared" si="15"/>
        <v>5029.375</v>
      </c>
      <c r="R84" s="352">
        <f t="shared" si="16"/>
        <v>0</v>
      </c>
      <c r="S84" s="352">
        <f t="shared" si="17"/>
        <v>0</v>
      </c>
      <c r="T84" s="352">
        <f t="shared" si="18"/>
        <v>0</v>
      </c>
      <c r="U84" s="352">
        <f t="shared" si="19"/>
        <v>0</v>
      </c>
      <c r="V84" s="352">
        <f t="shared" si="20"/>
        <v>0</v>
      </c>
      <c r="W84" s="352">
        <f t="shared" si="21"/>
        <v>0</v>
      </c>
      <c r="X84" s="352">
        <f t="shared" si="22"/>
        <v>0</v>
      </c>
      <c r="Y84" s="353">
        <f t="shared" si="23"/>
        <v>0</v>
      </c>
      <c r="Z84" s="354">
        <f t="shared" si="24"/>
        <v>5029.375</v>
      </c>
      <c r="AA84" s="506">
        <f t="shared" si="25"/>
        <v>0</v>
      </c>
    </row>
    <row r="85" spans="2:27" ht="33.75" x14ac:dyDescent="0.25">
      <c r="B85" s="346" t="s">
        <v>219</v>
      </c>
      <c r="C85" s="358" t="s">
        <v>220</v>
      </c>
      <c r="D85" s="348" t="s">
        <v>221</v>
      </c>
      <c r="E85" s="277" t="s">
        <v>222</v>
      </c>
      <c r="F85" s="349">
        <v>228.6</v>
      </c>
      <c r="G85" s="349">
        <v>29.5</v>
      </c>
      <c r="H85" s="351"/>
      <c r="I85" s="351"/>
      <c r="J85" s="350"/>
      <c r="K85" s="351"/>
      <c r="L85" s="351"/>
      <c r="M85" s="351"/>
      <c r="N85" s="349"/>
      <c r="O85" s="349">
        <f t="shared" si="13"/>
        <v>0</v>
      </c>
      <c r="P85" s="206">
        <f t="shared" si="14"/>
        <v>29.5</v>
      </c>
      <c r="Q85" s="349">
        <f t="shared" si="15"/>
        <v>6743.7</v>
      </c>
      <c r="R85" s="352">
        <f t="shared" si="16"/>
        <v>0</v>
      </c>
      <c r="S85" s="352">
        <f t="shared" si="17"/>
        <v>0</v>
      </c>
      <c r="T85" s="352">
        <f t="shared" si="18"/>
        <v>0</v>
      </c>
      <c r="U85" s="352">
        <f t="shared" si="19"/>
        <v>0</v>
      </c>
      <c r="V85" s="352">
        <f t="shared" si="20"/>
        <v>0</v>
      </c>
      <c r="W85" s="352">
        <f t="shared" si="21"/>
        <v>0</v>
      </c>
      <c r="X85" s="352">
        <f t="shared" si="22"/>
        <v>0</v>
      </c>
      <c r="Y85" s="353">
        <f t="shared" si="23"/>
        <v>0</v>
      </c>
      <c r="Z85" s="354">
        <f t="shared" si="24"/>
        <v>6743.7</v>
      </c>
      <c r="AA85" s="506">
        <f t="shared" si="25"/>
        <v>0</v>
      </c>
    </row>
    <row r="86" spans="2:27" ht="22.5" x14ac:dyDescent="0.25">
      <c r="B86" s="346" t="s">
        <v>223</v>
      </c>
      <c r="C86" s="347">
        <v>88485</v>
      </c>
      <c r="D86" s="348" t="s">
        <v>192</v>
      </c>
      <c r="E86" s="277" t="s">
        <v>17</v>
      </c>
      <c r="F86" s="349">
        <v>2.74</v>
      </c>
      <c r="G86" s="349">
        <v>404.37</v>
      </c>
      <c r="H86" s="351"/>
      <c r="I86" s="351"/>
      <c r="J86" s="350"/>
      <c r="K86" s="351"/>
      <c r="L86" s="351"/>
      <c r="M86" s="351"/>
      <c r="N86" s="349"/>
      <c r="O86" s="349">
        <f t="shared" si="13"/>
        <v>0</v>
      </c>
      <c r="P86" s="206">
        <f t="shared" si="14"/>
        <v>404.37</v>
      </c>
      <c r="Q86" s="349">
        <f t="shared" si="15"/>
        <v>1107.9738000000002</v>
      </c>
      <c r="R86" s="352">
        <f t="shared" si="16"/>
        <v>0</v>
      </c>
      <c r="S86" s="352">
        <f t="shared" si="17"/>
        <v>0</v>
      </c>
      <c r="T86" s="352">
        <f t="shared" si="18"/>
        <v>0</v>
      </c>
      <c r="U86" s="352">
        <f t="shared" si="19"/>
        <v>0</v>
      </c>
      <c r="V86" s="352">
        <f t="shared" si="20"/>
        <v>0</v>
      </c>
      <c r="W86" s="352">
        <f t="shared" si="21"/>
        <v>0</v>
      </c>
      <c r="X86" s="352">
        <f t="shared" si="22"/>
        <v>0</v>
      </c>
      <c r="Y86" s="353">
        <f t="shared" si="23"/>
        <v>0</v>
      </c>
      <c r="Z86" s="354">
        <f t="shared" si="24"/>
        <v>1107.9738000000002</v>
      </c>
      <c r="AA86" s="506">
        <f t="shared" si="25"/>
        <v>0</v>
      </c>
    </row>
    <row r="87" spans="2:27" ht="22.5" x14ac:dyDescent="0.25">
      <c r="B87" s="346" t="s">
        <v>224</v>
      </c>
      <c r="C87" s="347">
        <v>96130</v>
      </c>
      <c r="D87" s="348" t="s">
        <v>226</v>
      </c>
      <c r="E87" s="277" t="s">
        <v>17</v>
      </c>
      <c r="F87" s="349">
        <v>17.11</v>
      </c>
      <c r="G87" s="349">
        <v>404.37</v>
      </c>
      <c r="H87" s="351"/>
      <c r="I87" s="351"/>
      <c r="J87" s="350"/>
      <c r="K87" s="351"/>
      <c r="L87" s="351"/>
      <c r="M87" s="351"/>
      <c r="N87" s="349"/>
      <c r="O87" s="349">
        <f t="shared" si="13"/>
        <v>0</v>
      </c>
      <c r="P87" s="206">
        <f t="shared" si="14"/>
        <v>404.37</v>
      </c>
      <c r="Q87" s="349">
        <f t="shared" si="15"/>
        <v>6918.7707</v>
      </c>
      <c r="R87" s="352">
        <f t="shared" si="16"/>
        <v>0</v>
      </c>
      <c r="S87" s="352">
        <f t="shared" si="17"/>
        <v>0</v>
      </c>
      <c r="T87" s="352">
        <f t="shared" si="18"/>
        <v>0</v>
      </c>
      <c r="U87" s="352">
        <f t="shared" si="19"/>
        <v>0</v>
      </c>
      <c r="V87" s="352">
        <f t="shared" si="20"/>
        <v>0</v>
      </c>
      <c r="W87" s="352">
        <f t="shared" si="21"/>
        <v>0</v>
      </c>
      <c r="X87" s="352">
        <f t="shared" si="22"/>
        <v>0</v>
      </c>
      <c r="Y87" s="353">
        <f t="shared" si="23"/>
        <v>0</v>
      </c>
      <c r="Z87" s="354">
        <f t="shared" si="24"/>
        <v>6918.7707</v>
      </c>
      <c r="AA87" s="506">
        <f t="shared" si="25"/>
        <v>0</v>
      </c>
    </row>
    <row r="88" spans="2:27" ht="22.5" x14ac:dyDescent="0.25">
      <c r="B88" s="346" t="s">
        <v>227</v>
      </c>
      <c r="C88" s="347">
        <v>88489</v>
      </c>
      <c r="D88" s="348" t="s">
        <v>198</v>
      </c>
      <c r="E88" s="277" t="s">
        <v>17</v>
      </c>
      <c r="F88" s="349">
        <v>12.16</v>
      </c>
      <c r="G88" s="349">
        <v>404.37</v>
      </c>
      <c r="H88" s="351"/>
      <c r="I88" s="351"/>
      <c r="J88" s="350"/>
      <c r="K88" s="351"/>
      <c r="L88" s="351"/>
      <c r="M88" s="351"/>
      <c r="N88" s="349"/>
      <c r="O88" s="349">
        <f t="shared" si="13"/>
        <v>0</v>
      </c>
      <c r="P88" s="206">
        <f t="shared" si="14"/>
        <v>404.37</v>
      </c>
      <c r="Q88" s="349">
        <f t="shared" si="15"/>
        <v>4917.1392000000005</v>
      </c>
      <c r="R88" s="352">
        <f t="shared" si="16"/>
        <v>0</v>
      </c>
      <c r="S88" s="352">
        <f t="shared" si="17"/>
        <v>0</v>
      </c>
      <c r="T88" s="352">
        <f t="shared" si="18"/>
        <v>0</v>
      </c>
      <c r="U88" s="352">
        <f t="shared" si="19"/>
        <v>0</v>
      </c>
      <c r="V88" s="352">
        <f t="shared" si="20"/>
        <v>0</v>
      </c>
      <c r="W88" s="352">
        <f t="shared" si="21"/>
        <v>0</v>
      </c>
      <c r="X88" s="352">
        <f t="shared" si="22"/>
        <v>0</v>
      </c>
      <c r="Y88" s="353">
        <f t="shared" si="23"/>
        <v>0</v>
      </c>
      <c r="Z88" s="354">
        <f t="shared" si="24"/>
        <v>4917.1392000000005</v>
      </c>
      <c r="AA88" s="506">
        <f t="shared" si="25"/>
        <v>0</v>
      </c>
    </row>
    <row r="89" spans="2:27" ht="14.45" customHeight="1" x14ac:dyDescent="0.25">
      <c r="B89" s="357">
        <v>1.1000000000000001</v>
      </c>
      <c r="C89" s="357" t="s">
        <v>229</v>
      </c>
      <c r="D89" s="348"/>
      <c r="E89" s="277"/>
      <c r="F89" s="349"/>
      <c r="G89" s="349"/>
      <c r="H89" s="351"/>
      <c r="I89" s="351"/>
      <c r="J89" s="350"/>
      <c r="K89" s="351"/>
      <c r="L89" s="351"/>
      <c r="M89" s="351"/>
      <c r="N89" s="349"/>
      <c r="O89" s="349"/>
      <c r="P89" s="206"/>
      <c r="Q89" s="349"/>
      <c r="R89" s="352">
        <f t="shared" si="16"/>
        <v>0</v>
      </c>
      <c r="S89" s="352">
        <f t="shared" si="17"/>
        <v>0</v>
      </c>
      <c r="T89" s="352">
        <f t="shared" si="18"/>
        <v>0</v>
      </c>
      <c r="U89" s="352">
        <f t="shared" si="19"/>
        <v>0</v>
      </c>
      <c r="V89" s="352">
        <f t="shared" si="20"/>
        <v>0</v>
      </c>
      <c r="W89" s="352">
        <f t="shared" si="21"/>
        <v>0</v>
      </c>
      <c r="X89" s="352">
        <f t="shared" si="22"/>
        <v>0</v>
      </c>
      <c r="Y89" s="353">
        <f t="shared" si="23"/>
        <v>0</v>
      </c>
      <c r="Z89" s="354">
        <f t="shared" si="24"/>
        <v>0</v>
      </c>
      <c r="AA89" s="506"/>
    </row>
    <row r="90" spans="2:27" ht="33.75" x14ac:dyDescent="0.25">
      <c r="B90" s="346" t="s">
        <v>230</v>
      </c>
      <c r="C90" s="347">
        <v>92868</v>
      </c>
      <c r="D90" s="348" t="s">
        <v>232</v>
      </c>
      <c r="E90" s="245" t="s">
        <v>166</v>
      </c>
      <c r="F90" s="245">
        <v>13.45</v>
      </c>
      <c r="G90" s="349">
        <v>117</v>
      </c>
      <c r="H90" s="351"/>
      <c r="I90" s="351"/>
      <c r="J90" s="350"/>
      <c r="K90" s="351"/>
      <c r="L90" s="351"/>
      <c r="M90" s="351"/>
      <c r="N90" s="349"/>
      <c r="O90" s="349">
        <f t="shared" si="13"/>
        <v>0</v>
      </c>
      <c r="P90" s="206">
        <f t="shared" si="14"/>
        <v>117</v>
      </c>
      <c r="Q90" s="349">
        <f t="shared" si="15"/>
        <v>1573.6499999999999</v>
      </c>
      <c r="R90" s="352">
        <f t="shared" si="16"/>
        <v>0</v>
      </c>
      <c r="S90" s="352">
        <f t="shared" si="17"/>
        <v>0</v>
      </c>
      <c r="T90" s="352">
        <f t="shared" si="18"/>
        <v>0</v>
      </c>
      <c r="U90" s="352">
        <f t="shared" si="19"/>
        <v>0</v>
      </c>
      <c r="V90" s="352">
        <f t="shared" si="20"/>
        <v>0</v>
      </c>
      <c r="W90" s="352">
        <f t="shared" si="21"/>
        <v>0</v>
      </c>
      <c r="X90" s="352">
        <f t="shared" si="22"/>
        <v>0</v>
      </c>
      <c r="Y90" s="353">
        <f t="shared" si="23"/>
        <v>0</v>
      </c>
      <c r="Z90" s="354">
        <f t="shared" si="24"/>
        <v>1573.6499999999999</v>
      </c>
      <c r="AA90" s="506">
        <f t="shared" si="25"/>
        <v>0</v>
      </c>
    </row>
    <row r="91" spans="2:27" ht="22.5" x14ac:dyDescent="0.25">
      <c r="B91" s="346" t="s">
        <v>233</v>
      </c>
      <c r="C91" s="347">
        <v>91937</v>
      </c>
      <c r="D91" s="348" t="s">
        <v>235</v>
      </c>
      <c r="E91" s="245" t="s">
        <v>166</v>
      </c>
      <c r="F91" s="245">
        <v>11.14</v>
      </c>
      <c r="G91" s="349">
        <v>76</v>
      </c>
      <c r="H91" s="351"/>
      <c r="I91" s="351"/>
      <c r="J91" s="350"/>
      <c r="K91" s="351"/>
      <c r="L91" s="351"/>
      <c r="M91" s="351"/>
      <c r="N91" s="349"/>
      <c r="O91" s="349">
        <f t="shared" si="13"/>
        <v>0</v>
      </c>
      <c r="P91" s="206">
        <f t="shared" si="14"/>
        <v>76</v>
      </c>
      <c r="Q91" s="349">
        <f t="shared" si="15"/>
        <v>846.6400000000001</v>
      </c>
      <c r="R91" s="352">
        <f t="shared" si="16"/>
        <v>0</v>
      </c>
      <c r="S91" s="352">
        <f t="shared" si="17"/>
        <v>0</v>
      </c>
      <c r="T91" s="352">
        <f t="shared" si="18"/>
        <v>0</v>
      </c>
      <c r="U91" s="352">
        <f t="shared" si="19"/>
        <v>0</v>
      </c>
      <c r="V91" s="352">
        <f t="shared" si="20"/>
        <v>0</v>
      </c>
      <c r="W91" s="352">
        <f t="shared" si="21"/>
        <v>0</v>
      </c>
      <c r="X91" s="352">
        <f t="shared" si="22"/>
        <v>0</v>
      </c>
      <c r="Y91" s="353">
        <f t="shared" si="23"/>
        <v>0</v>
      </c>
      <c r="Z91" s="354">
        <f t="shared" si="24"/>
        <v>846.6400000000001</v>
      </c>
      <c r="AA91" s="506">
        <f t="shared" si="25"/>
        <v>0</v>
      </c>
    </row>
    <row r="92" spans="2:27" ht="33.75" x14ac:dyDescent="0.25">
      <c r="B92" s="346" t="s">
        <v>236</v>
      </c>
      <c r="C92" s="347">
        <v>91924</v>
      </c>
      <c r="D92" s="348" t="s">
        <v>238</v>
      </c>
      <c r="E92" s="245" t="s">
        <v>37</v>
      </c>
      <c r="F92" s="245">
        <v>2.7</v>
      </c>
      <c r="G92" s="349">
        <v>1253.8</v>
      </c>
      <c r="H92" s="351"/>
      <c r="I92" s="351"/>
      <c r="J92" s="350"/>
      <c r="K92" s="351"/>
      <c r="L92" s="351"/>
      <c r="M92" s="351"/>
      <c r="N92" s="349"/>
      <c r="O92" s="349">
        <f t="shared" si="13"/>
        <v>0</v>
      </c>
      <c r="P92" s="206">
        <f t="shared" si="14"/>
        <v>1253.8</v>
      </c>
      <c r="Q92" s="349">
        <f t="shared" si="15"/>
        <v>3385.26</v>
      </c>
      <c r="R92" s="352">
        <f t="shared" si="16"/>
        <v>0</v>
      </c>
      <c r="S92" s="352">
        <f t="shared" si="17"/>
        <v>0</v>
      </c>
      <c r="T92" s="352">
        <f t="shared" si="18"/>
        <v>0</v>
      </c>
      <c r="U92" s="352">
        <f t="shared" si="19"/>
        <v>0</v>
      </c>
      <c r="V92" s="352">
        <f t="shared" si="20"/>
        <v>0</v>
      </c>
      <c r="W92" s="352">
        <f t="shared" si="21"/>
        <v>0</v>
      </c>
      <c r="X92" s="352">
        <f t="shared" si="22"/>
        <v>0</v>
      </c>
      <c r="Y92" s="353">
        <f t="shared" si="23"/>
        <v>0</v>
      </c>
      <c r="Z92" s="354">
        <f t="shared" si="24"/>
        <v>3385.26</v>
      </c>
      <c r="AA92" s="506">
        <f t="shared" si="25"/>
        <v>0</v>
      </c>
    </row>
    <row r="93" spans="2:27" ht="33.75" x14ac:dyDescent="0.25">
      <c r="B93" s="346" t="s">
        <v>239</v>
      </c>
      <c r="C93" s="347">
        <v>91926</v>
      </c>
      <c r="D93" s="348" t="s">
        <v>241</v>
      </c>
      <c r="E93" s="245" t="s">
        <v>37</v>
      </c>
      <c r="F93" s="245">
        <v>3.98</v>
      </c>
      <c r="G93" s="349">
        <v>1496.3</v>
      </c>
      <c r="H93" s="351"/>
      <c r="I93" s="351"/>
      <c r="J93" s="350"/>
      <c r="K93" s="351"/>
      <c r="L93" s="351"/>
      <c r="M93" s="351"/>
      <c r="N93" s="349"/>
      <c r="O93" s="349">
        <f t="shared" si="13"/>
        <v>0</v>
      </c>
      <c r="P93" s="206">
        <f t="shared" si="14"/>
        <v>1496.3</v>
      </c>
      <c r="Q93" s="349">
        <f t="shared" si="15"/>
        <v>5955.2739999999994</v>
      </c>
      <c r="R93" s="352">
        <f t="shared" si="16"/>
        <v>0</v>
      </c>
      <c r="S93" s="352">
        <f t="shared" si="17"/>
        <v>0</v>
      </c>
      <c r="T93" s="352">
        <f t="shared" si="18"/>
        <v>0</v>
      </c>
      <c r="U93" s="352">
        <f t="shared" si="19"/>
        <v>0</v>
      </c>
      <c r="V93" s="352">
        <f t="shared" si="20"/>
        <v>0</v>
      </c>
      <c r="W93" s="352">
        <f t="shared" si="21"/>
        <v>0</v>
      </c>
      <c r="X93" s="352">
        <f t="shared" si="22"/>
        <v>0</v>
      </c>
      <c r="Y93" s="353">
        <f t="shared" si="23"/>
        <v>0</v>
      </c>
      <c r="Z93" s="354">
        <f t="shared" si="24"/>
        <v>5955.2739999999994</v>
      </c>
      <c r="AA93" s="506">
        <f t="shared" si="25"/>
        <v>0</v>
      </c>
    </row>
    <row r="94" spans="2:27" ht="33.75" x14ac:dyDescent="0.25">
      <c r="B94" s="346" t="s">
        <v>242</v>
      </c>
      <c r="C94" s="347">
        <v>91928</v>
      </c>
      <c r="D94" s="355" t="s">
        <v>244</v>
      </c>
      <c r="E94" s="245" t="s">
        <v>37</v>
      </c>
      <c r="F94" s="245">
        <v>6.23</v>
      </c>
      <c r="G94" s="349">
        <v>284.60000000000002</v>
      </c>
      <c r="H94" s="278"/>
      <c r="I94" s="278"/>
      <c r="J94" s="350"/>
      <c r="K94" s="278"/>
      <c r="L94" s="278"/>
      <c r="M94" s="278"/>
      <c r="N94" s="278"/>
      <c r="O94" s="349">
        <f t="shared" si="13"/>
        <v>0</v>
      </c>
      <c r="P94" s="206">
        <f t="shared" si="14"/>
        <v>284.60000000000002</v>
      </c>
      <c r="Q94" s="349">
        <f t="shared" si="15"/>
        <v>1773.0580000000002</v>
      </c>
      <c r="R94" s="352">
        <f t="shared" si="16"/>
        <v>0</v>
      </c>
      <c r="S94" s="352">
        <f t="shared" si="17"/>
        <v>0</v>
      </c>
      <c r="T94" s="352">
        <f t="shared" si="18"/>
        <v>0</v>
      </c>
      <c r="U94" s="352">
        <f t="shared" si="19"/>
        <v>0</v>
      </c>
      <c r="V94" s="352">
        <f t="shared" si="20"/>
        <v>0</v>
      </c>
      <c r="W94" s="352">
        <f t="shared" si="21"/>
        <v>0</v>
      </c>
      <c r="X94" s="352">
        <f t="shared" si="22"/>
        <v>0</v>
      </c>
      <c r="Y94" s="353">
        <f t="shared" si="23"/>
        <v>0</v>
      </c>
      <c r="Z94" s="354">
        <f t="shared" si="24"/>
        <v>1773.0580000000002</v>
      </c>
      <c r="AA94" s="506">
        <f t="shared" si="25"/>
        <v>0</v>
      </c>
    </row>
    <row r="95" spans="2:27" ht="33.75" x14ac:dyDescent="0.25">
      <c r="B95" s="346" t="s">
        <v>245</v>
      </c>
      <c r="C95" s="347">
        <v>91931</v>
      </c>
      <c r="D95" s="348" t="s">
        <v>247</v>
      </c>
      <c r="E95" s="245" t="s">
        <v>37</v>
      </c>
      <c r="F95" s="245">
        <v>9.51</v>
      </c>
      <c r="G95" s="349">
        <v>224</v>
      </c>
      <c r="H95" s="351"/>
      <c r="I95" s="351"/>
      <c r="J95" s="350"/>
      <c r="K95" s="351"/>
      <c r="L95" s="351"/>
      <c r="M95" s="351"/>
      <c r="N95" s="349"/>
      <c r="O95" s="349">
        <f t="shared" si="13"/>
        <v>0</v>
      </c>
      <c r="P95" s="206">
        <f t="shared" si="14"/>
        <v>224</v>
      </c>
      <c r="Q95" s="349">
        <f t="shared" si="15"/>
        <v>2130.2399999999998</v>
      </c>
      <c r="R95" s="352">
        <f t="shared" si="16"/>
        <v>0</v>
      </c>
      <c r="S95" s="352">
        <f t="shared" si="17"/>
        <v>0</v>
      </c>
      <c r="T95" s="352">
        <f t="shared" si="18"/>
        <v>0</v>
      </c>
      <c r="U95" s="352">
        <f t="shared" si="19"/>
        <v>0</v>
      </c>
      <c r="V95" s="352">
        <f t="shared" si="20"/>
        <v>0</v>
      </c>
      <c r="W95" s="352">
        <f t="shared" si="21"/>
        <v>0</v>
      </c>
      <c r="X95" s="352">
        <f t="shared" si="22"/>
        <v>0</v>
      </c>
      <c r="Y95" s="353">
        <f t="shared" si="23"/>
        <v>0</v>
      </c>
      <c r="Z95" s="354">
        <f t="shared" si="24"/>
        <v>2130.2399999999998</v>
      </c>
      <c r="AA95" s="506">
        <f t="shared" si="25"/>
        <v>0</v>
      </c>
    </row>
    <row r="96" spans="2:27" ht="22.5" x14ac:dyDescent="0.25">
      <c r="B96" s="346" t="s">
        <v>248</v>
      </c>
      <c r="C96" s="347">
        <v>39773</v>
      </c>
      <c r="D96" s="348" t="s">
        <v>250</v>
      </c>
      <c r="E96" s="245" t="s">
        <v>166</v>
      </c>
      <c r="F96" s="245">
        <v>101.17</v>
      </c>
      <c r="G96" s="349">
        <v>2</v>
      </c>
      <c r="H96" s="351"/>
      <c r="I96" s="351"/>
      <c r="J96" s="350"/>
      <c r="K96" s="351"/>
      <c r="L96" s="351"/>
      <c r="M96" s="351"/>
      <c r="N96" s="349"/>
      <c r="O96" s="349">
        <f t="shared" si="13"/>
        <v>0</v>
      </c>
      <c r="P96" s="206">
        <f t="shared" si="14"/>
        <v>2</v>
      </c>
      <c r="Q96" s="349">
        <f t="shared" si="15"/>
        <v>202.34</v>
      </c>
      <c r="R96" s="352">
        <f t="shared" si="16"/>
        <v>0</v>
      </c>
      <c r="S96" s="352">
        <f t="shared" si="17"/>
        <v>0</v>
      </c>
      <c r="T96" s="352">
        <f t="shared" si="18"/>
        <v>0</v>
      </c>
      <c r="U96" s="352">
        <f t="shared" si="19"/>
        <v>0</v>
      </c>
      <c r="V96" s="352">
        <f t="shared" si="20"/>
        <v>0</v>
      </c>
      <c r="W96" s="352">
        <f t="shared" si="21"/>
        <v>0</v>
      </c>
      <c r="X96" s="352">
        <f t="shared" si="22"/>
        <v>0</v>
      </c>
      <c r="Y96" s="353">
        <f t="shared" si="23"/>
        <v>0</v>
      </c>
      <c r="Z96" s="354">
        <f t="shared" si="24"/>
        <v>202.34</v>
      </c>
      <c r="AA96" s="506">
        <f t="shared" si="25"/>
        <v>0</v>
      </c>
    </row>
    <row r="97" spans="2:27" ht="22.5" x14ac:dyDescent="0.25">
      <c r="B97" s="346" t="s">
        <v>251</v>
      </c>
      <c r="C97" s="347">
        <v>101890</v>
      </c>
      <c r="D97" s="348" t="s">
        <v>253</v>
      </c>
      <c r="E97" s="245" t="s">
        <v>166</v>
      </c>
      <c r="F97" s="245">
        <v>15.35</v>
      </c>
      <c r="G97" s="349">
        <v>19</v>
      </c>
      <c r="H97" s="351"/>
      <c r="I97" s="351"/>
      <c r="J97" s="350"/>
      <c r="K97" s="351"/>
      <c r="L97" s="351"/>
      <c r="M97" s="351"/>
      <c r="N97" s="349"/>
      <c r="O97" s="349">
        <f t="shared" si="13"/>
        <v>0</v>
      </c>
      <c r="P97" s="206">
        <f t="shared" si="14"/>
        <v>19</v>
      </c>
      <c r="Q97" s="349">
        <f t="shared" si="15"/>
        <v>291.64999999999998</v>
      </c>
      <c r="R97" s="352">
        <f t="shared" si="16"/>
        <v>0</v>
      </c>
      <c r="S97" s="352">
        <f t="shared" si="17"/>
        <v>0</v>
      </c>
      <c r="T97" s="352">
        <f t="shared" si="18"/>
        <v>0</v>
      </c>
      <c r="U97" s="352">
        <f t="shared" si="19"/>
        <v>0</v>
      </c>
      <c r="V97" s="352">
        <f t="shared" si="20"/>
        <v>0</v>
      </c>
      <c r="W97" s="352">
        <f t="shared" si="21"/>
        <v>0</v>
      </c>
      <c r="X97" s="352">
        <f t="shared" si="22"/>
        <v>0</v>
      </c>
      <c r="Y97" s="353">
        <f t="shared" si="23"/>
        <v>0</v>
      </c>
      <c r="Z97" s="354">
        <f t="shared" si="24"/>
        <v>291.64999999999998</v>
      </c>
      <c r="AA97" s="506">
        <f t="shared" si="25"/>
        <v>0</v>
      </c>
    </row>
    <row r="98" spans="2:27" ht="22.5" x14ac:dyDescent="0.25">
      <c r="B98" s="346" t="s">
        <v>254</v>
      </c>
      <c r="C98" s="347">
        <v>93670</v>
      </c>
      <c r="D98" s="348" t="s">
        <v>256</v>
      </c>
      <c r="E98" s="245" t="s">
        <v>166</v>
      </c>
      <c r="F98" s="245">
        <v>73.97</v>
      </c>
      <c r="G98" s="349">
        <v>1</v>
      </c>
      <c r="H98" s="351"/>
      <c r="I98" s="351"/>
      <c r="J98" s="350"/>
      <c r="K98" s="351"/>
      <c r="L98" s="351"/>
      <c r="M98" s="351"/>
      <c r="N98" s="349"/>
      <c r="O98" s="349">
        <f t="shared" si="13"/>
        <v>0</v>
      </c>
      <c r="P98" s="206">
        <f t="shared" si="14"/>
        <v>1</v>
      </c>
      <c r="Q98" s="349">
        <f t="shared" si="15"/>
        <v>73.97</v>
      </c>
      <c r="R98" s="352">
        <f t="shared" si="16"/>
        <v>0</v>
      </c>
      <c r="S98" s="352">
        <f t="shared" si="17"/>
        <v>0</v>
      </c>
      <c r="T98" s="352">
        <f t="shared" si="18"/>
        <v>0</v>
      </c>
      <c r="U98" s="352">
        <f t="shared" si="19"/>
        <v>0</v>
      </c>
      <c r="V98" s="352">
        <f t="shared" si="20"/>
        <v>0</v>
      </c>
      <c r="W98" s="352">
        <f t="shared" si="21"/>
        <v>0</v>
      </c>
      <c r="X98" s="352">
        <f t="shared" si="22"/>
        <v>0</v>
      </c>
      <c r="Y98" s="353">
        <f t="shared" si="23"/>
        <v>0</v>
      </c>
      <c r="Z98" s="354">
        <f t="shared" si="24"/>
        <v>73.97</v>
      </c>
      <c r="AA98" s="506">
        <f t="shared" si="25"/>
        <v>0</v>
      </c>
    </row>
    <row r="99" spans="2:27" ht="22.5" x14ac:dyDescent="0.25">
      <c r="B99" s="346" t="s">
        <v>257</v>
      </c>
      <c r="C99" s="347">
        <v>93671</v>
      </c>
      <c r="D99" s="348" t="s">
        <v>259</v>
      </c>
      <c r="E99" s="245" t="s">
        <v>166</v>
      </c>
      <c r="F99" s="245">
        <v>77.569999999999993</v>
      </c>
      <c r="G99" s="349">
        <v>1</v>
      </c>
      <c r="H99" s="351"/>
      <c r="I99" s="351"/>
      <c r="J99" s="350"/>
      <c r="K99" s="351"/>
      <c r="L99" s="351"/>
      <c r="M99" s="351"/>
      <c r="N99" s="349"/>
      <c r="O99" s="349">
        <f t="shared" si="13"/>
        <v>0</v>
      </c>
      <c r="P99" s="206">
        <f t="shared" si="14"/>
        <v>1</v>
      </c>
      <c r="Q99" s="349">
        <f t="shared" si="15"/>
        <v>77.569999999999993</v>
      </c>
      <c r="R99" s="352">
        <f t="shared" si="16"/>
        <v>0</v>
      </c>
      <c r="S99" s="352">
        <f t="shared" si="17"/>
        <v>0</v>
      </c>
      <c r="T99" s="352">
        <f t="shared" si="18"/>
        <v>0</v>
      </c>
      <c r="U99" s="352">
        <f t="shared" si="19"/>
        <v>0</v>
      </c>
      <c r="V99" s="352">
        <f t="shared" si="20"/>
        <v>0</v>
      </c>
      <c r="W99" s="352">
        <f t="shared" si="21"/>
        <v>0</v>
      </c>
      <c r="X99" s="352">
        <f t="shared" si="22"/>
        <v>0</v>
      </c>
      <c r="Y99" s="353">
        <f t="shared" si="23"/>
        <v>0</v>
      </c>
      <c r="Z99" s="354">
        <f t="shared" si="24"/>
        <v>77.569999999999993</v>
      </c>
      <c r="AA99" s="506">
        <f t="shared" si="25"/>
        <v>0</v>
      </c>
    </row>
    <row r="100" spans="2:27" ht="22.5" x14ac:dyDescent="0.25">
      <c r="B100" s="346" t="s">
        <v>260</v>
      </c>
      <c r="C100" s="347">
        <v>39466</v>
      </c>
      <c r="D100" s="348" t="s">
        <v>262</v>
      </c>
      <c r="E100" s="245" t="s">
        <v>166</v>
      </c>
      <c r="F100" s="245">
        <v>74.81</v>
      </c>
      <c r="G100" s="349">
        <v>6</v>
      </c>
      <c r="H100" s="351"/>
      <c r="I100" s="351"/>
      <c r="J100" s="350"/>
      <c r="K100" s="351"/>
      <c r="L100" s="351"/>
      <c r="M100" s="351"/>
      <c r="N100" s="349"/>
      <c r="O100" s="349">
        <f t="shared" si="13"/>
        <v>0</v>
      </c>
      <c r="P100" s="206">
        <f t="shared" si="14"/>
        <v>6</v>
      </c>
      <c r="Q100" s="349">
        <f t="shared" si="15"/>
        <v>448.86</v>
      </c>
      <c r="R100" s="352">
        <f t="shared" si="16"/>
        <v>0</v>
      </c>
      <c r="S100" s="352">
        <f t="shared" si="17"/>
        <v>0</v>
      </c>
      <c r="T100" s="352">
        <f t="shared" si="18"/>
        <v>0</v>
      </c>
      <c r="U100" s="352">
        <f t="shared" si="19"/>
        <v>0</v>
      </c>
      <c r="V100" s="352">
        <f t="shared" si="20"/>
        <v>0</v>
      </c>
      <c r="W100" s="352">
        <f t="shared" si="21"/>
        <v>0</v>
      </c>
      <c r="X100" s="352">
        <f t="shared" si="22"/>
        <v>0</v>
      </c>
      <c r="Y100" s="353">
        <f t="shared" si="23"/>
        <v>0</v>
      </c>
      <c r="Z100" s="354">
        <f t="shared" si="24"/>
        <v>448.86</v>
      </c>
      <c r="AA100" s="506">
        <f t="shared" si="25"/>
        <v>0</v>
      </c>
    </row>
    <row r="101" spans="2:27" ht="22.5" x14ac:dyDescent="0.25">
      <c r="B101" s="346" t="s">
        <v>263</v>
      </c>
      <c r="C101" s="347">
        <v>39445</v>
      </c>
      <c r="D101" s="348" t="s">
        <v>265</v>
      </c>
      <c r="E101" s="245" t="s">
        <v>166</v>
      </c>
      <c r="F101" s="245">
        <v>136.80000000000001</v>
      </c>
      <c r="G101" s="349">
        <v>1</v>
      </c>
      <c r="H101" s="351"/>
      <c r="I101" s="351"/>
      <c r="J101" s="350"/>
      <c r="K101" s="351"/>
      <c r="L101" s="351"/>
      <c r="M101" s="351"/>
      <c r="N101" s="349"/>
      <c r="O101" s="349">
        <f t="shared" si="13"/>
        <v>0</v>
      </c>
      <c r="P101" s="206">
        <f t="shared" si="14"/>
        <v>1</v>
      </c>
      <c r="Q101" s="349">
        <f t="shared" si="15"/>
        <v>136.80000000000001</v>
      </c>
      <c r="R101" s="352">
        <f t="shared" si="16"/>
        <v>0</v>
      </c>
      <c r="S101" s="352">
        <f t="shared" si="17"/>
        <v>0</v>
      </c>
      <c r="T101" s="352">
        <f t="shared" si="18"/>
        <v>0</v>
      </c>
      <c r="U101" s="352">
        <f t="shared" si="19"/>
        <v>0</v>
      </c>
      <c r="V101" s="352">
        <f t="shared" si="20"/>
        <v>0</v>
      </c>
      <c r="W101" s="352">
        <f t="shared" si="21"/>
        <v>0</v>
      </c>
      <c r="X101" s="352">
        <f t="shared" si="22"/>
        <v>0</v>
      </c>
      <c r="Y101" s="353">
        <f t="shared" si="23"/>
        <v>0</v>
      </c>
      <c r="Z101" s="354">
        <f t="shared" si="24"/>
        <v>136.80000000000001</v>
      </c>
      <c r="AA101" s="506">
        <f t="shared" si="25"/>
        <v>0</v>
      </c>
    </row>
    <row r="102" spans="2:27" ht="22.5" x14ac:dyDescent="0.25">
      <c r="B102" s="346" t="s">
        <v>266</v>
      </c>
      <c r="C102" s="347">
        <v>39446</v>
      </c>
      <c r="D102" s="348" t="s">
        <v>268</v>
      </c>
      <c r="E102" s="245" t="s">
        <v>166</v>
      </c>
      <c r="F102" s="245">
        <v>139.25</v>
      </c>
      <c r="G102" s="349">
        <v>1</v>
      </c>
      <c r="H102" s="351"/>
      <c r="I102" s="351"/>
      <c r="J102" s="350"/>
      <c r="K102" s="351"/>
      <c r="L102" s="351"/>
      <c r="M102" s="351"/>
      <c r="N102" s="349"/>
      <c r="O102" s="349">
        <f t="shared" si="13"/>
        <v>0</v>
      </c>
      <c r="P102" s="206">
        <f t="shared" si="14"/>
        <v>1</v>
      </c>
      <c r="Q102" s="349">
        <f t="shared" si="15"/>
        <v>139.25</v>
      </c>
      <c r="R102" s="352">
        <f t="shared" si="16"/>
        <v>0</v>
      </c>
      <c r="S102" s="352">
        <f t="shared" si="17"/>
        <v>0</v>
      </c>
      <c r="T102" s="352">
        <f t="shared" si="18"/>
        <v>0</v>
      </c>
      <c r="U102" s="352">
        <f t="shared" si="19"/>
        <v>0</v>
      </c>
      <c r="V102" s="352">
        <f t="shared" si="20"/>
        <v>0</v>
      </c>
      <c r="W102" s="352">
        <f t="shared" si="21"/>
        <v>0</v>
      </c>
      <c r="X102" s="352">
        <f t="shared" si="22"/>
        <v>0</v>
      </c>
      <c r="Y102" s="353">
        <f t="shared" si="23"/>
        <v>0</v>
      </c>
      <c r="Z102" s="354">
        <f t="shared" si="24"/>
        <v>139.25</v>
      </c>
      <c r="AA102" s="506">
        <f t="shared" si="25"/>
        <v>0</v>
      </c>
    </row>
    <row r="103" spans="2:27" ht="33.75" x14ac:dyDescent="0.25">
      <c r="B103" s="346" t="s">
        <v>269</v>
      </c>
      <c r="C103" s="347">
        <v>91953</v>
      </c>
      <c r="D103" s="348" t="s">
        <v>271</v>
      </c>
      <c r="E103" s="245" t="s">
        <v>166</v>
      </c>
      <c r="F103" s="245">
        <v>25.8</v>
      </c>
      <c r="G103" s="349">
        <v>23</v>
      </c>
      <c r="H103" s="351"/>
      <c r="I103" s="351"/>
      <c r="J103" s="350"/>
      <c r="K103" s="351"/>
      <c r="L103" s="351"/>
      <c r="M103" s="351"/>
      <c r="N103" s="349"/>
      <c r="O103" s="349">
        <f t="shared" si="13"/>
        <v>0</v>
      </c>
      <c r="P103" s="206">
        <f t="shared" si="14"/>
        <v>23</v>
      </c>
      <c r="Q103" s="349">
        <f t="shared" si="15"/>
        <v>593.4</v>
      </c>
      <c r="R103" s="352">
        <f t="shared" si="16"/>
        <v>0</v>
      </c>
      <c r="S103" s="352">
        <f t="shared" si="17"/>
        <v>0</v>
      </c>
      <c r="T103" s="352">
        <f t="shared" si="18"/>
        <v>0</v>
      </c>
      <c r="U103" s="352">
        <f t="shared" si="19"/>
        <v>0</v>
      </c>
      <c r="V103" s="352">
        <f t="shared" si="20"/>
        <v>0</v>
      </c>
      <c r="W103" s="352">
        <f t="shared" si="21"/>
        <v>0</v>
      </c>
      <c r="X103" s="352">
        <f t="shared" si="22"/>
        <v>0</v>
      </c>
      <c r="Y103" s="353">
        <f t="shared" si="23"/>
        <v>0</v>
      </c>
      <c r="Z103" s="354">
        <f t="shared" si="24"/>
        <v>593.4</v>
      </c>
      <c r="AA103" s="506">
        <f t="shared" si="25"/>
        <v>0</v>
      </c>
    </row>
    <row r="104" spans="2:27" ht="33.75" x14ac:dyDescent="0.25">
      <c r="B104" s="346" t="s">
        <v>272</v>
      </c>
      <c r="C104" s="347">
        <v>91967</v>
      </c>
      <c r="D104" s="348" t="s">
        <v>274</v>
      </c>
      <c r="E104" s="245" t="s">
        <v>166</v>
      </c>
      <c r="F104" s="245">
        <v>53.44</v>
      </c>
      <c r="G104" s="349">
        <v>1</v>
      </c>
      <c r="H104" s="351"/>
      <c r="I104" s="351"/>
      <c r="J104" s="350"/>
      <c r="K104" s="351"/>
      <c r="L104" s="351"/>
      <c r="M104" s="351"/>
      <c r="N104" s="349"/>
      <c r="O104" s="349">
        <f t="shared" si="13"/>
        <v>0</v>
      </c>
      <c r="P104" s="206">
        <f t="shared" si="14"/>
        <v>1</v>
      </c>
      <c r="Q104" s="349">
        <f t="shared" si="15"/>
        <v>53.44</v>
      </c>
      <c r="R104" s="352">
        <f t="shared" si="16"/>
        <v>0</v>
      </c>
      <c r="S104" s="352">
        <f t="shared" si="17"/>
        <v>0</v>
      </c>
      <c r="T104" s="352">
        <f t="shared" si="18"/>
        <v>0</v>
      </c>
      <c r="U104" s="352">
        <f t="shared" si="19"/>
        <v>0</v>
      </c>
      <c r="V104" s="352">
        <f t="shared" si="20"/>
        <v>0</v>
      </c>
      <c r="W104" s="352">
        <f t="shared" si="21"/>
        <v>0</v>
      </c>
      <c r="X104" s="352">
        <f t="shared" si="22"/>
        <v>0</v>
      </c>
      <c r="Y104" s="353">
        <f t="shared" si="23"/>
        <v>0</v>
      </c>
      <c r="Z104" s="354">
        <f t="shared" si="24"/>
        <v>53.44</v>
      </c>
      <c r="AA104" s="506">
        <f t="shared" si="25"/>
        <v>0</v>
      </c>
    </row>
    <row r="105" spans="2:27" ht="33.75" x14ac:dyDescent="0.25">
      <c r="B105" s="346" t="s">
        <v>275</v>
      </c>
      <c r="C105" s="347">
        <v>92000</v>
      </c>
      <c r="D105" s="348" t="s">
        <v>277</v>
      </c>
      <c r="E105" s="245" t="s">
        <v>166</v>
      </c>
      <c r="F105" s="245">
        <v>27.19</v>
      </c>
      <c r="G105" s="349">
        <v>54</v>
      </c>
      <c r="H105" s="351"/>
      <c r="I105" s="351"/>
      <c r="J105" s="350"/>
      <c r="K105" s="351"/>
      <c r="L105" s="351"/>
      <c r="M105" s="351"/>
      <c r="N105" s="349"/>
      <c r="O105" s="349">
        <f t="shared" si="13"/>
        <v>0</v>
      </c>
      <c r="P105" s="206">
        <f t="shared" si="14"/>
        <v>54</v>
      </c>
      <c r="Q105" s="349">
        <f t="shared" si="15"/>
        <v>1468.26</v>
      </c>
      <c r="R105" s="352">
        <f t="shared" si="16"/>
        <v>0</v>
      </c>
      <c r="S105" s="352">
        <f t="shared" si="17"/>
        <v>0</v>
      </c>
      <c r="T105" s="352">
        <f t="shared" si="18"/>
        <v>0</v>
      </c>
      <c r="U105" s="352">
        <f t="shared" si="19"/>
        <v>0</v>
      </c>
      <c r="V105" s="352">
        <f t="shared" si="20"/>
        <v>0</v>
      </c>
      <c r="W105" s="352">
        <f t="shared" si="21"/>
        <v>0</v>
      </c>
      <c r="X105" s="352">
        <f t="shared" si="22"/>
        <v>0</v>
      </c>
      <c r="Y105" s="353">
        <f t="shared" si="23"/>
        <v>0</v>
      </c>
      <c r="Z105" s="354">
        <f t="shared" si="24"/>
        <v>1468.26</v>
      </c>
      <c r="AA105" s="506">
        <f t="shared" si="25"/>
        <v>0</v>
      </c>
    </row>
    <row r="106" spans="2:27" ht="33.75" x14ac:dyDescent="0.25">
      <c r="B106" s="346" t="s">
        <v>278</v>
      </c>
      <c r="C106" s="347">
        <v>92008</v>
      </c>
      <c r="D106" s="348" t="s">
        <v>280</v>
      </c>
      <c r="E106" s="245" t="s">
        <v>166</v>
      </c>
      <c r="F106" s="245">
        <v>42.35</v>
      </c>
      <c r="G106" s="349">
        <v>8</v>
      </c>
      <c r="H106" s="351"/>
      <c r="I106" s="351"/>
      <c r="J106" s="350"/>
      <c r="K106" s="351"/>
      <c r="L106" s="351"/>
      <c r="M106" s="351"/>
      <c r="N106" s="349"/>
      <c r="O106" s="349">
        <f t="shared" si="13"/>
        <v>0</v>
      </c>
      <c r="P106" s="206">
        <f t="shared" si="14"/>
        <v>8</v>
      </c>
      <c r="Q106" s="349">
        <f t="shared" si="15"/>
        <v>338.8</v>
      </c>
      <c r="R106" s="352">
        <f t="shared" si="16"/>
        <v>0</v>
      </c>
      <c r="S106" s="352">
        <f t="shared" si="17"/>
        <v>0</v>
      </c>
      <c r="T106" s="352">
        <f t="shared" si="18"/>
        <v>0</v>
      </c>
      <c r="U106" s="352">
        <f t="shared" si="19"/>
        <v>0</v>
      </c>
      <c r="V106" s="352">
        <f t="shared" si="20"/>
        <v>0</v>
      </c>
      <c r="W106" s="352">
        <f t="shared" si="21"/>
        <v>0</v>
      </c>
      <c r="X106" s="352">
        <f t="shared" si="22"/>
        <v>0</v>
      </c>
      <c r="Y106" s="353">
        <f t="shared" si="23"/>
        <v>0</v>
      </c>
      <c r="Z106" s="354">
        <f t="shared" si="24"/>
        <v>338.8</v>
      </c>
      <c r="AA106" s="506">
        <f t="shared" si="25"/>
        <v>0</v>
      </c>
    </row>
    <row r="107" spans="2:27" ht="33.75" x14ac:dyDescent="0.25">
      <c r="B107" s="346" t="s">
        <v>281</v>
      </c>
      <c r="C107" s="347">
        <v>91959</v>
      </c>
      <c r="D107" s="355" t="s">
        <v>283</v>
      </c>
      <c r="E107" s="245" t="s">
        <v>166</v>
      </c>
      <c r="F107" s="245">
        <v>39.619999999999997</v>
      </c>
      <c r="G107" s="349">
        <v>2</v>
      </c>
      <c r="H107" s="278"/>
      <c r="I107" s="278"/>
      <c r="J107" s="350"/>
      <c r="K107" s="278"/>
      <c r="L107" s="278"/>
      <c r="M107" s="278"/>
      <c r="N107" s="278"/>
      <c r="O107" s="349">
        <f t="shared" si="13"/>
        <v>0</v>
      </c>
      <c r="P107" s="206">
        <f t="shared" si="14"/>
        <v>2</v>
      </c>
      <c r="Q107" s="349">
        <f t="shared" si="15"/>
        <v>79.239999999999995</v>
      </c>
      <c r="R107" s="352">
        <f t="shared" si="16"/>
        <v>0</v>
      </c>
      <c r="S107" s="352">
        <f t="shared" si="17"/>
        <v>0</v>
      </c>
      <c r="T107" s="352">
        <f t="shared" si="18"/>
        <v>0</v>
      </c>
      <c r="U107" s="352">
        <f t="shared" si="19"/>
        <v>0</v>
      </c>
      <c r="V107" s="352">
        <f t="shared" si="20"/>
        <v>0</v>
      </c>
      <c r="W107" s="352">
        <f t="shared" si="21"/>
        <v>0</v>
      </c>
      <c r="X107" s="352">
        <f t="shared" si="22"/>
        <v>0</v>
      </c>
      <c r="Y107" s="353">
        <f t="shared" si="23"/>
        <v>0</v>
      </c>
      <c r="Z107" s="354">
        <f t="shared" si="24"/>
        <v>79.239999999999995</v>
      </c>
      <c r="AA107" s="506">
        <f t="shared" si="25"/>
        <v>0</v>
      </c>
    </row>
    <row r="108" spans="2:27" ht="33.75" x14ac:dyDescent="0.25">
      <c r="B108" s="346" t="s">
        <v>284</v>
      </c>
      <c r="C108" s="347">
        <v>91834</v>
      </c>
      <c r="D108" s="355" t="s">
        <v>286</v>
      </c>
      <c r="E108" s="245" t="s">
        <v>37</v>
      </c>
      <c r="F108" s="245">
        <v>9.77</v>
      </c>
      <c r="G108" s="349">
        <v>830.48</v>
      </c>
      <c r="H108" s="278"/>
      <c r="I108" s="278"/>
      <c r="J108" s="350"/>
      <c r="K108" s="278"/>
      <c r="L108" s="278"/>
      <c r="M108" s="350">
        <f>'MEMORIAL DE CALCULO 06'!K413</f>
        <v>150</v>
      </c>
      <c r="N108" s="278"/>
      <c r="O108" s="349">
        <f t="shared" si="13"/>
        <v>150</v>
      </c>
      <c r="P108" s="206">
        <f t="shared" si="14"/>
        <v>680.48</v>
      </c>
      <c r="Q108" s="349">
        <f t="shared" si="15"/>
        <v>8113.7896000000001</v>
      </c>
      <c r="R108" s="352">
        <f t="shared" si="16"/>
        <v>0</v>
      </c>
      <c r="S108" s="352">
        <f t="shared" si="17"/>
        <v>0</v>
      </c>
      <c r="T108" s="352">
        <f t="shared" si="18"/>
        <v>0</v>
      </c>
      <c r="U108" s="352">
        <f t="shared" si="19"/>
        <v>0</v>
      </c>
      <c r="V108" s="352">
        <f t="shared" si="20"/>
        <v>0</v>
      </c>
      <c r="W108" s="352">
        <f t="shared" si="21"/>
        <v>1465.5</v>
      </c>
      <c r="X108" s="352">
        <f t="shared" si="22"/>
        <v>0</v>
      </c>
      <c r="Y108" s="353">
        <f t="shared" si="23"/>
        <v>1465.5</v>
      </c>
      <c r="Z108" s="354">
        <f t="shared" si="24"/>
        <v>6648.2896000000001</v>
      </c>
      <c r="AA108" s="506">
        <f t="shared" si="25"/>
        <v>0.18061843753010307</v>
      </c>
    </row>
    <row r="109" spans="2:27" ht="33.75" x14ac:dyDescent="0.25">
      <c r="B109" s="346" t="s">
        <v>287</v>
      </c>
      <c r="C109" s="347">
        <v>91868</v>
      </c>
      <c r="D109" s="348" t="s">
        <v>289</v>
      </c>
      <c r="E109" s="245" t="s">
        <v>37</v>
      </c>
      <c r="F109" s="245">
        <v>13.05</v>
      </c>
      <c r="G109" s="349">
        <v>55.97</v>
      </c>
      <c r="H109" s="351"/>
      <c r="I109" s="351"/>
      <c r="J109" s="350"/>
      <c r="K109" s="351"/>
      <c r="L109" s="351"/>
      <c r="M109" s="351"/>
      <c r="N109" s="349"/>
      <c r="O109" s="349">
        <f t="shared" si="13"/>
        <v>0</v>
      </c>
      <c r="P109" s="206">
        <f t="shared" si="14"/>
        <v>55.97</v>
      </c>
      <c r="Q109" s="349">
        <f t="shared" si="15"/>
        <v>730.4085</v>
      </c>
      <c r="R109" s="352">
        <f t="shared" si="16"/>
        <v>0</v>
      </c>
      <c r="S109" s="352">
        <f t="shared" si="17"/>
        <v>0</v>
      </c>
      <c r="T109" s="352">
        <f t="shared" si="18"/>
        <v>0</v>
      </c>
      <c r="U109" s="352">
        <f t="shared" si="19"/>
        <v>0</v>
      </c>
      <c r="V109" s="352">
        <f t="shared" si="20"/>
        <v>0</v>
      </c>
      <c r="W109" s="352">
        <f t="shared" si="21"/>
        <v>0</v>
      </c>
      <c r="X109" s="352">
        <f t="shared" si="22"/>
        <v>0</v>
      </c>
      <c r="Y109" s="353">
        <f t="shared" si="23"/>
        <v>0</v>
      </c>
      <c r="Z109" s="354">
        <f t="shared" si="24"/>
        <v>730.4085</v>
      </c>
      <c r="AA109" s="506">
        <f t="shared" si="25"/>
        <v>0</v>
      </c>
    </row>
    <row r="110" spans="2:27" ht="33.75" x14ac:dyDescent="0.25">
      <c r="B110" s="346" t="s">
        <v>290</v>
      </c>
      <c r="C110" s="347">
        <v>91867</v>
      </c>
      <c r="D110" s="348" t="s">
        <v>292</v>
      </c>
      <c r="E110" s="245" t="s">
        <v>37</v>
      </c>
      <c r="F110" s="245">
        <v>9.18</v>
      </c>
      <c r="G110" s="349">
        <v>36.19</v>
      </c>
      <c r="H110" s="351"/>
      <c r="I110" s="351"/>
      <c r="J110" s="350"/>
      <c r="K110" s="351"/>
      <c r="L110" s="351"/>
      <c r="M110" s="351"/>
      <c r="N110" s="349"/>
      <c r="O110" s="349">
        <f t="shared" si="13"/>
        <v>0</v>
      </c>
      <c r="P110" s="206">
        <f t="shared" si="14"/>
        <v>36.19</v>
      </c>
      <c r="Q110" s="349">
        <f t="shared" si="15"/>
        <v>332.2242</v>
      </c>
      <c r="R110" s="352">
        <f t="shared" si="16"/>
        <v>0</v>
      </c>
      <c r="S110" s="352">
        <f t="shared" si="17"/>
        <v>0</v>
      </c>
      <c r="T110" s="352">
        <f t="shared" si="18"/>
        <v>0</v>
      </c>
      <c r="U110" s="352">
        <f t="shared" si="19"/>
        <v>0</v>
      </c>
      <c r="V110" s="352">
        <f t="shared" si="20"/>
        <v>0</v>
      </c>
      <c r="W110" s="352">
        <f t="shared" si="21"/>
        <v>0</v>
      </c>
      <c r="X110" s="352">
        <f t="shared" si="22"/>
        <v>0</v>
      </c>
      <c r="Y110" s="353">
        <f t="shared" si="23"/>
        <v>0</v>
      </c>
      <c r="Z110" s="354">
        <f t="shared" si="24"/>
        <v>332.2242</v>
      </c>
      <c r="AA110" s="506">
        <f t="shared" si="25"/>
        <v>0</v>
      </c>
    </row>
    <row r="111" spans="2:27" ht="22.5" x14ac:dyDescent="0.25">
      <c r="B111" s="346" t="s">
        <v>293</v>
      </c>
      <c r="C111" s="347">
        <v>101654</v>
      </c>
      <c r="D111" s="348" t="s">
        <v>295</v>
      </c>
      <c r="E111" s="245" t="s">
        <v>166</v>
      </c>
      <c r="F111" s="245">
        <v>289.93</v>
      </c>
      <c r="G111" s="349">
        <v>15</v>
      </c>
      <c r="H111" s="351"/>
      <c r="I111" s="351"/>
      <c r="J111" s="350"/>
      <c r="K111" s="351"/>
      <c r="L111" s="351"/>
      <c r="M111" s="351"/>
      <c r="N111" s="349"/>
      <c r="O111" s="349">
        <f t="shared" si="13"/>
        <v>0</v>
      </c>
      <c r="P111" s="206">
        <f t="shared" si="14"/>
        <v>15</v>
      </c>
      <c r="Q111" s="349">
        <f t="shared" si="15"/>
        <v>4348.95</v>
      </c>
      <c r="R111" s="352">
        <f t="shared" si="16"/>
        <v>0</v>
      </c>
      <c r="S111" s="352">
        <f t="shared" si="17"/>
        <v>0</v>
      </c>
      <c r="T111" s="352">
        <f t="shared" si="18"/>
        <v>0</v>
      </c>
      <c r="U111" s="352">
        <f t="shared" si="19"/>
        <v>0</v>
      </c>
      <c r="V111" s="352">
        <f t="shared" si="20"/>
        <v>0</v>
      </c>
      <c r="W111" s="352">
        <f t="shared" si="21"/>
        <v>0</v>
      </c>
      <c r="X111" s="352">
        <f t="shared" si="22"/>
        <v>0</v>
      </c>
      <c r="Y111" s="353">
        <f t="shared" si="23"/>
        <v>0</v>
      </c>
      <c r="Z111" s="354">
        <f t="shared" si="24"/>
        <v>4348.95</v>
      </c>
      <c r="AA111" s="506">
        <f t="shared" si="25"/>
        <v>0</v>
      </c>
    </row>
    <row r="112" spans="2:27" ht="22.5" x14ac:dyDescent="0.25">
      <c r="B112" s="346" t="s">
        <v>296</v>
      </c>
      <c r="C112" s="347">
        <v>103782</v>
      </c>
      <c r="D112" s="348" t="s">
        <v>298</v>
      </c>
      <c r="E112" s="245" t="s">
        <v>166</v>
      </c>
      <c r="F112" s="245">
        <v>33.380000000000003</v>
      </c>
      <c r="G112" s="349">
        <v>76</v>
      </c>
      <c r="H112" s="351"/>
      <c r="I112" s="351"/>
      <c r="J112" s="350"/>
      <c r="K112" s="351"/>
      <c r="L112" s="351"/>
      <c r="M112" s="351"/>
      <c r="N112" s="349"/>
      <c r="O112" s="349">
        <f t="shared" si="13"/>
        <v>0</v>
      </c>
      <c r="P112" s="206">
        <f t="shared" si="14"/>
        <v>76</v>
      </c>
      <c r="Q112" s="349">
        <f t="shared" si="15"/>
        <v>2536.88</v>
      </c>
      <c r="R112" s="352">
        <f t="shared" si="16"/>
        <v>0</v>
      </c>
      <c r="S112" s="352">
        <f t="shared" si="17"/>
        <v>0</v>
      </c>
      <c r="T112" s="352">
        <f t="shared" si="18"/>
        <v>0</v>
      </c>
      <c r="U112" s="352">
        <f t="shared" si="19"/>
        <v>0</v>
      </c>
      <c r="V112" s="352">
        <f t="shared" si="20"/>
        <v>0</v>
      </c>
      <c r="W112" s="352">
        <f t="shared" si="21"/>
        <v>0</v>
      </c>
      <c r="X112" s="352">
        <f t="shared" si="22"/>
        <v>0</v>
      </c>
      <c r="Y112" s="353">
        <f t="shared" si="23"/>
        <v>0</v>
      </c>
      <c r="Z112" s="354">
        <f t="shared" si="24"/>
        <v>2536.88</v>
      </c>
      <c r="AA112" s="506">
        <f t="shared" si="25"/>
        <v>0</v>
      </c>
    </row>
    <row r="113" spans="2:27" ht="33.75" x14ac:dyDescent="0.25">
      <c r="B113" s="346" t="s">
        <v>299</v>
      </c>
      <c r="C113" s="347">
        <v>101509</v>
      </c>
      <c r="D113" s="348" t="s">
        <v>301</v>
      </c>
      <c r="E113" s="245" t="s">
        <v>166</v>
      </c>
      <c r="F113" s="245">
        <v>1759.39</v>
      </c>
      <c r="G113" s="349">
        <v>1</v>
      </c>
      <c r="H113" s="351"/>
      <c r="I113" s="351"/>
      <c r="J113" s="350"/>
      <c r="K113" s="351"/>
      <c r="L113" s="351"/>
      <c r="M113" s="351"/>
      <c r="N113" s="349"/>
      <c r="O113" s="349">
        <f t="shared" si="13"/>
        <v>0</v>
      </c>
      <c r="P113" s="206">
        <f t="shared" si="14"/>
        <v>1</v>
      </c>
      <c r="Q113" s="349">
        <f t="shared" si="15"/>
        <v>1759.39</v>
      </c>
      <c r="R113" s="352">
        <f t="shared" si="16"/>
        <v>0</v>
      </c>
      <c r="S113" s="352">
        <f t="shared" si="17"/>
        <v>0</v>
      </c>
      <c r="T113" s="352">
        <f t="shared" si="18"/>
        <v>0</v>
      </c>
      <c r="U113" s="352">
        <f t="shared" si="19"/>
        <v>0</v>
      </c>
      <c r="V113" s="352">
        <f t="shared" si="20"/>
        <v>0</v>
      </c>
      <c r="W113" s="352">
        <f t="shared" si="21"/>
        <v>0</v>
      </c>
      <c r="X113" s="352">
        <f t="shared" si="22"/>
        <v>0</v>
      </c>
      <c r="Y113" s="353">
        <f t="shared" si="23"/>
        <v>0</v>
      </c>
      <c r="Z113" s="354">
        <f t="shared" si="24"/>
        <v>1759.39</v>
      </c>
      <c r="AA113" s="506">
        <f t="shared" si="25"/>
        <v>0</v>
      </c>
    </row>
    <row r="114" spans="2:27" ht="33.75" x14ac:dyDescent="0.25">
      <c r="B114" s="346" t="s">
        <v>302</v>
      </c>
      <c r="C114" s="347">
        <v>5044</v>
      </c>
      <c r="D114" s="348" t="s">
        <v>304</v>
      </c>
      <c r="E114" s="245" t="s">
        <v>166</v>
      </c>
      <c r="F114" s="245">
        <v>924.88</v>
      </c>
      <c r="G114" s="349">
        <v>1</v>
      </c>
      <c r="H114" s="351"/>
      <c r="I114" s="351"/>
      <c r="J114" s="350"/>
      <c r="K114" s="351"/>
      <c r="L114" s="351"/>
      <c r="M114" s="351"/>
      <c r="N114" s="349"/>
      <c r="O114" s="349">
        <f t="shared" si="13"/>
        <v>0</v>
      </c>
      <c r="P114" s="206">
        <f t="shared" si="14"/>
        <v>1</v>
      </c>
      <c r="Q114" s="349">
        <f t="shared" si="15"/>
        <v>924.88</v>
      </c>
      <c r="R114" s="352">
        <f t="shared" si="16"/>
        <v>0</v>
      </c>
      <c r="S114" s="352">
        <f t="shared" si="17"/>
        <v>0</v>
      </c>
      <c r="T114" s="352">
        <f t="shared" si="18"/>
        <v>0</v>
      </c>
      <c r="U114" s="352">
        <f t="shared" si="19"/>
        <v>0</v>
      </c>
      <c r="V114" s="352">
        <f t="shared" si="20"/>
        <v>0</v>
      </c>
      <c r="W114" s="352">
        <f t="shared" si="21"/>
        <v>0</v>
      </c>
      <c r="X114" s="352">
        <f t="shared" si="22"/>
        <v>0</v>
      </c>
      <c r="Y114" s="353">
        <f t="shared" si="23"/>
        <v>0</v>
      </c>
      <c r="Z114" s="354">
        <f t="shared" si="24"/>
        <v>924.88</v>
      </c>
      <c r="AA114" s="506">
        <f t="shared" si="25"/>
        <v>0</v>
      </c>
    </row>
    <row r="115" spans="2:27" ht="45" x14ac:dyDescent="0.25">
      <c r="B115" s="346" t="s">
        <v>305</v>
      </c>
      <c r="C115" s="347">
        <v>101879</v>
      </c>
      <c r="D115" s="348" t="s">
        <v>307</v>
      </c>
      <c r="E115" s="245" t="s">
        <v>166</v>
      </c>
      <c r="F115" s="245">
        <v>555.51</v>
      </c>
      <c r="G115" s="349">
        <v>1</v>
      </c>
      <c r="H115" s="351"/>
      <c r="I115" s="351"/>
      <c r="J115" s="350"/>
      <c r="K115" s="351"/>
      <c r="L115" s="351"/>
      <c r="M115" s="351"/>
      <c r="N115" s="349"/>
      <c r="O115" s="349">
        <f t="shared" si="13"/>
        <v>0</v>
      </c>
      <c r="P115" s="206">
        <f t="shared" si="14"/>
        <v>1</v>
      </c>
      <c r="Q115" s="349">
        <f t="shared" si="15"/>
        <v>555.51</v>
      </c>
      <c r="R115" s="352">
        <f t="shared" si="16"/>
        <v>0</v>
      </c>
      <c r="S115" s="352">
        <f t="shared" si="17"/>
        <v>0</v>
      </c>
      <c r="T115" s="352">
        <f t="shared" si="18"/>
        <v>0</v>
      </c>
      <c r="U115" s="352">
        <f t="shared" si="19"/>
        <v>0</v>
      </c>
      <c r="V115" s="352">
        <f t="shared" si="20"/>
        <v>0</v>
      </c>
      <c r="W115" s="352">
        <f t="shared" si="21"/>
        <v>0</v>
      </c>
      <c r="X115" s="352">
        <f t="shared" si="22"/>
        <v>0</v>
      </c>
      <c r="Y115" s="353">
        <f t="shared" si="23"/>
        <v>0</v>
      </c>
      <c r="Z115" s="354">
        <f t="shared" si="24"/>
        <v>555.51</v>
      </c>
      <c r="AA115" s="506">
        <f t="shared" si="25"/>
        <v>0</v>
      </c>
    </row>
    <row r="116" spans="2:27" ht="33.75" x14ac:dyDescent="0.25">
      <c r="B116" s="346" t="s">
        <v>308</v>
      </c>
      <c r="C116" s="347">
        <v>5044</v>
      </c>
      <c r="D116" s="348" t="s">
        <v>304</v>
      </c>
      <c r="E116" s="245" t="s">
        <v>166</v>
      </c>
      <c r="F116" s="245">
        <v>924.88</v>
      </c>
      <c r="G116" s="349">
        <v>1</v>
      </c>
      <c r="H116" s="351"/>
      <c r="I116" s="351"/>
      <c r="J116" s="350"/>
      <c r="K116" s="351"/>
      <c r="L116" s="351"/>
      <c r="M116" s="351"/>
      <c r="N116" s="349"/>
      <c r="O116" s="349">
        <f t="shared" si="13"/>
        <v>0</v>
      </c>
      <c r="P116" s="206">
        <f t="shared" si="14"/>
        <v>1</v>
      </c>
      <c r="Q116" s="349">
        <f t="shared" si="15"/>
        <v>924.88</v>
      </c>
      <c r="R116" s="352">
        <f t="shared" si="16"/>
        <v>0</v>
      </c>
      <c r="S116" s="352">
        <f t="shared" si="17"/>
        <v>0</v>
      </c>
      <c r="T116" s="352">
        <f t="shared" si="18"/>
        <v>0</v>
      </c>
      <c r="U116" s="352">
        <f t="shared" si="19"/>
        <v>0</v>
      </c>
      <c r="V116" s="352">
        <f t="shared" si="20"/>
        <v>0</v>
      </c>
      <c r="W116" s="352">
        <f t="shared" si="21"/>
        <v>0</v>
      </c>
      <c r="X116" s="352">
        <f t="shared" si="22"/>
        <v>0</v>
      </c>
      <c r="Y116" s="353">
        <f t="shared" si="23"/>
        <v>0</v>
      </c>
      <c r="Z116" s="354">
        <f t="shared" si="24"/>
        <v>924.88</v>
      </c>
      <c r="AA116" s="506">
        <f t="shared" si="25"/>
        <v>0</v>
      </c>
    </row>
    <row r="117" spans="2:27" ht="33.75" x14ac:dyDescent="0.25">
      <c r="B117" s="346" t="s">
        <v>309</v>
      </c>
      <c r="C117" s="347">
        <v>92023</v>
      </c>
      <c r="D117" s="348" t="s">
        <v>311</v>
      </c>
      <c r="E117" s="245" t="s">
        <v>166</v>
      </c>
      <c r="F117" s="245">
        <v>43.88</v>
      </c>
      <c r="G117" s="349">
        <v>5</v>
      </c>
      <c r="H117" s="351"/>
      <c r="I117" s="351"/>
      <c r="J117" s="350"/>
      <c r="K117" s="351"/>
      <c r="L117" s="351"/>
      <c r="M117" s="351"/>
      <c r="N117" s="349"/>
      <c r="O117" s="349">
        <f t="shared" si="13"/>
        <v>0</v>
      </c>
      <c r="P117" s="206">
        <f t="shared" si="14"/>
        <v>5</v>
      </c>
      <c r="Q117" s="349">
        <f t="shared" si="15"/>
        <v>219.4</v>
      </c>
      <c r="R117" s="352">
        <f t="shared" si="16"/>
        <v>0</v>
      </c>
      <c r="S117" s="352">
        <f t="shared" si="17"/>
        <v>0</v>
      </c>
      <c r="T117" s="352">
        <f t="shared" si="18"/>
        <v>0</v>
      </c>
      <c r="U117" s="352">
        <f t="shared" si="19"/>
        <v>0</v>
      </c>
      <c r="V117" s="352">
        <f t="shared" si="20"/>
        <v>0</v>
      </c>
      <c r="W117" s="352">
        <f t="shared" si="21"/>
        <v>0</v>
      </c>
      <c r="X117" s="352">
        <f t="shared" si="22"/>
        <v>0</v>
      </c>
      <c r="Y117" s="353">
        <f t="shared" si="23"/>
        <v>0</v>
      </c>
      <c r="Z117" s="354">
        <f t="shared" si="24"/>
        <v>219.4</v>
      </c>
      <c r="AA117" s="506">
        <f t="shared" si="25"/>
        <v>0</v>
      </c>
    </row>
    <row r="118" spans="2:27" x14ac:dyDescent="0.25">
      <c r="B118" s="356" t="s">
        <v>312</v>
      </c>
      <c r="C118" s="359" t="s">
        <v>313</v>
      </c>
      <c r="D118" s="348"/>
      <c r="E118" s="245"/>
      <c r="F118" s="245"/>
      <c r="G118" s="349"/>
      <c r="H118" s="351"/>
      <c r="I118" s="351"/>
      <c r="J118" s="350"/>
      <c r="K118" s="351"/>
      <c r="L118" s="351"/>
      <c r="M118" s="351"/>
      <c r="N118" s="349"/>
      <c r="O118" s="349"/>
      <c r="P118" s="206"/>
      <c r="Q118" s="349"/>
      <c r="R118" s="352">
        <f t="shared" si="16"/>
        <v>0</v>
      </c>
      <c r="S118" s="352">
        <f t="shared" si="17"/>
        <v>0</v>
      </c>
      <c r="T118" s="352">
        <f t="shared" si="18"/>
        <v>0</v>
      </c>
      <c r="U118" s="352">
        <f t="shared" si="19"/>
        <v>0</v>
      </c>
      <c r="V118" s="352">
        <f t="shared" si="20"/>
        <v>0</v>
      </c>
      <c r="W118" s="352">
        <f t="shared" si="21"/>
        <v>0</v>
      </c>
      <c r="X118" s="352">
        <f t="shared" si="22"/>
        <v>0</v>
      </c>
      <c r="Y118" s="353">
        <f t="shared" si="23"/>
        <v>0</v>
      </c>
      <c r="Z118" s="354">
        <f t="shared" si="24"/>
        <v>0</v>
      </c>
      <c r="AA118" s="506"/>
    </row>
    <row r="119" spans="2:27" s="167" customFormat="1" ht="22.5" x14ac:dyDescent="0.25">
      <c r="B119" s="332" t="s">
        <v>314</v>
      </c>
      <c r="C119" s="333">
        <v>96620</v>
      </c>
      <c r="D119" s="334" t="s">
        <v>316</v>
      </c>
      <c r="E119" s="335" t="s">
        <v>41</v>
      </c>
      <c r="F119" s="402">
        <v>593.44000000000005</v>
      </c>
      <c r="G119" s="336">
        <v>31.73</v>
      </c>
      <c r="H119" s="337"/>
      <c r="I119" s="337"/>
      <c r="J119" s="338"/>
      <c r="K119" s="337"/>
      <c r="L119" s="337"/>
      <c r="M119" s="337"/>
      <c r="N119" s="337">
        <f>'MEMORIAL DE CALCULO 07'!K432</f>
        <v>10.200000000000001</v>
      </c>
      <c r="O119" s="336">
        <f t="shared" si="13"/>
        <v>10.200000000000001</v>
      </c>
      <c r="P119" s="336">
        <f t="shared" si="14"/>
        <v>21.53</v>
      </c>
      <c r="Q119" s="336">
        <f t="shared" si="15"/>
        <v>18829.851200000001</v>
      </c>
      <c r="R119" s="339">
        <f t="shared" si="16"/>
        <v>0</v>
      </c>
      <c r="S119" s="339">
        <f t="shared" si="17"/>
        <v>0</v>
      </c>
      <c r="T119" s="339">
        <f t="shared" si="18"/>
        <v>0</v>
      </c>
      <c r="U119" s="339">
        <f t="shared" si="19"/>
        <v>0</v>
      </c>
      <c r="V119" s="339">
        <f t="shared" si="20"/>
        <v>0</v>
      </c>
      <c r="W119" s="339">
        <f t="shared" si="21"/>
        <v>0</v>
      </c>
      <c r="X119" s="339">
        <f t="shared" si="22"/>
        <v>6053.0880000000016</v>
      </c>
      <c r="Y119" s="340">
        <f t="shared" si="23"/>
        <v>6053.0880000000016</v>
      </c>
      <c r="Z119" s="341">
        <f t="shared" si="24"/>
        <v>12776.763199999999</v>
      </c>
      <c r="AA119" s="506">
        <f t="shared" si="25"/>
        <v>0.32146233848093292</v>
      </c>
    </row>
    <row r="120" spans="2:27" ht="67.5" x14ac:dyDescent="0.25">
      <c r="B120" s="346" t="s">
        <v>317</v>
      </c>
      <c r="C120" s="347">
        <v>94439</v>
      </c>
      <c r="D120" s="348" t="s">
        <v>319</v>
      </c>
      <c r="E120" s="277" t="s">
        <v>17</v>
      </c>
      <c r="F120" s="245">
        <v>46.08</v>
      </c>
      <c r="G120" s="349">
        <v>634.5</v>
      </c>
      <c r="H120" s="351"/>
      <c r="I120" s="351"/>
      <c r="J120" s="350"/>
      <c r="K120" s="351"/>
      <c r="L120" s="351"/>
      <c r="M120" s="351"/>
      <c r="N120" s="349"/>
      <c r="O120" s="349">
        <f t="shared" si="13"/>
        <v>0</v>
      </c>
      <c r="P120" s="206">
        <f t="shared" si="14"/>
        <v>634.5</v>
      </c>
      <c r="Q120" s="349">
        <f t="shared" si="15"/>
        <v>29237.759999999998</v>
      </c>
      <c r="R120" s="352">
        <f t="shared" si="16"/>
        <v>0</v>
      </c>
      <c r="S120" s="352">
        <f t="shared" si="17"/>
        <v>0</v>
      </c>
      <c r="T120" s="352">
        <f t="shared" si="18"/>
        <v>0</v>
      </c>
      <c r="U120" s="352">
        <f t="shared" si="19"/>
        <v>0</v>
      </c>
      <c r="V120" s="352">
        <f t="shared" si="20"/>
        <v>0</v>
      </c>
      <c r="W120" s="352">
        <f t="shared" si="21"/>
        <v>0</v>
      </c>
      <c r="X120" s="352">
        <f t="shared" si="22"/>
        <v>0</v>
      </c>
      <c r="Y120" s="353">
        <f t="shared" si="23"/>
        <v>0</v>
      </c>
      <c r="Z120" s="354">
        <f t="shared" si="24"/>
        <v>29237.759999999998</v>
      </c>
      <c r="AA120" s="506">
        <f t="shared" si="25"/>
        <v>0</v>
      </c>
    </row>
    <row r="121" spans="2:27" ht="33.75" x14ac:dyDescent="0.25">
      <c r="B121" s="346" t="s">
        <v>320</v>
      </c>
      <c r="C121" s="347">
        <v>87257</v>
      </c>
      <c r="D121" s="348" t="s">
        <v>322</v>
      </c>
      <c r="E121" s="277" t="s">
        <v>17</v>
      </c>
      <c r="F121" s="245">
        <v>95.14</v>
      </c>
      <c r="G121" s="349">
        <v>634.5</v>
      </c>
      <c r="H121" s="351"/>
      <c r="I121" s="351"/>
      <c r="J121" s="350"/>
      <c r="K121" s="351"/>
      <c r="L121" s="351"/>
      <c r="M121" s="351"/>
      <c r="N121" s="349"/>
      <c r="O121" s="349">
        <f t="shared" si="13"/>
        <v>0</v>
      </c>
      <c r="P121" s="206">
        <f t="shared" si="14"/>
        <v>634.5</v>
      </c>
      <c r="Q121" s="349">
        <f t="shared" si="15"/>
        <v>60366.33</v>
      </c>
      <c r="R121" s="352">
        <f t="shared" si="16"/>
        <v>0</v>
      </c>
      <c r="S121" s="352">
        <f t="shared" si="17"/>
        <v>0</v>
      </c>
      <c r="T121" s="352">
        <f t="shared" si="18"/>
        <v>0</v>
      </c>
      <c r="U121" s="352">
        <f t="shared" si="19"/>
        <v>0</v>
      </c>
      <c r="V121" s="352">
        <f t="shared" si="20"/>
        <v>0</v>
      </c>
      <c r="W121" s="352">
        <f t="shared" si="21"/>
        <v>0</v>
      </c>
      <c r="X121" s="352">
        <f t="shared" si="22"/>
        <v>0</v>
      </c>
      <c r="Y121" s="353">
        <f t="shared" si="23"/>
        <v>0</v>
      </c>
      <c r="Z121" s="354">
        <f t="shared" si="24"/>
        <v>60366.33</v>
      </c>
      <c r="AA121" s="506">
        <f t="shared" si="25"/>
        <v>0</v>
      </c>
    </row>
    <row r="122" spans="2:27" ht="33.75" x14ac:dyDescent="0.25">
      <c r="B122" s="346" t="s">
        <v>323</v>
      </c>
      <c r="C122" s="347">
        <v>92403</v>
      </c>
      <c r="D122" s="348" t="s">
        <v>325</v>
      </c>
      <c r="E122" s="277" t="s">
        <v>17</v>
      </c>
      <c r="F122" s="245">
        <v>51.12</v>
      </c>
      <c r="G122" s="349">
        <v>629.38</v>
      </c>
      <c r="H122" s="351"/>
      <c r="I122" s="351"/>
      <c r="J122" s="350"/>
      <c r="K122" s="351"/>
      <c r="L122" s="351"/>
      <c r="M122" s="351"/>
      <c r="N122" s="349"/>
      <c r="O122" s="349">
        <f t="shared" si="13"/>
        <v>0</v>
      </c>
      <c r="P122" s="206">
        <f t="shared" si="14"/>
        <v>629.38</v>
      </c>
      <c r="Q122" s="349">
        <f t="shared" si="15"/>
        <v>32173.905599999998</v>
      </c>
      <c r="R122" s="352">
        <f t="shared" si="16"/>
        <v>0</v>
      </c>
      <c r="S122" s="352">
        <f t="shared" si="17"/>
        <v>0</v>
      </c>
      <c r="T122" s="352">
        <f t="shared" si="18"/>
        <v>0</v>
      </c>
      <c r="U122" s="352">
        <f t="shared" si="19"/>
        <v>0</v>
      </c>
      <c r="V122" s="352">
        <f t="shared" si="20"/>
        <v>0</v>
      </c>
      <c r="W122" s="352">
        <f t="shared" si="21"/>
        <v>0</v>
      </c>
      <c r="X122" s="352">
        <f t="shared" si="22"/>
        <v>0</v>
      </c>
      <c r="Y122" s="353">
        <f t="shared" si="23"/>
        <v>0</v>
      </c>
      <c r="Z122" s="354">
        <f t="shared" si="24"/>
        <v>32173.905599999998</v>
      </c>
      <c r="AA122" s="506">
        <f t="shared" si="25"/>
        <v>0</v>
      </c>
    </row>
    <row r="123" spans="2:27" ht="56.25" x14ac:dyDescent="0.25">
      <c r="B123" s="346" t="s">
        <v>326</v>
      </c>
      <c r="C123" s="347">
        <v>94273</v>
      </c>
      <c r="D123" s="348" t="s">
        <v>328</v>
      </c>
      <c r="E123" s="277" t="s">
        <v>37</v>
      </c>
      <c r="F123" s="245">
        <v>47.25</v>
      </c>
      <c r="G123" s="349">
        <v>126.37</v>
      </c>
      <c r="H123" s="351"/>
      <c r="I123" s="351"/>
      <c r="J123" s="350"/>
      <c r="K123" s="351"/>
      <c r="L123" s="351"/>
      <c r="M123" s="351"/>
      <c r="N123" s="349"/>
      <c r="O123" s="349">
        <f t="shared" si="13"/>
        <v>0</v>
      </c>
      <c r="P123" s="206">
        <f t="shared" si="14"/>
        <v>126.37</v>
      </c>
      <c r="Q123" s="349">
        <f t="shared" si="15"/>
        <v>5970.9825000000001</v>
      </c>
      <c r="R123" s="352">
        <f t="shared" si="16"/>
        <v>0</v>
      </c>
      <c r="S123" s="352">
        <f t="shared" si="17"/>
        <v>0</v>
      </c>
      <c r="T123" s="352">
        <f t="shared" si="18"/>
        <v>0</v>
      </c>
      <c r="U123" s="352">
        <f t="shared" si="19"/>
        <v>0</v>
      </c>
      <c r="V123" s="352">
        <f t="shared" si="20"/>
        <v>0</v>
      </c>
      <c r="W123" s="352">
        <f t="shared" si="21"/>
        <v>0</v>
      </c>
      <c r="X123" s="352">
        <f t="shared" si="22"/>
        <v>0</v>
      </c>
      <c r="Y123" s="353">
        <f t="shared" si="23"/>
        <v>0</v>
      </c>
      <c r="Z123" s="354">
        <f t="shared" si="24"/>
        <v>5970.9825000000001</v>
      </c>
      <c r="AA123" s="506">
        <f t="shared" si="25"/>
        <v>0</v>
      </c>
    </row>
    <row r="124" spans="2:27" ht="22.5" x14ac:dyDescent="0.25">
      <c r="B124" s="346" t="s">
        <v>329</v>
      </c>
      <c r="C124" s="347">
        <v>368</v>
      </c>
      <c r="D124" s="348" t="s">
        <v>331</v>
      </c>
      <c r="E124" s="277" t="s">
        <v>41</v>
      </c>
      <c r="F124" s="245">
        <v>70.77</v>
      </c>
      <c r="G124" s="349">
        <v>7.46</v>
      </c>
      <c r="H124" s="351"/>
      <c r="I124" s="351"/>
      <c r="J124" s="350"/>
      <c r="K124" s="351"/>
      <c r="L124" s="351"/>
      <c r="M124" s="351"/>
      <c r="N124" s="349"/>
      <c r="O124" s="349">
        <f t="shared" si="13"/>
        <v>0</v>
      </c>
      <c r="P124" s="206">
        <f t="shared" si="14"/>
        <v>7.46</v>
      </c>
      <c r="Q124" s="349">
        <f t="shared" si="15"/>
        <v>527.94420000000002</v>
      </c>
      <c r="R124" s="352">
        <f t="shared" si="16"/>
        <v>0</v>
      </c>
      <c r="S124" s="352">
        <f t="shared" si="17"/>
        <v>0</v>
      </c>
      <c r="T124" s="352">
        <f t="shared" si="18"/>
        <v>0</v>
      </c>
      <c r="U124" s="352">
        <f t="shared" si="19"/>
        <v>0</v>
      </c>
      <c r="V124" s="352">
        <f t="shared" si="20"/>
        <v>0</v>
      </c>
      <c r="W124" s="352">
        <f t="shared" si="21"/>
        <v>0</v>
      </c>
      <c r="X124" s="352">
        <f t="shared" si="22"/>
        <v>0</v>
      </c>
      <c r="Y124" s="353">
        <f t="shared" si="23"/>
        <v>0</v>
      </c>
      <c r="Z124" s="354">
        <f t="shared" si="24"/>
        <v>527.94420000000002</v>
      </c>
      <c r="AA124" s="506">
        <f t="shared" si="25"/>
        <v>0</v>
      </c>
    </row>
    <row r="125" spans="2:27" x14ac:dyDescent="0.25">
      <c r="B125" s="346" t="s">
        <v>332</v>
      </c>
      <c r="C125" s="347">
        <v>98504</v>
      </c>
      <c r="D125" s="348" t="s">
        <v>334</v>
      </c>
      <c r="E125" s="277" t="s">
        <v>17</v>
      </c>
      <c r="F125" s="245">
        <v>15.87</v>
      </c>
      <c r="G125" s="349">
        <v>25.6</v>
      </c>
      <c r="H125" s="351"/>
      <c r="I125" s="351"/>
      <c r="J125" s="350"/>
      <c r="K125" s="351"/>
      <c r="L125" s="351"/>
      <c r="M125" s="351"/>
      <c r="N125" s="349"/>
      <c r="O125" s="349">
        <f t="shared" si="13"/>
        <v>0</v>
      </c>
      <c r="P125" s="206">
        <f t="shared" si="14"/>
        <v>25.6</v>
      </c>
      <c r="Q125" s="349">
        <f t="shared" si="15"/>
        <v>406.27199999999999</v>
      </c>
      <c r="R125" s="352">
        <f t="shared" si="16"/>
        <v>0</v>
      </c>
      <c r="S125" s="352">
        <f t="shared" si="17"/>
        <v>0</v>
      </c>
      <c r="T125" s="352">
        <f t="shared" si="18"/>
        <v>0</v>
      </c>
      <c r="U125" s="352">
        <f t="shared" si="19"/>
        <v>0</v>
      </c>
      <c r="V125" s="352">
        <f t="shared" si="20"/>
        <v>0</v>
      </c>
      <c r="W125" s="352">
        <f t="shared" si="21"/>
        <v>0</v>
      </c>
      <c r="X125" s="352">
        <f t="shared" si="22"/>
        <v>0</v>
      </c>
      <c r="Y125" s="353">
        <f t="shared" si="23"/>
        <v>0</v>
      </c>
      <c r="Z125" s="354">
        <f t="shared" si="24"/>
        <v>406.27199999999999</v>
      </c>
      <c r="AA125" s="506">
        <f t="shared" si="25"/>
        <v>0</v>
      </c>
    </row>
    <row r="126" spans="2:27" ht="22.5" x14ac:dyDescent="0.25">
      <c r="B126" s="346" t="s">
        <v>335</v>
      </c>
      <c r="C126" s="347">
        <v>103913</v>
      </c>
      <c r="D126" s="348" t="s">
        <v>337</v>
      </c>
      <c r="E126" s="277" t="s">
        <v>17</v>
      </c>
      <c r="F126" s="245">
        <v>117.96</v>
      </c>
      <c r="G126" s="349">
        <v>39.6</v>
      </c>
      <c r="H126" s="351"/>
      <c r="I126" s="351"/>
      <c r="J126" s="350"/>
      <c r="K126" s="351"/>
      <c r="L126" s="351"/>
      <c r="M126" s="351"/>
      <c r="N126" s="349"/>
      <c r="O126" s="349">
        <f t="shared" si="13"/>
        <v>0</v>
      </c>
      <c r="P126" s="206">
        <f t="shared" si="14"/>
        <v>39.6</v>
      </c>
      <c r="Q126" s="349">
        <f t="shared" si="15"/>
        <v>4671.2160000000003</v>
      </c>
      <c r="R126" s="352">
        <f t="shared" si="16"/>
        <v>0</v>
      </c>
      <c r="S126" s="352">
        <f t="shared" si="17"/>
        <v>0</v>
      </c>
      <c r="T126" s="352">
        <f t="shared" si="18"/>
        <v>0</v>
      </c>
      <c r="U126" s="352">
        <f t="shared" si="19"/>
        <v>0</v>
      </c>
      <c r="V126" s="352">
        <f t="shared" si="20"/>
        <v>0</v>
      </c>
      <c r="W126" s="352">
        <f t="shared" si="21"/>
        <v>0</v>
      </c>
      <c r="X126" s="352">
        <f t="shared" si="22"/>
        <v>0</v>
      </c>
      <c r="Y126" s="353">
        <f t="shared" si="23"/>
        <v>0</v>
      </c>
      <c r="Z126" s="354">
        <f t="shared" si="24"/>
        <v>4671.2160000000003</v>
      </c>
      <c r="AA126" s="506">
        <f t="shared" si="25"/>
        <v>0</v>
      </c>
    </row>
    <row r="127" spans="2:27" x14ac:dyDescent="0.25">
      <c r="B127" s="356" t="s">
        <v>338</v>
      </c>
      <c r="C127" s="359" t="s">
        <v>339</v>
      </c>
      <c r="D127" s="348"/>
      <c r="E127" s="277"/>
      <c r="F127" s="245"/>
      <c r="G127" s="349"/>
      <c r="H127" s="351"/>
      <c r="I127" s="351"/>
      <c r="J127" s="350"/>
      <c r="K127" s="351"/>
      <c r="L127" s="351"/>
      <c r="M127" s="351"/>
      <c r="N127" s="349"/>
      <c r="O127" s="349"/>
      <c r="P127" s="206"/>
      <c r="Q127" s="349"/>
      <c r="R127" s="352">
        <f t="shared" si="16"/>
        <v>0</v>
      </c>
      <c r="S127" s="352">
        <f t="shared" si="17"/>
        <v>0</v>
      </c>
      <c r="T127" s="352">
        <f t="shared" si="18"/>
        <v>0</v>
      </c>
      <c r="U127" s="352">
        <f t="shared" si="19"/>
        <v>0</v>
      </c>
      <c r="V127" s="352">
        <f t="shared" si="20"/>
        <v>0</v>
      </c>
      <c r="W127" s="352">
        <f t="shared" si="21"/>
        <v>0</v>
      </c>
      <c r="X127" s="352">
        <f t="shared" si="22"/>
        <v>0</v>
      </c>
      <c r="Y127" s="353">
        <f t="shared" si="23"/>
        <v>0</v>
      </c>
      <c r="Z127" s="354">
        <f t="shared" si="24"/>
        <v>0</v>
      </c>
      <c r="AA127" s="506" t="e">
        <f t="shared" si="25"/>
        <v>#DIV/0!</v>
      </c>
    </row>
    <row r="128" spans="2:27" ht="45" x14ac:dyDescent="0.25">
      <c r="B128" s="346" t="s">
        <v>340</v>
      </c>
      <c r="C128" s="347">
        <v>94207</v>
      </c>
      <c r="D128" s="348" t="s">
        <v>342</v>
      </c>
      <c r="E128" s="277" t="s">
        <v>17</v>
      </c>
      <c r="F128" s="245">
        <v>69.180000000000007</v>
      </c>
      <c r="G128" s="349">
        <v>610.20000000000005</v>
      </c>
      <c r="H128" s="351"/>
      <c r="I128" s="351"/>
      <c r="J128" s="350"/>
      <c r="K128" s="351"/>
      <c r="L128" s="351"/>
      <c r="M128" s="351"/>
      <c r="N128" s="349"/>
      <c r="O128" s="349">
        <f t="shared" si="13"/>
        <v>0</v>
      </c>
      <c r="P128" s="206">
        <f t="shared" si="14"/>
        <v>610.20000000000005</v>
      </c>
      <c r="Q128" s="349">
        <f t="shared" si="15"/>
        <v>42213.636000000006</v>
      </c>
      <c r="R128" s="352">
        <f t="shared" si="16"/>
        <v>0</v>
      </c>
      <c r="S128" s="352">
        <f t="shared" si="17"/>
        <v>0</v>
      </c>
      <c r="T128" s="352">
        <f t="shared" si="18"/>
        <v>0</v>
      </c>
      <c r="U128" s="352">
        <f t="shared" si="19"/>
        <v>0</v>
      </c>
      <c r="V128" s="352">
        <f t="shared" si="20"/>
        <v>0</v>
      </c>
      <c r="W128" s="352">
        <f t="shared" si="21"/>
        <v>0</v>
      </c>
      <c r="X128" s="352">
        <f t="shared" si="22"/>
        <v>0</v>
      </c>
      <c r="Y128" s="353">
        <f t="shared" si="23"/>
        <v>0</v>
      </c>
      <c r="Z128" s="354">
        <f t="shared" si="24"/>
        <v>42213.636000000006</v>
      </c>
      <c r="AA128" s="506">
        <f t="shared" si="25"/>
        <v>0</v>
      </c>
    </row>
    <row r="129" spans="2:27" ht="33.75" x14ac:dyDescent="0.25">
      <c r="B129" s="346" t="s">
        <v>343</v>
      </c>
      <c r="C129" s="347">
        <v>98546</v>
      </c>
      <c r="D129" s="348" t="s">
        <v>345</v>
      </c>
      <c r="E129" s="277" t="s">
        <v>17</v>
      </c>
      <c r="F129" s="245">
        <v>109.11</v>
      </c>
      <c r="G129" s="349">
        <v>181.61</v>
      </c>
      <c r="H129" s="351"/>
      <c r="I129" s="351"/>
      <c r="J129" s="350"/>
      <c r="K129" s="351"/>
      <c r="L129" s="351"/>
      <c r="M129" s="351"/>
      <c r="N129" s="349"/>
      <c r="O129" s="349">
        <f t="shared" si="13"/>
        <v>0</v>
      </c>
      <c r="P129" s="206">
        <f t="shared" si="14"/>
        <v>181.61</v>
      </c>
      <c r="Q129" s="349">
        <f t="shared" si="15"/>
        <v>19815.467100000002</v>
      </c>
      <c r="R129" s="352">
        <f t="shared" si="16"/>
        <v>0</v>
      </c>
      <c r="S129" s="352">
        <f t="shared" si="17"/>
        <v>0</v>
      </c>
      <c r="T129" s="352">
        <f t="shared" si="18"/>
        <v>0</v>
      </c>
      <c r="U129" s="352">
        <f t="shared" si="19"/>
        <v>0</v>
      </c>
      <c r="V129" s="352">
        <f t="shared" si="20"/>
        <v>0</v>
      </c>
      <c r="W129" s="352">
        <f t="shared" si="21"/>
        <v>0</v>
      </c>
      <c r="X129" s="352">
        <f t="shared" si="22"/>
        <v>0</v>
      </c>
      <c r="Y129" s="353">
        <f t="shared" si="23"/>
        <v>0</v>
      </c>
      <c r="Z129" s="354">
        <f t="shared" si="24"/>
        <v>19815.467100000002</v>
      </c>
      <c r="AA129" s="506">
        <f t="shared" si="25"/>
        <v>0</v>
      </c>
    </row>
    <row r="130" spans="2:27" ht="33.75" x14ac:dyDescent="0.25">
      <c r="B130" s="346" t="s">
        <v>346</v>
      </c>
      <c r="C130" s="347">
        <v>98565</v>
      </c>
      <c r="D130" s="348" t="s">
        <v>348</v>
      </c>
      <c r="E130" s="277" t="s">
        <v>17</v>
      </c>
      <c r="F130" s="245">
        <v>46.12</v>
      </c>
      <c r="G130" s="349">
        <v>181.61</v>
      </c>
      <c r="H130" s="351"/>
      <c r="I130" s="351"/>
      <c r="J130" s="350"/>
      <c r="K130" s="351"/>
      <c r="L130" s="351"/>
      <c r="M130" s="351"/>
      <c r="N130" s="349"/>
      <c r="O130" s="349">
        <f t="shared" si="13"/>
        <v>0</v>
      </c>
      <c r="P130" s="206">
        <f t="shared" si="14"/>
        <v>181.61</v>
      </c>
      <c r="Q130" s="349">
        <f t="shared" si="15"/>
        <v>8375.8531999999996</v>
      </c>
      <c r="R130" s="352">
        <f t="shared" si="16"/>
        <v>0</v>
      </c>
      <c r="S130" s="352">
        <f t="shared" si="17"/>
        <v>0</v>
      </c>
      <c r="T130" s="352">
        <f t="shared" si="18"/>
        <v>0</v>
      </c>
      <c r="U130" s="352">
        <f t="shared" si="19"/>
        <v>0</v>
      </c>
      <c r="V130" s="352">
        <f t="shared" si="20"/>
        <v>0</v>
      </c>
      <c r="W130" s="352">
        <f t="shared" si="21"/>
        <v>0</v>
      </c>
      <c r="X130" s="352">
        <f t="shared" si="22"/>
        <v>0</v>
      </c>
      <c r="Y130" s="353">
        <f t="shared" si="23"/>
        <v>0</v>
      </c>
      <c r="Z130" s="354">
        <f t="shared" si="24"/>
        <v>8375.8531999999996</v>
      </c>
      <c r="AA130" s="506">
        <f t="shared" si="25"/>
        <v>0</v>
      </c>
    </row>
    <row r="131" spans="2:27" ht="45" x14ac:dyDescent="0.25">
      <c r="B131" s="346" t="s">
        <v>349</v>
      </c>
      <c r="C131" s="347">
        <v>100374</v>
      </c>
      <c r="D131" s="348" t="s">
        <v>351</v>
      </c>
      <c r="E131" s="277" t="s">
        <v>166</v>
      </c>
      <c r="F131" s="245">
        <v>2472.0700000000002</v>
      </c>
      <c r="G131" s="349">
        <v>10</v>
      </c>
      <c r="H131" s="351"/>
      <c r="I131" s="351"/>
      <c r="J131" s="350"/>
      <c r="K131" s="351"/>
      <c r="L131" s="351"/>
      <c r="M131" s="351"/>
      <c r="N131" s="349"/>
      <c r="O131" s="349">
        <f t="shared" si="13"/>
        <v>0</v>
      </c>
      <c r="P131" s="206">
        <f t="shared" si="14"/>
        <v>10</v>
      </c>
      <c r="Q131" s="349">
        <f t="shared" si="15"/>
        <v>24720.7</v>
      </c>
      <c r="R131" s="352">
        <f t="shared" si="16"/>
        <v>0</v>
      </c>
      <c r="S131" s="352">
        <f t="shared" si="17"/>
        <v>0</v>
      </c>
      <c r="T131" s="352">
        <f t="shared" si="18"/>
        <v>0</v>
      </c>
      <c r="U131" s="352">
        <f t="shared" si="19"/>
        <v>0</v>
      </c>
      <c r="V131" s="352">
        <f t="shared" si="20"/>
        <v>0</v>
      </c>
      <c r="W131" s="352">
        <f t="shared" si="21"/>
        <v>0</v>
      </c>
      <c r="X131" s="352">
        <f t="shared" si="22"/>
        <v>0</v>
      </c>
      <c r="Y131" s="353">
        <f t="shared" si="23"/>
        <v>0</v>
      </c>
      <c r="Z131" s="354">
        <f t="shared" si="24"/>
        <v>24720.7</v>
      </c>
      <c r="AA131" s="506">
        <f t="shared" si="25"/>
        <v>0</v>
      </c>
    </row>
    <row r="132" spans="2:27" ht="45" x14ac:dyDescent="0.25">
      <c r="B132" s="346" t="s">
        <v>352</v>
      </c>
      <c r="C132" s="347">
        <v>100375</v>
      </c>
      <c r="D132" s="348" t="s">
        <v>354</v>
      </c>
      <c r="E132" s="277" t="s">
        <v>166</v>
      </c>
      <c r="F132" s="245">
        <v>2766.14</v>
      </c>
      <c r="G132" s="349">
        <v>10</v>
      </c>
      <c r="H132" s="351"/>
      <c r="I132" s="351"/>
      <c r="J132" s="350"/>
      <c r="K132" s="351"/>
      <c r="L132" s="351"/>
      <c r="M132" s="351"/>
      <c r="N132" s="349"/>
      <c r="O132" s="349">
        <f t="shared" si="13"/>
        <v>0</v>
      </c>
      <c r="P132" s="206">
        <f t="shared" si="14"/>
        <v>10</v>
      </c>
      <c r="Q132" s="349">
        <f t="shared" si="15"/>
        <v>27661.399999999998</v>
      </c>
      <c r="R132" s="352">
        <f t="shared" si="16"/>
        <v>0</v>
      </c>
      <c r="S132" s="352">
        <f t="shared" si="17"/>
        <v>0</v>
      </c>
      <c r="T132" s="352">
        <f t="shared" si="18"/>
        <v>0</v>
      </c>
      <c r="U132" s="352">
        <f t="shared" si="19"/>
        <v>0</v>
      </c>
      <c r="V132" s="352">
        <f t="shared" si="20"/>
        <v>0</v>
      </c>
      <c r="W132" s="352">
        <f t="shared" si="21"/>
        <v>0</v>
      </c>
      <c r="X132" s="352">
        <f t="shared" si="22"/>
        <v>0</v>
      </c>
      <c r="Y132" s="353">
        <f t="shared" si="23"/>
        <v>0</v>
      </c>
      <c r="Z132" s="354">
        <f t="shared" si="24"/>
        <v>27661.399999999998</v>
      </c>
      <c r="AA132" s="506">
        <f t="shared" si="25"/>
        <v>0</v>
      </c>
    </row>
    <row r="133" spans="2:27" ht="33.75" x14ac:dyDescent="0.25">
      <c r="B133" s="346" t="s">
        <v>355</v>
      </c>
      <c r="C133" s="347">
        <v>92544</v>
      </c>
      <c r="D133" s="348" t="s">
        <v>357</v>
      </c>
      <c r="E133" s="277" t="s">
        <v>17</v>
      </c>
      <c r="F133" s="245">
        <v>15.3</v>
      </c>
      <c r="G133" s="349">
        <v>610.20000000000005</v>
      </c>
      <c r="H133" s="351"/>
      <c r="I133" s="351"/>
      <c r="J133" s="350"/>
      <c r="K133" s="351"/>
      <c r="L133" s="351"/>
      <c r="M133" s="351"/>
      <c r="N133" s="349"/>
      <c r="O133" s="349">
        <f t="shared" si="13"/>
        <v>0</v>
      </c>
      <c r="P133" s="206">
        <f t="shared" si="14"/>
        <v>610.20000000000005</v>
      </c>
      <c r="Q133" s="349">
        <f t="shared" si="15"/>
        <v>9336.0600000000013</v>
      </c>
      <c r="R133" s="352">
        <f t="shared" si="16"/>
        <v>0</v>
      </c>
      <c r="S133" s="352">
        <f t="shared" si="17"/>
        <v>0</v>
      </c>
      <c r="T133" s="352">
        <f t="shared" si="18"/>
        <v>0</v>
      </c>
      <c r="U133" s="352">
        <f t="shared" si="19"/>
        <v>0</v>
      </c>
      <c r="V133" s="352">
        <f t="shared" si="20"/>
        <v>0</v>
      </c>
      <c r="W133" s="352">
        <f t="shared" si="21"/>
        <v>0</v>
      </c>
      <c r="X133" s="352">
        <f t="shared" si="22"/>
        <v>0</v>
      </c>
      <c r="Y133" s="353">
        <f t="shared" si="23"/>
        <v>0</v>
      </c>
      <c r="Z133" s="354">
        <f t="shared" si="24"/>
        <v>9336.0600000000013</v>
      </c>
      <c r="AA133" s="506">
        <f t="shared" si="25"/>
        <v>0</v>
      </c>
    </row>
    <row r="134" spans="2:27" ht="33.75" x14ac:dyDescent="0.25">
      <c r="B134" s="346" t="s">
        <v>358</v>
      </c>
      <c r="C134" s="347">
        <v>100435</v>
      </c>
      <c r="D134" s="348" t="s">
        <v>360</v>
      </c>
      <c r="E134" s="277" t="s">
        <v>37</v>
      </c>
      <c r="F134" s="245">
        <v>84.59</v>
      </c>
      <c r="G134" s="349">
        <v>113.1</v>
      </c>
      <c r="H134" s="351"/>
      <c r="I134" s="351"/>
      <c r="J134" s="350"/>
      <c r="K134" s="351"/>
      <c r="L134" s="351"/>
      <c r="M134" s="351"/>
      <c r="N134" s="349"/>
      <c r="O134" s="349">
        <f t="shared" si="13"/>
        <v>0</v>
      </c>
      <c r="P134" s="206">
        <f t="shared" si="14"/>
        <v>113.1</v>
      </c>
      <c r="Q134" s="349">
        <f t="shared" si="15"/>
        <v>9567.128999999999</v>
      </c>
      <c r="R134" s="352">
        <f t="shared" si="16"/>
        <v>0</v>
      </c>
      <c r="S134" s="352">
        <f t="shared" si="17"/>
        <v>0</v>
      </c>
      <c r="T134" s="352">
        <f t="shared" si="18"/>
        <v>0</v>
      </c>
      <c r="U134" s="352">
        <f t="shared" si="19"/>
        <v>0</v>
      </c>
      <c r="V134" s="352">
        <f t="shared" si="20"/>
        <v>0</v>
      </c>
      <c r="W134" s="352">
        <f t="shared" si="21"/>
        <v>0</v>
      </c>
      <c r="X134" s="352">
        <f t="shared" si="22"/>
        <v>0</v>
      </c>
      <c r="Y134" s="353">
        <f t="shared" si="23"/>
        <v>0</v>
      </c>
      <c r="Z134" s="354">
        <f t="shared" si="24"/>
        <v>9567.128999999999</v>
      </c>
      <c r="AA134" s="506">
        <f t="shared" si="25"/>
        <v>0</v>
      </c>
    </row>
    <row r="135" spans="2:27" ht="33.75" x14ac:dyDescent="0.25">
      <c r="B135" s="346" t="s">
        <v>361</v>
      </c>
      <c r="C135" s="347">
        <v>94229</v>
      </c>
      <c r="D135" s="348" t="s">
        <v>363</v>
      </c>
      <c r="E135" s="277" t="s">
        <v>37</v>
      </c>
      <c r="F135" s="245">
        <v>165.04</v>
      </c>
      <c r="G135" s="349">
        <v>52.64</v>
      </c>
      <c r="H135" s="351"/>
      <c r="I135" s="351"/>
      <c r="J135" s="350"/>
      <c r="K135" s="351"/>
      <c r="L135" s="351"/>
      <c r="M135" s="351"/>
      <c r="N135" s="349"/>
      <c r="O135" s="349">
        <f t="shared" si="13"/>
        <v>0</v>
      </c>
      <c r="P135" s="206">
        <f t="shared" si="14"/>
        <v>52.64</v>
      </c>
      <c r="Q135" s="349">
        <f t="shared" si="15"/>
        <v>8687.7055999999993</v>
      </c>
      <c r="R135" s="352">
        <f t="shared" si="16"/>
        <v>0</v>
      </c>
      <c r="S135" s="352">
        <f t="shared" si="17"/>
        <v>0</v>
      </c>
      <c r="T135" s="352">
        <f t="shared" si="18"/>
        <v>0</v>
      </c>
      <c r="U135" s="352">
        <f t="shared" si="19"/>
        <v>0</v>
      </c>
      <c r="V135" s="352">
        <f t="shared" si="20"/>
        <v>0</v>
      </c>
      <c r="W135" s="352">
        <f t="shared" si="21"/>
        <v>0</v>
      </c>
      <c r="X135" s="352">
        <f t="shared" si="22"/>
        <v>0</v>
      </c>
      <c r="Y135" s="353">
        <f t="shared" si="23"/>
        <v>0</v>
      </c>
      <c r="Z135" s="354">
        <f t="shared" si="24"/>
        <v>8687.7055999999993</v>
      </c>
      <c r="AA135" s="506">
        <f t="shared" si="25"/>
        <v>0</v>
      </c>
    </row>
    <row r="136" spans="2:27" ht="22.5" x14ac:dyDescent="0.25">
      <c r="B136" s="346" t="s">
        <v>364</v>
      </c>
      <c r="C136" s="347">
        <v>96113</v>
      </c>
      <c r="D136" s="348" t="s">
        <v>366</v>
      </c>
      <c r="E136" s="277" t="s">
        <v>17</v>
      </c>
      <c r="F136" s="245">
        <v>34.25</v>
      </c>
      <c r="G136" s="349">
        <v>634.5</v>
      </c>
      <c r="H136" s="351"/>
      <c r="I136" s="351"/>
      <c r="J136" s="350"/>
      <c r="K136" s="351"/>
      <c r="L136" s="351"/>
      <c r="M136" s="351"/>
      <c r="N136" s="349"/>
      <c r="O136" s="349">
        <f t="shared" si="13"/>
        <v>0</v>
      </c>
      <c r="P136" s="206">
        <f t="shared" si="14"/>
        <v>634.5</v>
      </c>
      <c r="Q136" s="349">
        <f t="shared" si="15"/>
        <v>21731.625</v>
      </c>
      <c r="R136" s="352">
        <f t="shared" si="16"/>
        <v>0</v>
      </c>
      <c r="S136" s="352">
        <f t="shared" si="17"/>
        <v>0</v>
      </c>
      <c r="T136" s="352">
        <f t="shared" si="18"/>
        <v>0</v>
      </c>
      <c r="U136" s="352">
        <f t="shared" si="19"/>
        <v>0</v>
      </c>
      <c r="V136" s="352">
        <f t="shared" si="20"/>
        <v>0</v>
      </c>
      <c r="W136" s="352">
        <f t="shared" si="21"/>
        <v>0</v>
      </c>
      <c r="X136" s="352">
        <f t="shared" si="22"/>
        <v>0</v>
      </c>
      <c r="Y136" s="353">
        <f t="shared" si="23"/>
        <v>0</v>
      </c>
      <c r="Z136" s="354">
        <f t="shared" si="24"/>
        <v>21731.625</v>
      </c>
      <c r="AA136" s="506">
        <f t="shared" si="25"/>
        <v>0</v>
      </c>
    </row>
    <row r="137" spans="2:27" ht="14.45" customHeight="1" x14ac:dyDescent="0.25">
      <c r="B137" s="356">
        <v>1.1299999999999999</v>
      </c>
      <c r="C137" s="357" t="s">
        <v>368</v>
      </c>
      <c r="D137" s="348"/>
      <c r="E137" s="277"/>
      <c r="F137" s="245"/>
      <c r="G137" s="349"/>
      <c r="H137" s="351"/>
      <c r="I137" s="351"/>
      <c r="J137" s="350"/>
      <c r="K137" s="351"/>
      <c r="L137" s="351"/>
      <c r="M137" s="351"/>
      <c r="N137" s="349"/>
      <c r="O137" s="349"/>
      <c r="P137" s="206"/>
      <c r="Q137" s="349"/>
      <c r="R137" s="352">
        <f t="shared" si="16"/>
        <v>0</v>
      </c>
      <c r="S137" s="352">
        <f t="shared" si="17"/>
        <v>0</v>
      </c>
      <c r="T137" s="352">
        <f t="shared" si="18"/>
        <v>0</v>
      </c>
      <c r="U137" s="352">
        <f t="shared" si="19"/>
        <v>0</v>
      </c>
      <c r="V137" s="352">
        <f t="shared" si="20"/>
        <v>0</v>
      </c>
      <c r="W137" s="352">
        <f t="shared" si="21"/>
        <v>0</v>
      </c>
      <c r="X137" s="352">
        <f t="shared" si="22"/>
        <v>0</v>
      </c>
      <c r="Y137" s="353">
        <f t="shared" si="23"/>
        <v>0</v>
      </c>
      <c r="Z137" s="354">
        <f t="shared" si="24"/>
        <v>0</v>
      </c>
      <c r="AA137" s="506"/>
    </row>
    <row r="138" spans="2:27" s="167" customFormat="1" ht="56.25" x14ac:dyDescent="0.25">
      <c r="B138" s="332" t="s">
        <v>369</v>
      </c>
      <c r="C138" s="333">
        <v>91785</v>
      </c>
      <c r="D138" s="334" t="s">
        <v>371</v>
      </c>
      <c r="E138" s="335" t="s">
        <v>37</v>
      </c>
      <c r="F138" s="402">
        <v>39.15</v>
      </c>
      <c r="G138" s="336">
        <v>98.77</v>
      </c>
      <c r="H138" s="338"/>
      <c r="I138" s="337"/>
      <c r="J138" s="338"/>
      <c r="K138" s="337"/>
      <c r="L138" s="337"/>
      <c r="M138" s="337"/>
      <c r="N138" s="337"/>
      <c r="O138" s="336">
        <f t="shared" si="13"/>
        <v>0</v>
      </c>
      <c r="P138" s="336">
        <f t="shared" si="14"/>
        <v>98.77</v>
      </c>
      <c r="Q138" s="336">
        <f t="shared" si="15"/>
        <v>3866.8454999999999</v>
      </c>
      <c r="R138" s="339">
        <f t="shared" si="16"/>
        <v>0</v>
      </c>
      <c r="S138" s="339">
        <f t="shared" si="17"/>
        <v>0</v>
      </c>
      <c r="T138" s="339">
        <f t="shared" si="18"/>
        <v>0</v>
      </c>
      <c r="U138" s="339">
        <f t="shared" si="19"/>
        <v>0</v>
      </c>
      <c r="V138" s="339">
        <f t="shared" si="20"/>
        <v>0</v>
      </c>
      <c r="W138" s="339">
        <f t="shared" si="21"/>
        <v>0</v>
      </c>
      <c r="X138" s="339">
        <f t="shared" si="22"/>
        <v>0</v>
      </c>
      <c r="Y138" s="340">
        <f t="shared" si="23"/>
        <v>0</v>
      </c>
      <c r="Z138" s="341">
        <f t="shared" si="24"/>
        <v>3866.8454999999999</v>
      </c>
      <c r="AA138" s="506">
        <f t="shared" si="25"/>
        <v>0</v>
      </c>
    </row>
    <row r="139" spans="2:27" s="167" customFormat="1" ht="56.25" x14ac:dyDescent="0.25">
      <c r="B139" s="332" t="s">
        <v>372</v>
      </c>
      <c r="C139" s="333">
        <v>91784</v>
      </c>
      <c r="D139" s="334" t="s">
        <v>374</v>
      </c>
      <c r="E139" s="335" t="s">
        <v>37</v>
      </c>
      <c r="F139" s="402">
        <v>40.17</v>
      </c>
      <c r="G139" s="336">
        <v>62.17</v>
      </c>
      <c r="H139" s="338"/>
      <c r="I139" s="337"/>
      <c r="J139" s="338"/>
      <c r="K139" s="337"/>
      <c r="L139" s="337"/>
      <c r="M139" s="337"/>
      <c r="N139" s="337"/>
      <c r="O139" s="336">
        <f t="shared" si="13"/>
        <v>0</v>
      </c>
      <c r="P139" s="336">
        <f t="shared" si="14"/>
        <v>62.17</v>
      </c>
      <c r="Q139" s="336">
        <f t="shared" si="15"/>
        <v>2497.3689000000004</v>
      </c>
      <c r="R139" s="339">
        <f t="shared" si="16"/>
        <v>0</v>
      </c>
      <c r="S139" s="339">
        <f t="shared" si="17"/>
        <v>0</v>
      </c>
      <c r="T139" s="339">
        <f t="shared" si="18"/>
        <v>0</v>
      </c>
      <c r="U139" s="339">
        <f t="shared" si="19"/>
        <v>0</v>
      </c>
      <c r="V139" s="339">
        <f t="shared" si="20"/>
        <v>0</v>
      </c>
      <c r="W139" s="339">
        <f t="shared" si="21"/>
        <v>0</v>
      </c>
      <c r="X139" s="339">
        <f t="shared" si="22"/>
        <v>0</v>
      </c>
      <c r="Y139" s="340">
        <f t="shared" si="23"/>
        <v>0</v>
      </c>
      <c r="Z139" s="341">
        <f t="shared" si="24"/>
        <v>2497.3689000000004</v>
      </c>
      <c r="AA139" s="506">
        <f t="shared" si="25"/>
        <v>0</v>
      </c>
    </row>
    <row r="140" spans="2:27" s="167" customFormat="1" ht="56.25" x14ac:dyDescent="0.25">
      <c r="B140" s="332" t="s">
        <v>375</v>
      </c>
      <c r="C140" s="333">
        <v>91786</v>
      </c>
      <c r="D140" s="334" t="s">
        <v>377</v>
      </c>
      <c r="E140" s="335" t="s">
        <v>37</v>
      </c>
      <c r="F140" s="402">
        <v>30.41</v>
      </c>
      <c r="G140" s="336">
        <v>24.75</v>
      </c>
      <c r="H140" s="338"/>
      <c r="I140" s="337"/>
      <c r="J140" s="338"/>
      <c r="K140" s="337"/>
      <c r="L140" s="337"/>
      <c r="M140" s="337"/>
      <c r="N140" s="337"/>
      <c r="O140" s="336">
        <f t="shared" si="13"/>
        <v>0</v>
      </c>
      <c r="P140" s="336">
        <f t="shared" si="14"/>
        <v>24.75</v>
      </c>
      <c r="Q140" s="336">
        <f t="shared" si="15"/>
        <v>752.64750000000004</v>
      </c>
      <c r="R140" s="339">
        <f t="shared" si="16"/>
        <v>0</v>
      </c>
      <c r="S140" s="339">
        <f t="shared" si="17"/>
        <v>0</v>
      </c>
      <c r="T140" s="339">
        <f t="shared" si="18"/>
        <v>0</v>
      </c>
      <c r="U140" s="339">
        <f t="shared" si="19"/>
        <v>0</v>
      </c>
      <c r="V140" s="339">
        <f t="shared" si="20"/>
        <v>0</v>
      </c>
      <c r="W140" s="339">
        <f t="shared" si="21"/>
        <v>0</v>
      </c>
      <c r="X140" s="339">
        <f t="shared" si="22"/>
        <v>0</v>
      </c>
      <c r="Y140" s="340">
        <f t="shared" si="23"/>
        <v>0</v>
      </c>
      <c r="Z140" s="341">
        <f t="shared" si="24"/>
        <v>752.64750000000004</v>
      </c>
      <c r="AA140" s="506">
        <f t="shared" si="25"/>
        <v>0</v>
      </c>
    </row>
    <row r="141" spans="2:27" s="167" customFormat="1" ht="45" x14ac:dyDescent="0.25">
      <c r="B141" s="332" t="s">
        <v>378</v>
      </c>
      <c r="C141" s="333">
        <v>91787</v>
      </c>
      <c r="D141" s="334" t="s">
        <v>380</v>
      </c>
      <c r="E141" s="335" t="s">
        <v>37</v>
      </c>
      <c r="F141" s="402">
        <v>36.86</v>
      </c>
      <c r="G141" s="336">
        <v>25.92</v>
      </c>
      <c r="H141" s="338"/>
      <c r="I141" s="337"/>
      <c r="J141" s="338"/>
      <c r="K141" s="337"/>
      <c r="L141" s="337"/>
      <c r="M141" s="337"/>
      <c r="N141" s="337"/>
      <c r="O141" s="336">
        <f t="shared" si="13"/>
        <v>0</v>
      </c>
      <c r="P141" s="336">
        <f t="shared" si="14"/>
        <v>25.92</v>
      </c>
      <c r="Q141" s="336">
        <f t="shared" si="15"/>
        <v>955.41120000000001</v>
      </c>
      <c r="R141" s="339">
        <f t="shared" si="16"/>
        <v>0</v>
      </c>
      <c r="S141" s="339">
        <f t="shared" si="17"/>
        <v>0</v>
      </c>
      <c r="T141" s="339">
        <f t="shared" si="18"/>
        <v>0</v>
      </c>
      <c r="U141" s="339">
        <f t="shared" si="19"/>
        <v>0</v>
      </c>
      <c r="V141" s="339">
        <f t="shared" si="20"/>
        <v>0</v>
      </c>
      <c r="W141" s="339">
        <f t="shared" si="21"/>
        <v>0</v>
      </c>
      <c r="X141" s="339">
        <f t="shared" si="22"/>
        <v>0</v>
      </c>
      <c r="Y141" s="340">
        <f t="shared" si="23"/>
        <v>0</v>
      </c>
      <c r="Z141" s="341">
        <f t="shared" si="24"/>
        <v>955.41120000000001</v>
      </c>
      <c r="AA141" s="506">
        <f t="shared" si="25"/>
        <v>0</v>
      </c>
    </row>
    <row r="142" spans="2:27" s="167" customFormat="1" ht="33.75" x14ac:dyDescent="0.25">
      <c r="B142" s="332" t="s">
        <v>381</v>
      </c>
      <c r="C142" s="333">
        <v>89987</v>
      </c>
      <c r="D142" s="334" t="s">
        <v>383</v>
      </c>
      <c r="E142" s="335" t="s">
        <v>166</v>
      </c>
      <c r="F142" s="402">
        <v>102.73</v>
      </c>
      <c r="G142" s="336">
        <v>10</v>
      </c>
      <c r="H142" s="338"/>
      <c r="I142" s="337"/>
      <c r="J142" s="338"/>
      <c r="K142" s="337"/>
      <c r="L142" s="337"/>
      <c r="M142" s="337"/>
      <c r="N142" s="337"/>
      <c r="O142" s="336">
        <f t="shared" si="13"/>
        <v>0</v>
      </c>
      <c r="P142" s="336">
        <f t="shared" si="14"/>
        <v>10</v>
      </c>
      <c r="Q142" s="336">
        <f t="shared" si="15"/>
        <v>1027.3</v>
      </c>
      <c r="R142" s="339">
        <f t="shared" si="16"/>
        <v>0</v>
      </c>
      <c r="S142" s="339">
        <f t="shared" si="17"/>
        <v>0</v>
      </c>
      <c r="T142" s="339">
        <f t="shared" si="18"/>
        <v>0</v>
      </c>
      <c r="U142" s="339">
        <f t="shared" si="19"/>
        <v>0</v>
      </c>
      <c r="V142" s="339">
        <f t="shared" si="20"/>
        <v>0</v>
      </c>
      <c r="W142" s="339">
        <f t="shared" si="21"/>
        <v>0</v>
      </c>
      <c r="X142" s="339">
        <f t="shared" si="22"/>
        <v>0</v>
      </c>
      <c r="Y142" s="340">
        <f t="shared" si="23"/>
        <v>0</v>
      </c>
      <c r="Z142" s="341">
        <f t="shared" si="24"/>
        <v>1027.3</v>
      </c>
      <c r="AA142" s="506">
        <f t="shared" si="25"/>
        <v>0</v>
      </c>
    </row>
    <row r="143" spans="2:27" s="167" customFormat="1" ht="22.5" x14ac:dyDescent="0.25">
      <c r="B143" s="332" t="s">
        <v>384</v>
      </c>
      <c r="C143" s="333">
        <v>94490</v>
      </c>
      <c r="D143" s="334" t="s">
        <v>386</v>
      </c>
      <c r="E143" s="335" t="s">
        <v>166</v>
      </c>
      <c r="F143" s="402">
        <v>29.96</v>
      </c>
      <c r="G143" s="336">
        <v>2</v>
      </c>
      <c r="H143" s="338"/>
      <c r="I143" s="337"/>
      <c r="J143" s="338"/>
      <c r="K143" s="337"/>
      <c r="L143" s="337"/>
      <c r="M143" s="337"/>
      <c r="N143" s="337"/>
      <c r="O143" s="336">
        <f t="shared" ref="O143:O195" si="26">H143+I143+J143+K143+L143+M143+N143</f>
        <v>0</v>
      </c>
      <c r="P143" s="336">
        <f t="shared" ref="P143:P195" si="27">G143-O143</f>
        <v>2</v>
      </c>
      <c r="Q143" s="336">
        <f t="shared" ref="Q143:Q195" si="28">F143*G143</f>
        <v>59.92</v>
      </c>
      <c r="R143" s="339">
        <f t="shared" ref="R143:R195" si="29">F143*H143</f>
        <v>0</v>
      </c>
      <c r="S143" s="339">
        <f t="shared" ref="S143:S195" si="30">F143*I143</f>
        <v>0</v>
      </c>
      <c r="T143" s="339">
        <f t="shared" ref="T143:T195" si="31">F143*J143</f>
        <v>0</v>
      </c>
      <c r="U143" s="339">
        <f t="shared" ref="U143:U195" si="32">TRUNC(F143*K143,2)</f>
        <v>0</v>
      </c>
      <c r="V143" s="339">
        <f t="shared" ref="V143:V195" si="33">TRUNC(F143*L143,2)</f>
        <v>0</v>
      </c>
      <c r="W143" s="339">
        <f t="shared" ref="W143:W195" si="34">M143*F143</f>
        <v>0</v>
      </c>
      <c r="X143" s="339">
        <f t="shared" ref="X143:X195" si="35">F143*N143</f>
        <v>0</v>
      </c>
      <c r="Y143" s="340">
        <f t="shared" ref="Y143:Y195" si="36">R143+S143+T143+U143+V143+W143+X143</f>
        <v>0</v>
      </c>
      <c r="Z143" s="341">
        <f t="shared" ref="Z143:Z196" si="37">Q143-Y143</f>
        <v>59.92</v>
      </c>
      <c r="AA143" s="506">
        <f t="shared" ref="AA143:AA196" si="38">Y143/Q143</f>
        <v>0</v>
      </c>
    </row>
    <row r="144" spans="2:27" s="167" customFormat="1" ht="33.75" x14ac:dyDescent="0.25">
      <c r="B144" s="332" t="s">
        <v>387</v>
      </c>
      <c r="C144" s="333">
        <v>89985</v>
      </c>
      <c r="D144" s="334" t="s">
        <v>389</v>
      </c>
      <c r="E144" s="335" t="s">
        <v>166</v>
      </c>
      <c r="F144" s="402">
        <v>97.38</v>
      </c>
      <c r="G144" s="336">
        <v>6</v>
      </c>
      <c r="H144" s="338"/>
      <c r="I144" s="337"/>
      <c r="J144" s="338"/>
      <c r="K144" s="337"/>
      <c r="L144" s="337"/>
      <c r="M144" s="337"/>
      <c r="N144" s="336"/>
      <c r="O144" s="336">
        <f t="shared" si="26"/>
        <v>0</v>
      </c>
      <c r="P144" s="336">
        <f t="shared" si="27"/>
        <v>6</v>
      </c>
      <c r="Q144" s="336">
        <f t="shared" si="28"/>
        <v>584.28</v>
      </c>
      <c r="R144" s="339">
        <f t="shared" si="29"/>
        <v>0</v>
      </c>
      <c r="S144" s="339">
        <f t="shared" si="30"/>
        <v>0</v>
      </c>
      <c r="T144" s="339">
        <f t="shared" si="31"/>
        <v>0</v>
      </c>
      <c r="U144" s="339">
        <f t="shared" si="32"/>
        <v>0</v>
      </c>
      <c r="V144" s="339">
        <f t="shared" si="33"/>
        <v>0</v>
      </c>
      <c r="W144" s="339">
        <f t="shared" si="34"/>
        <v>0</v>
      </c>
      <c r="X144" s="339">
        <f t="shared" si="35"/>
        <v>0</v>
      </c>
      <c r="Y144" s="340">
        <f t="shared" si="36"/>
        <v>0</v>
      </c>
      <c r="Z144" s="341">
        <f t="shared" si="37"/>
        <v>584.28</v>
      </c>
      <c r="AA144" s="506">
        <f t="shared" si="38"/>
        <v>0</v>
      </c>
    </row>
    <row r="145" spans="2:27" s="167" customFormat="1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6"/>
        <v>0</v>
      </c>
      <c r="P145" s="206">
        <f t="shared" si="27"/>
        <v>2</v>
      </c>
      <c r="Q145" s="206">
        <f t="shared" si="28"/>
        <v>1485</v>
      </c>
      <c r="R145" s="208">
        <f t="shared" si="29"/>
        <v>0</v>
      </c>
      <c r="S145" s="208">
        <f t="shared" si="30"/>
        <v>0</v>
      </c>
      <c r="T145" s="208">
        <f t="shared" si="31"/>
        <v>0</v>
      </c>
      <c r="U145" s="208">
        <f t="shared" si="32"/>
        <v>0</v>
      </c>
      <c r="V145" s="208">
        <f t="shared" si="33"/>
        <v>0</v>
      </c>
      <c r="W145" s="208">
        <f t="shared" si="34"/>
        <v>0</v>
      </c>
      <c r="X145" s="208">
        <f t="shared" si="35"/>
        <v>0</v>
      </c>
      <c r="Y145" s="209">
        <f t="shared" si="36"/>
        <v>0</v>
      </c>
      <c r="Z145" s="210">
        <f t="shared" si="37"/>
        <v>1485</v>
      </c>
      <c r="AA145" s="506">
        <f t="shared" si="38"/>
        <v>0</v>
      </c>
    </row>
    <row r="146" spans="2:27" s="167" customFormat="1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6"/>
        <v>0</v>
      </c>
      <c r="P146" s="206">
        <f t="shared" si="27"/>
        <v>2</v>
      </c>
      <c r="Q146" s="206">
        <f t="shared" si="28"/>
        <v>2759.8</v>
      </c>
      <c r="R146" s="208">
        <f t="shared" si="29"/>
        <v>0</v>
      </c>
      <c r="S146" s="208">
        <f t="shared" si="30"/>
        <v>0</v>
      </c>
      <c r="T146" s="208">
        <f t="shared" si="31"/>
        <v>0</v>
      </c>
      <c r="U146" s="208">
        <f t="shared" si="32"/>
        <v>0</v>
      </c>
      <c r="V146" s="208">
        <f t="shared" si="33"/>
        <v>0</v>
      </c>
      <c r="W146" s="208">
        <f t="shared" si="34"/>
        <v>0</v>
      </c>
      <c r="X146" s="208">
        <f t="shared" si="35"/>
        <v>0</v>
      </c>
      <c r="Y146" s="209">
        <f t="shared" si="36"/>
        <v>0</v>
      </c>
      <c r="Z146" s="210">
        <f t="shared" si="37"/>
        <v>2759.8</v>
      </c>
      <c r="AA146" s="506">
        <f t="shared" si="38"/>
        <v>0</v>
      </c>
    </row>
    <row r="147" spans="2:27" s="167" customFormat="1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6"/>
        <v>0</v>
      </c>
      <c r="P147" s="206">
        <f t="shared" si="27"/>
        <v>4</v>
      </c>
      <c r="Q147" s="206">
        <f t="shared" si="28"/>
        <v>188</v>
      </c>
      <c r="R147" s="208">
        <f t="shared" si="29"/>
        <v>0</v>
      </c>
      <c r="S147" s="208">
        <f t="shared" si="30"/>
        <v>0</v>
      </c>
      <c r="T147" s="208">
        <f t="shared" si="31"/>
        <v>0</v>
      </c>
      <c r="U147" s="208">
        <f t="shared" si="32"/>
        <v>0</v>
      </c>
      <c r="V147" s="208">
        <f t="shared" si="33"/>
        <v>0</v>
      </c>
      <c r="W147" s="208">
        <f t="shared" si="34"/>
        <v>0</v>
      </c>
      <c r="X147" s="208">
        <f t="shared" si="35"/>
        <v>0</v>
      </c>
      <c r="Y147" s="209">
        <f t="shared" si="36"/>
        <v>0</v>
      </c>
      <c r="Z147" s="210">
        <f t="shared" si="37"/>
        <v>188</v>
      </c>
      <c r="AA147" s="506">
        <f t="shared" si="38"/>
        <v>0</v>
      </c>
    </row>
    <row r="148" spans="2:27" s="167" customFormat="1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6"/>
        <v>0</v>
      </c>
      <c r="P148" s="206">
        <f t="shared" si="27"/>
        <v>4</v>
      </c>
      <c r="Q148" s="206">
        <f t="shared" si="28"/>
        <v>163.96</v>
      </c>
      <c r="R148" s="208">
        <f t="shared" si="29"/>
        <v>0</v>
      </c>
      <c r="S148" s="208">
        <f t="shared" si="30"/>
        <v>0</v>
      </c>
      <c r="T148" s="208">
        <f t="shared" si="31"/>
        <v>0</v>
      </c>
      <c r="U148" s="208">
        <f t="shared" si="32"/>
        <v>0</v>
      </c>
      <c r="V148" s="208">
        <f t="shared" si="33"/>
        <v>0</v>
      </c>
      <c r="W148" s="208">
        <f t="shared" si="34"/>
        <v>0</v>
      </c>
      <c r="X148" s="208">
        <f t="shared" si="35"/>
        <v>0</v>
      </c>
      <c r="Y148" s="209">
        <f t="shared" si="36"/>
        <v>0</v>
      </c>
      <c r="Z148" s="210">
        <f t="shared" si="37"/>
        <v>163.96</v>
      </c>
      <c r="AA148" s="506">
        <f t="shared" si="38"/>
        <v>0</v>
      </c>
    </row>
    <row r="149" spans="2:27" s="167" customFormat="1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6"/>
        <v>0</v>
      </c>
      <c r="P149" s="206">
        <f t="shared" si="27"/>
        <v>2</v>
      </c>
      <c r="Q149" s="206">
        <f t="shared" si="28"/>
        <v>84.24</v>
      </c>
      <c r="R149" s="208">
        <f t="shared" si="29"/>
        <v>0</v>
      </c>
      <c r="S149" s="208">
        <f t="shared" si="30"/>
        <v>0</v>
      </c>
      <c r="T149" s="208">
        <f t="shared" si="31"/>
        <v>0</v>
      </c>
      <c r="U149" s="208">
        <f t="shared" si="32"/>
        <v>0</v>
      </c>
      <c r="V149" s="208">
        <f t="shared" si="33"/>
        <v>0</v>
      </c>
      <c r="W149" s="208">
        <f t="shared" si="34"/>
        <v>0</v>
      </c>
      <c r="X149" s="208">
        <f t="shared" si="35"/>
        <v>0</v>
      </c>
      <c r="Y149" s="209">
        <f t="shared" si="36"/>
        <v>0</v>
      </c>
      <c r="Z149" s="210">
        <f t="shared" si="37"/>
        <v>84.24</v>
      </c>
      <c r="AA149" s="506">
        <f t="shared" si="38"/>
        <v>0</v>
      </c>
    </row>
    <row r="150" spans="2:27" s="167" customFormat="1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6"/>
        <v>0</v>
      </c>
      <c r="P150" s="206">
        <f t="shared" si="27"/>
        <v>1</v>
      </c>
      <c r="Q150" s="206">
        <f t="shared" si="28"/>
        <v>147.76</v>
      </c>
      <c r="R150" s="208">
        <f t="shared" si="29"/>
        <v>0</v>
      </c>
      <c r="S150" s="208">
        <f t="shared" si="30"/>
        <v>0</v>
      </c>
      <c r="T150" s="208">
        <f t="shared" si="31"/>
        <v>0</v>
      </c>
      <c r="U150" s="208">
        <f t="shared" si="32"/>
        <v>0</v>
      </c>
      <c r="V150" s="208">
        <f t="shared" si="33"/>
        <v>0</v>
      </c>
      <c r="W150" s="208">
        <f t="shared" si="34"/>
        <v>0</v>
      </c>
      <c r="X150" s="208">
        <f t="shared" si="35"/>
        <v>0</v>
      </c>
      <c r="Y150" s="209">
        <f t="shared" si="36"/>
        <v>0</v>
      </c>
      <c r="Z150" s="210">
        <f t="shared" si="37"/>
        <v>147.76</v>
      </c>
      <c r="AA150" s="506">
        <f t="shared" si="38"/>
        <v>0</v>
      </c>
    </row>
    <row r="151" spans="2:27" s="167" customFormat="1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6"/>
        <v>0</v>
      </c>
      <c r="P151" s="206">
        <f t="shared" si="27"/>
        <v>7</v>
      </c>
      <c r="Q151" s="206">
        <f t="shared" si="28"/>
        <v>3527.58</v>
      </c>
      <c r="R151" s="208">
        <f t="shared" si="29"/>
        <v>0</v>
      </c>
      <c r="S151" s="208">
        <f t="shared" si="30"/>
        <v>0</v>
      </c>
      <c r="T151" s="208">
        <f t="shared" si="31"/>
        <v>0</v>
      </c>
      <c r="U151" s="208">
        <f t="shared" si="32"/>
        <v>0</v>
      </c>
      <c r="V151" s="208">
        <f t="shared" si="33"/>
        <v>0</v>
      </c>
      <c r="W151" s="208">
        <f t="shared" si="34"/>
        <v>0</v>
      </c>
      <c r="X151" s="208">
        <f t="shared" si="35"/>
        <v>0</v>
      </c>
      <c r="Y151" s="209">
        <f t="shared" si="36"/>
        <v>0</v>
      </c>
      <c r="Z151" s="210">
        <f t="shared" si="37"/>
        <v>3527.58</v>
      </c>
      <c r="AA151" s="506">
        <f t="shared" si="38"/>
        <v>0</v>
      </c>
    </row>
    <row r="152" spans="2:27" s="167" customFormat="1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6"/>
        <v>0</v>
      </c>
      <c r="P152" s="206">
        <f t="shared" si="27"/>
        <v>1</v>
      </c>
      <c r="Q152" s="206">
        <f t="shared" si="28"/>
        <v>206.7</v>
      </c>
      <c r="R152" s="208">
        <f t="shared" si="29"/>
        <v>0</v>
      </c>
      <c r="S152" s="208">
        <f t="shared" si="30"/>
        <v>0</v>
      </c>
      <c r="T152" s="208">
        <f t="shared" si="31"/>
        <v>0</v>
      </c>
      <c r="U152" s="208">
        <f t="shared" si="32"/>
        <v>0</v>
      </c>
      <c r="V152" s="208">
        <f t="shared" si="33"/>
        <v>0</v>
      </c>
      <c r="W152" s="208">
        <f t="shared" si="34"/>
        <v>0</v>
      </c>
      <c r="X152" s="208">
        <f t="shared" si="35"/>
        <v>0</v>
      </c>
      <c r="Y152" s="209">
        <f t="shared" si="36"/>
        <v>0</v>
      </c>
      <c r="Z152" s="210">
        <f t="shared" si="37"/>
        <v>206.7</v>
      </c>
      <c r="AA152" s="506">
        <f t="shared" si="38"/>
        <v>0</v>
      </c>
    </row>
    <row r="153" spans="2:27" s="167" customFormat="1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6"/>
        <v>0</v>
      </c>
      <c r="P153" s="206">
        <f t="shared" si="27"/>
        <v>10</v>
      </c>
      <c r="Q153" s="206">
        <f t="shared" si="28"/>
        <v>328.29999999999995</v>
      </c>
      <c r="R153" s="208">
        <f t="shared" si="29"/>
        <v>0</v>
      </c>
      <c r="S153" s="208">
        <f t="shared" si="30"/>
        <v>0</v>
      </c>
      <c r="T153" s="208">
        <f t="shared" si="31"/>
        <v>0</v>
      </c>
      <c r="U153" s="208">
        <f t="shared" si="32"/>
        <v>0</v>
      </c>
      <c r="V153" s="208">
        <f t="shared" si="33"/>
        <v>0</v>
      </c>
      <c r="W153" s="208">
        <f t="shared" si="34"/>
        <v>0</v>
      </c>
      <c r="X153" s="208">
        <f t="shared" si="35"/>
        <v>0</v>
      </c>
      <c r="Y153" s="209">
        <f t="shared" si="36"/>
        <v>0</v>
      </c>
      <c r="Z153" s="210">
        <f t="shared" si="37"/>
        <v>328.29999999999995</v>
      </c>
      <c r="AA153" s="506">
        <f t="shared" si="38"/>
        <v>0</v>
      </c>
    </row>
    <row r="154" spans="2:27" s="167" customFormat="1" ht="56.25" x14ac:dyDescent="0.25">
      <c r="B154" s="332" t="s">
        <v>417</v>
      </c>
      <c r="C154" s="333">
        <v>91792</v>
      </c>
      <c r="D154" s="334" t="s">
        <v>419</v>
      </c>
      <c r="E154" s="335" t="s">
        <v>37</v>
      </c>
      <c r="F154" s="402">
        <v>54.23</v>
      </c>
      <c r="G154" s="336">
        <v>38.85</v>
      </c>
      <c r="H154" s="338"/>
      <c r="I154" s="337"/>
      <c r="J154" s="338"/>
      <c r="K154" s="337"/>
      <c r="L154" s="337"/>
      <c r="M154" s="337"/>
      <c r="N154" s="337"/>
      <c r="O154" s="336">
        <f t="shared" si="26"/>
        <v>0</v>
      </c>
      <c r="P154" s="336">
        <f t="shared" si="27"/>
        <v>38.85</v>
      </c>
      <c r="Q154" s="336">
        <f t="shared" si="28"/>
        <v>2106.8355000000001</v>
      </c>
      <c r="R154" s="339">
        <f t="shared" si="29"/>
        <v>0</v>
      </c>
      <c r="S154" s="339">
        <f t="shared" si="30"/>
        <v>0</v>
      </c>
      <c r="T154" s="339">
        <f t="shared" si="31"/>
        <v>0</v>
      </c>
      <c r="U154" s="339">
        <f t="shared" si="32"/>
        <v>0</v>
      </c>
      <c r="V154" s="339">
        <f t="shared" si="33"/>
        <v>0</v>
      </c>
      <c r="W154" s="339">
        <f t="shared" si="34"/>
        <v>0</v>
      </c>
      <c r="X154" s="339">
        <f t="shared" si="35"/>
        <v>0</v>
      </c>
      <c r="Y154" s="340">
        <f t="shared" si="36"/>
        <v>0</v>
      </c>
      <c r="Z154" s="341">
        <f t="shared" si="37"/>
        <v>2106.8355000000001</v>
      </c>
      <c r="AA154" s="506">
        <f t="shared" si="38"/>
        <v>0</v>
      </c>
    </row>
    <row r="155" spans="2:27" s="167" customFormat="1" ht="56.25" x14ac:dyDescent="0.25">
      <c r="B155" s="332" t="s">
        <v>420</v>
      </c>
      <c r="C155" s="333">
        <v>91793</v>
      </c>
      <c r="D155" s="334" t="s">
        <v>422</v>
      </c>
      <c r="E155" s="335" t="s">
        <v>37</v>
      </c>
      <c r="F155" s="402">
        <v>87.3</v>
      </c>
      <c r="G155" s="336">
        <v>46.51</v>
      </c>
      <c r="H155" s="338"/>
      <c r="I155" s="337"/>
      <c r="J155" s="338"/>
      <c r="K155" s="337"/>
      <c r="L155" s="337"/>
      <c r="M155" s="337"/>
      <c r="N155" s="337"/>
      <c r="O155" s="336">
        <f t="shared" si="26"/>
        <v>0</v>
      </c>
      <c r="P155" s="336">
        <f t="shared" si="27"/>
        <v>46.51</v>
      </c>
      <c r="Q155" s="336">
        <f t="shared" si="28"/>
        <v>4060.3229999999999</v>
      </c>
      <c r="R155" s="339">
        <f t="shared" si="29"/>
        <v>0</v>
      </c>
      <c r="S155" s="339">
        <f t="shared" si="30"/>
        <v>0</v>
      </c>
      <c r="T155" s="339">
        <f t="shared" si="31"/>
        <v>0</v>
      </c>
      <c r="U155" s="339">
        <f t="shared" si="32"/>
        <v>0</v>
      </c>
      <c r="V155" s="339">
        <f t="shared" si="33"/>
        <v>0</v>
      </c>
      <c r="W155" s="339">
        <f t="shared" si="34"/>
        <v>0</v>
      </c>
      <c r="X155" s="339">
        <f t="shared" si="35"/>
        <v>0</v>
      </c>
      <c r="Y155" s="340">
        <f t="shared" si="36"/>
        <v>0</v>
      </c>
      <c r="Z155" s="341">
        <f t="shared" si="37"/>
        <v>4060.3229999999999</v>
      </c>
      <c r="AA155" s="506">
        <f t="shared" si="38"/>
        <v>0</v>
      </c>
    </row>
    <row r="156" spans="2:27" s="167" customFormat="1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7"/>
      <c r="O156" s="206">
        <f t="shared" si="26"/>
        <v>0</v>
      </c>
      <c r="P156" s="206">
        <f t="shared" si="27"/>
        <v>1</v>
      </c>
      <c r="Q156" s="206">
        <f t="shared" si="28"/>
        <v>243.02</v>
      </c>
      <c r="R156" s="208">
        <f t="shared" si="29"/>
        <v>0</v>
      </c>
      <c r="S156" s="208">
        <f t="shared" si="30"/>
        <v>0</v>
      </c>
      <c r="T156" s="208">
        <f t="shared" si="31"/>
        <v>0</v>
      </c>
      <c r="U156" s="208">
        <f t="shared" si="32"/>
        <v>0</v>
      </c>
      <c r="V156" s="208">
        <f t="shared" si="33"/>
        <v>0</v>
      </c>
      <c r="W156" s="208">
        <f t="shared" si="34"/>
        <v>0</v>
      </c>
      <c r="X156" s="208">
        <f t="shared" si="35"/>
        <v>0</v>
      </c>
      <c r="Y156" s="209">
        <f t="shared" si="36"/>
        <v>0</v>
      </c>
      <c r="Z156" s="210">
        <f t="shared" si="37"/>
        <v>243.02</v>
      </c>
      <c r="AA156" s="506">
        <f t="shared" si="38"/>
        <v>0</v>
      </c>
    </row>
    <row r="157" spans="2:27" s="167" customFormat="1" ht="56.25" x14ac:dyDescent="0.25">
      <c r="B157" s="332" t="s">
        <v>426</v>
      </c>
      <c r="C157" s="333">
        <v>91795</v>
      </c>
      <c r="D157" s="334" t="s">
        <v>428</v>
      </c>
      <c r="E157" s="335" t="s">
        <v>37</v>
      </c>
      <c r="F157" s="402">
        <v>65.239999999999995</v>
      </c>
      <c r="G157" s="336">
        <v>132.77000000000001</v>
      </c>
      <c r="H157" s="338"/>
      <c r="I157" s="337"/>
      <c r="J157" s="338"/>
      <c r="K157" s="337"/>
      <c r="L157" s="337"/>
      <c r="M157" s="337"/>
      <c r="N157" s="337">
        <f>'MEMORIAL DE CALCULO 07'!K506</f>
        <v>6</v>
      </c>
      <c r="O157" s="336">
        <f t="shared" si="26"/>
        <v>6</v>
      </c>
      <c r="P157" s="336">
        <f t="shared" si="27"/>
        <v>126.77000000000001</v>
      </c>
      <c r="Q157" s="336">
        <f t="shared" si="28"/>
        <v>8661.9148000000005</v>
      </c>
      <c r="R157" s="339">
        <f t="shared" si="29"/>
        <v>0</v>
      </c>
      <c r="S157" s="339">
        <f t="shared" si="30"/>
        <v>0</v>
      </c>
      <c r="T157" s="339">
        <f t="shared" si="31"/>
        <v>0</v>
      </c>
      <c r="U157" s="339">
        <f t="shared" si="32"/>
        <v>0</v>
      </c>
      <c r="V157" s="339">
        <f t="shared" si="33"/>
        <v>0</v>
      </c>
      <c r="W157" s="339">
        <f t="shared" si="34"/>
        <v>0</v>
      </c>
      <c r="X157" s="339">
        <f t="shared" si="35"/>
        <v>391.43999999999994</v>
      </c>
      <c r="Y157" s="340">
        <f t="shared" si="36"/>
        <v>391.43999999999994</v>
      </c>
      <c r="Z157" s="341">
        <f t="shared" si="37"/>
        <v>8270.4748</v>
      </c>
      <c r="AA157" s="506">
        <f t="shared" si="38"/>
        <v>4.5190931686374926E-2</v>
      </c>
    </row>
    <row r="158" spans="2:27" s="167" customFormat="1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6"/>
        <v>0</v>
      </c>
      <c r="P158" s="206">
        <f t="shared" si="27"/>
        <v>2</v>
      </c>
      <c r="Q158" s="206">
        <f t="shared" si="28"/>
        <v>494.24</v>
      </c>
      <c r="R158" s="208">
        <f t="shared" si="29"/>
        <v>0</v>
      </c>
      <c r="S158" s="208">
        <f t="shared" si="30"/>
        <v>0</v>
      </c>
      <c r="T158" s="208">
        <f t="shared" si="31"/>
        <v>0</v>
      </c>
      <c r="U158" s="208">
        <f t="shared" si="32"/>
        <v>0</v>
      </c>
      <c r="V158" s="208">
        <f t="shared" si="33"/>
        <v>0</v>
      </c>
      <c r="W158" s="208">
        <f t="shared" si="34"/>
        <v>0</v>
      </c>
      <c r="X158" s="208">
        <f t="shared" si="35"/>
        <v>0</v>
      </c>
      <c r="Y158" s="209">
        <f t="shared" si="36"/>
        <v>0</v>
      </c>
      <c r="Z158" s="210">
        <f t="shared" si="37"/>
        <v>494.24</v>
      </c>
      <c r="AA158" s="506">
        <f t="shared" si="38"/>
        <v>0</v>
      </c>
    </row>
    <row r="159" spans="2:27" s="167" customFormat="1" ht="56.25" x14ac:dyDescent="0.25">
      <c r="B159" s="332" t="s">
        <v>432</v>
      </c>
      <c r="C159" s="333">
        <v>91790</v>
      </c>
      <c r="D159" s="342" t="s">
        <v>434</v>
      </c>
      <c r="E159" s="335" t="s">
        <v>37</v>
      </c>
      <c r="F159" s="402">
        <v>56.42</v>
      </c>
      <c r="G159" s="336">
        <v>43.01</v>
      </c>
      <c r="H159" s="338"/>
      <c r="I159" s="343"/>
      <c r="J159" s="338"/>
      <c r="K159" s="343"/>
      <c r="L159" s="343"/>
      <c r="M159" s="343"/>
      <c r="N159" s="338"/>
      <c r="O159" s="336">
        <f t="shared" si="26"/>
        <v>0</v>
      </c>
      <c r="P159" s="336">
        <f t="shared" si="27"/>
        <v>43.01</v>
      </c>
      <c r="Q159" s="336">
        <f t="shared" si="28"/>
        <v>2426.6241999999997</v>
      </c>
      <c r="R159" s="339">
        <f t="shared" si="29"/>
        <v>0</v>
      </c>
      <c r="S159" s="339">
        <f t="shared" si="30"/>
        <v>0</v>
      </c>
      <c r="T159" s="339">
        <f t="shared" si="31"/>
        <v>0</v>
      </c>
      <c r="U159" s="339">
        <f t="shared" si="32"/>
        <v>0</v>
      </c>
      <c r="V159" s="339">
        <f t="shared" si="33"/>
        <v>0</v>
      </c>
      <c r="W159" s="339">
        <f t="shared" si="34"/>
        <v>0</v>
      </c>
      <c r="X159" s="339">
        <f t="shared" si="35"/>
        <v>0</v>
      </c>
      <c r="Y159" s="340">
        <f t="shared" si="36"/>
        <v>0</v>
      </c>
      <c r="Z159" s="341">
        <f t="shared" si="37"/>
        <v>2426.6241999999997</v>
      </c>
      <c r="AA159" s="506">
        <f t="shared" si="38"/>
        <v>0</v>
      </c>
    </row>
    <row r="160" spans="2:27" ht="14.45" customHeight="1" x14ac:dyDescent="0.25">
      <c r="B160" s="356">
        <v>1.1399999999999999</v>
      </c>
      <c r="C160" s="357" t="s">
        <v>436</v>
      </c>
      <c r="D160" s="348"/>
      <c r="E160" s="277"/>
      <c r="F160" s="349"/>
      <c r="G160" s="349"/>
      <c r="H160" s="351"/>
      <c r="I160" s="351"/>
      <c r="J160" s="350"/>
      <c r="K160" s="351"/>
      <c r="L160" s="351"/>
      <c r="M160" s="351"/>
      <c r="N160" s="349"/>
      <c r="O160" s="349"/>
      <c r="P160" s="206"/>
      <c r="Q160" s="349"/>
      <c r="R160" s="352">
        <f t="shared" si="29"/>
        <v>0</v>
      </c>
      <c r="S160" s="352">
        <f t="shared" si="30"/>
        <v>0</v>
      </c>
      <c r="T160" s="352">
        <f t="shared" si="31"/>
        <v>0</v>
      </c>
      <c r="U160" s="352">
        <f t="shared" si="32"/>
        <v>0</v>
      </c>
      <c r="V160" s="352">
        <f t="shared" si="33"/>
        <v>0</v>
      </c>
      <c r="W160" s="352">
        <f t="shared" si="34"/>
        <v>0</v>
      </c>
      <c r="X160" s="352">
        <f t="shared" si="35"/>
        <v>0</v>
      </c>
      <c r="Y160" s="353">
        <f t="shared" si="36"/>
        <v>0</v>
      </c>
      <c r="Z160" s="354">
        <f t="shared" si="37"/>
        <v>0</v>
      </c>
      <c r="AA160" s="506" t="e">
        <f t="shared" si="38"/>
        <v>#DIV/0!</v>
      </c>
    </row>
    <row r="161" spans="2:27" ht="22.5" x14ac:dyDescent="0.25">
      <c r="B161" s="346" t="s">
        <v>437</v>
      </c>
      <c r="C161" s="358" t="s">
        <v>438</v>
      </c>
      <c r="D161" s="348" t="s">
        <v>439</v>
      </c>
      <c r="E161" s="277" t="s">
        <v>17</v>
      </c>
      <c r="F161" s="349">
        <v>530.87</v>
      </c>
      <c r="G161" s="349">
        <v>14.07</v>
      </c>
      <c r="H161" s="351"/>
      <c r="I161" s="351"/>
      <c r="J161" s="350"/>
      <c r="K161" s="351"/>
      <c r="L161" s="351"/>
      <c r="M161" s="351"/>
      <c r="N161" s="349"/>
      <c r="O161" s="349">
        <f t="shared" si="26"/>
        <v>0</v>
      </c>
      <c r="P161" s="206">
        <f t="shared" si="27"/>
        <v>14.07</v>
      </c>
      <c r="Q161" s="349">
        <f t="shared" si="28"/>
        <v>7469.3409000000001</v>
      </c>
      <c r="R161" s="352">
        <f t="shared" si="29"/>
        <v>0</v>
      </c>
      <c r="S161" s="352">
        <f t="shared" si="30"/>
        <v>0</v>
      </c>
      <c r="T161" s="352">
        <f t="shared" si="31"/>
        <v>0</v>
      </c>
      <c r="U161" s="352">
        <f t="shared" si="32"/>
        <v>0</v>
      </c>
      <c r="V161" s="352">
        <f t="shared" si="33"/>
        <v>0</v>
      </c>
      <c r="W161" s="352">
        <f t="shared" si="34"/>
        <v>0</v>
      </c>
      <c r="X161" s="352">
        <f t="shared" si="35"/>
        <v>0</v>
      </c>
      <c r="Y161" s="353">
        <f t="shared" si="36"/>
        <v>0</v>
      </c>
      <c r="Z161" s="354">
        <f t="shared" si="37"/>
        <v>7469.3409000000001</v>
      </c>
      <c r="AA161" s="506">
        <f t="shared" si="38"/>
        <v>0</v>
      </c>
    </row>
    <row r="162" spans="2:27" ht="33.75" x14ac:dyDescent="0.25">
      <c r="B162" s="346" t="s">
        <v>440</v>
      </c>
      <c r="C162" s="347">
        <v>86906</v>
      </c>
      <c r="D162" s="355" t="s">
        <v>442</v>
      </c>
      <c r="E162" s="277" t="s">
        <v>166</v>
      </c>
      <c r="F162" s="277">
        <v>70.64</v>
      </c>
      <c r="G162" s="349">
        <v>10</v>
      </c>
      <c r="H162" s="278"/>
      <c r="I162" s="278"/>
      <c r="J162" s="350"/>
      <c r="K162" s="278"/>
      <c r="L162" s="278"/>
      <c r="M162" s="278"/>
      <c r="N162" s="278"/>
      <c r="O162" s="349">
        <f t="shared" si="26"/>
        <v>0</v>
      </c>
      <c r="P162" s="206">
        <f t="shared" si="27"/>
        <v>10</v>
      </c>
      <c r="Q162" s="349">
        <f t="shared" si="28"/>
        <v>706.4</v>
      </c>
      <c r="R162" s="352">
        <f t="shared" si="29"/>
        <v>0</v>
      </c>
      <c r="S162" s="352">
        <f t="shared" si="30"/>
        <v>0</v>
      </c>
      <c r="T162" s="352">
        <f t="shared" si="31"/>
        <v>0</v>
      </c>
      <c r="U162" s="352">
        <f t="shared" si="32"/>
        <v>0</v>
      </c>
      <c r="V162" s="352">
        <f t="shared" si="33"/>
        <v>0</v>
      </c>
      <c r="W162" s="352">
        <f t="shared" si="34"/>
        <v>0</v>
      </c>
      <c r="X162" s="352">
        <f t="shared" si="35"/>
        <v>0</v>
      </c>
      <c r="Y162" s="353">
        <f t="shared" si="36"/>
        <v>0</v>
      </c>
      <c r="Z162" s="354">
        <f t="shared" si="37"/>
        <v>706.4</v>
      </c>
      <c r="AA162" s="506">
        <f t="shared" si="38"/>
        <v>0</v>
      </c>
    </row>
    <row r="163" spans="2:27" ht="33.75" x14ac:dyDescent="0.25">
      <c r="B163" s="346" t="s">
        <v>443</v>
      </c>
      <c r="C163" s="347">
        <v>86911</v>
      </c>
      <c r="D163" s="348" t="s">
        <v>445</v>
      </c>
      <c r="E163" s="277" t="s">
        <v>166</v>
      </c>
      <c r="F163" s="349">
        <v>82.65</v>
      </c>
      <c r="G163" s="349">
        <v>3</v>
      </c>
      <c r="H163" s="351"/>
      <c r="I163" s="351"/>
      <c r="J163" s="350"/>
      <c r="K163" s="351"/>
      <c r="L163" s="351"/>
      <c r="M163" s="351"/>
      <c r="N163" s="349"/>
      <c r="O163" s="349">
        <f t="shared" si="26"/>
        <v>0</v>
      </c>
      <c r="P163" s="206">
        <f t="shared" si="27"/>
        <v>3</v>
      </c>
      <c r="Q163" s="349">
        <f t="shared" si="28"/>
        <v>247.95000000000002</v>
      </c>
      <c r="R163" s="352">
        <f t="shared" si="29"/>
        <v>0</v>
      </c>
      <c r="S163" s="352">
        <f t="shared" si="30"/>
        <v>0</v>
      </c>
      <c r="T163" s="352">
        <f t="shared" si="31"/>
        <v>0</v>
      </c>
      <c r="U163" s="352">
        <f t="shared" si="32"/>
        <v>0</v>
      </c>
      <c r="V163" s="352">
        <f t="shared" si="33"/>
        <v>0</v>
      </c>
      <c r="W163" s="352">
        <f t="shared" si="34"/>
        <v>0</v>
      </c>
      <c r="X163" s="352">
        <f t="shared" si="35"/>
        <v>0</v>
      </c>
      <c r="Y163" s="353">
        <f t="shared" si="36"/>
        <v>0</v>
      </c>
      <c r="Z163" s="354">
        <f t="shared" si="37"/>
        <v>247.95000000000002</v>
      </c>
      <c r="AA163" s="506">
        <f t="shared" si="38"/>
        <v>0</v>
      </c>
    </row>
    <row r="164" spans="2:27" ht="22.5" x14ac:dyDescent="0.25">
      <c r="B164" s="346" t="s">
        <v>446</v>
      </c>
      <c r="C164" s="347">
        <v>10428</v>
      </c>
      <c r="D164" s="348" t="s">
        <v>448</v>
      </c>
      <c r="E164" s="277" t="s">
        <v>166</v>
      </c>
      <c r="F164" s="349">
        <v>500.75</v>
      </c>
      <c r="G164" s="349">
        <v>8</v>
      </c>
      <c r="H164" s="351"/>
      <c r="I164" s="351"/>
      <c r="J164" s="350"/>
      <c r="K164" s="351"/>
      <c r="L164" s="351"/>
      <c r="M164" s="351"/>
      <c r="N164" s="349"/>
      <c r="O164" s="349">
        <f t="shared" si="26"/>
        <v>0</v>
      </c>
      <c r="P164" s="206">
        <f t="shared" si="27"/>
        <v>8</v>
      </c>
      <c r="Q164" s="349">
        <f t="shared" si="28"/>
        <v>4006</v>
      </c>
      <c r="R164" s="352">
        <f t="shared" si="29"/>
        <v>0</v>
      </c>
      <c r="S164" s="352">
        <f t="shared" si="30"/>
        <v>0</v>
      </c>
      <c r="T164" s="352">
        <f t="shared" si="31"/>
        <v>0</v>
      </c>
      <c r="U164" s="352">
        <f t="shared" si="32"/>
        <v>0</v>
      </c>
      <c r="V164" s="352">
        <f t="shared" si="33"/>
        <v>0</v>
      </c>
      <c r="W164" s="352">
        <f t="shared" si="34"/>
        <v>0</v>
      </c>
      <c r="X164" s="352">
        <f t="shared" si="35"/>
        <v>0</v>
      </c>
      <c r="Y164" s="353">
        <f t="shared" si="36"/>
        <v>0</v>
      </c>
      <c r="Z164" s="354">
        <f t="shared" si="37"/>
        <v>4006</v>
      </c>
      <c r="AA164" s="506">
        <f t="shared" si="38"/>
        <v>0</v>
      </c>
    </row>
    <row r="165" spans="2:27" ht="45" x14ac:dyDescent="0.25">
      <c r="B165" s="346" t="s">
        <v>449</v>
      </c>
      <c r="C165" s="347">
        <v>86932</v>
      </c>
      <c r="D165" s="348" t="s">
        <v>451</v>
      </c>
      <c r="E165" s="277" t="s">
        <v>166</v>
      </c>
      <c r="F165" s="349">
        <v>530.35</v>
      </c>
      <c r="G165" s="349">
        <v>9</v>
      </c>
      <c r="H165" s="351"/>
      <c r="I165" s="351"/>
      <c r="J165" s="350"/>
      <c r="K165" s="351"/>
      <c r="L165" s="351"/>
      <c r="M165" s="351"/>
      <c r="N165" s="349"/>
      <c r="O165" s="349">
        <f t="shared" si="26"/>
        <v>0</v>
      </c>
      <c r="P165" s="206">
        <f t="shared" si="27"/>
        <v>9</v>
      </c>
      <c r="Q165" s="349">
        <f t="shared" si="28"/>
        <v>4773.1500000000005</v>
      </c>
      <c r="R165" s="352">
        <f t="shared" si="29"/>
        <v>0</v>
      </c>
      <c r="S165" s="352">
        <f t="shared" si="30"/>
        <v>0</v>
      </c>
      <c r="T165" s="352">
        <f t="shared" si="31"/>
        <v>0</v>
      </c>
      <c r="U165" s="352">
        <f t="shared" si="32"/>
        <v>0</v>
      </c>
      <c r="V165" s="352">
        <f t="shared" si="33"/>
        <v>0</v>
      </c>
      <c r="W165" s="352">
        <f t="shared" si="34"/>
        <v>0</v>
      </c>
      <c r="X165" s="352">
        <f t="shared" si="35"/>
        <v>0</v>
      </c>
      <c r="Y165" s="353">
        <f t="shared" si="36"/>
        <v>0</v>
      </c>
      <c r="Z165" s="354">
        <f t="shared" si="37"/>
        <v>4773.1500000000005</v>
      </c>
      <c r="AA165" s="506">
        <f t="shared" si="38"/>
        <v>0</v>
      </c>
    </row>
    <row r="166" spans="2:27" ht="45" x14ac:dyDescent="0.25">
      <c r="B166" s="346" t="s">
        <v>452</v>
      </c>
      <c r="C166" s="347">
        <v>86935</v>
      </c>
      <c r="D166" s="348" t="s">
        <v>454</v>
      </c>
      <c r="E166" s="277" t="s">
        <v>166</v>
      </c>
      <c r="F166" s="349">
        <v>324.29000000000002</v>
      </c>
      <c r="G166" s="349">
        <v>2</v>
      </c>
      <c r="H166" s="351"/>
      <c r="I166" s="351"/>
      <c r="J166" s="350"/>
      <c r="K166" s="351"/>
      <c r="L166" s="351"/>
      <c r="M166" s="351"/>
      <c r="N166" s="349"/>
      <c r="O166" s="349">
        <f t="shared" si="26"/>
        <v>0</v>
      </c>
      <c r="P166" s="206">
        <f t="shared" si="27"/>
        <v>2</v>
      </c>
      <c r="Q166" s="349">
        <f t="shared" si="28"/>
        <v>648.58000000000004</v>
      </c>
      <c r="R166" s="352">
        <f t="shared" si="29"/>
        <v>0</v>
      </c>
      <c r="S166" s="352">
        <f t="shared" si="30"/>
        <v>0</v>
      </c>
      <c r="T166" s="352">
        <f t="shared" si="31"/>
        <v>0</v>
      </c>
      <c r="U166" s="352">
        <f t="shared" si="32"/>
        <v>0</v>
      </c>
      <c r="V166" s="352">
        <f t="shared" si="33"/>
        <v>0</v>
      </c>
      <c r="W166" s="352">
        <f t="shared" si="34"/>
        <v>0</v>
      </c>
      <c r="X166" s="352">
        <f t="shared" si="35"/>
        <v>0</v>
      </c>
      <c r="Y166" s="353">
        <f t="shared" si="36"/>
        <v>0</v>
      </c>
      <c r="Z166" s="354">
        <f t="shared" si="37"/>
        <v>648.58000000000004</v>
      </c>
      <c r="AA166" s="506">
        <f t="shared" si="38"/>
        <v>0</v>
      </c>
    </row>
    <row r="167" spans="2:27" ht="33.75" x14ac:dyDescent="0.25">
      <c r="B167" s="346" t="s">
        <v>455</v>
      </c>
      <c r="C167" s="347">
        <v>100868</v>
      </c>
      <c r="D167" s="348" t="s">
        <v>457</v>
      </c>
      <c r="E167" s="277" t="s">
        <v>166</v>
      </c>
      <c r="F167" s="349">
        <v>353.45</v>
      </c>
      <c r="G167" s="349">
        <v>2</v>
      </c>
      <c r="H167" s="351"/>
      <c r="I167" s="351"/>
      <c r="J167" s="350"/>
      <c r="K167" s="351"/>
      <c r="L167" s="351"/>
      <c r="M167" s="351"/>
      <c r="N167" s="349"/>
      <c r="O167" s="349">
        <f t="shared" si="26"/>
        <v>0</v>
      </c>
      <c r="P167" s="206">
        <f t="shared" si="27"/>
        <v>2</v>
      </c>
      <c r="Q167" s="349">
        <f t="shared" si="28"/>
        <v>706.9</v>
      </c>
      <c r="R167" s="352">
        <f t="shared" si="29"/>
        <v>0</v>
      </c>
      <c r="S167" s="352">
        <f t="shared" si="30"/>
        <v>0</v>
      </c>
      <c r="T167" s="352">
        <f t="shared" si="31"/>
        <v>0</v>
      </c>
      <c r="U167" s="352">
        <f t="shared" si="32"/>
        <v>0</v>
      </c>
      <c r="V167" s="352">
        <f t="shared" si="33"/>
        <v>0</v>
      </c>
      <c r="W167" s="352">
        <f t="shared" si="34"/>
        <v>0</v>
      </c>
      <c r="X167" s="352">
        <f t="shared" si="35"/>
        <v>0</v>
      </c>
      <c r="Y167" s="353">
        <f t="shared" si="36"/>
        <v>0</v>
      </c>
      <c r="Z167" s="354">
        <f t="shared" si="37"/>
        <v>706.9</v>
      </c>
      <c r="AA167" s="506">
        <f t="shared" si="38"/>
        <v>0</v>
      </c>
    </row>
    <row r="168" spans="2:27" ht="56.25" x14ac:dyDescent="0.25">
      <c r="B168" s="346" t="s">
        <v>458</v>
      </c>
      <c r="C168" s="347">
        <v>86942</v>
      </c>
      <c r="D168" s="348" t="s">
        <v>460</v>
      </c>
      <c r="E168" s="277" t="s">
        <v>166</v>
      </c>
      <c r="F168" s="349">
        <v>260.25</v>
      </c>
      <c r="G168" s="349">
        <v>1</v>
      </c>
      <c r="H168" s="351"/>
      <c r="I168" s="351"/>
      <c r="J168" s="350"/>
      <c r="K168" s="351"/>
      <c r="L168" s="351"/>
      <c r="M168" s="351"/>
      <c r="N168" s="349"/>
      <c r="O168" s="349">
        <f t="shared" si="26"/>
        <v>0</v>
      </c>
      <c r="P168" s="206">
        <f t="shared" si="27"/>
        <v>1</v>
      </c>
      <c r="Q168" s="349">
        <f t="shared" si="28"/>
        <v>260.25</v>
      </c>
      <c r="R168" s="352">
        <f t="shared" si="29"/>
        <v>0</v>
      </c>
      <c r="S168" s="352">
        <f t="shared" si="30"/>
        <v>0</v>
      </c>
      <c r="T168" s="352">
        <f t="shared" si="31"/>
        <v>0</v>
      </c>
      <c r="U168" s="352">
        <f t="shared" si="32"/>
        <v>0</v>
      </c>
      <c r="V168" s="352">
        <f t="shared" si="33"/>
        <v>0</v>
      </c>
      <c r="W168" s="352">
        <f t="shared" si="34"/>
        <v>0</v>
      </c>
      <c r="X168" s="352">
        <f t="shared" si="35"/>
        <v>0</v>
      </c>
      <c r="Y168" s="353">
        <f t="shared" si="36"/>
        <v>0</v>
      </c>
      <c r="Z168" s="354">
        <f t="shared" si="37"/>
        <v>260.25</v>
      </c>
      <c r="AA168" s="506">
        <f t="shared" si="38"/>
        <v>0</v>
      </c>
    </row>
    <row r="169" spans="2:27" ht="56.25" x14ac:dyDescent="0.25">
      <c r="B169" s="346" t="s">
        <v>461</v>
      </c>
      <c r="C169" s="347">
        <v>86923</v>
      </c>
      <c r="D169" s="348" t="s">
        <v>463</v>
      </c>
      <c r="E169" s="277" t="s">
        <v>166</v>
      </c>
      <c r="F169" s="349">
        <v>586.14</v>
      </c>
      <c r="G169" s="349">
        <v>1</v>
      </c>
      <c r="H169" s="351"/>
      <c r="I169" s="351"/>
      <c r="J169" s="350"/>
      <c r="K169" s="351"/>
      <c r="L169" s="351"/>
      <c r="M169" s="351"/>
      <c r="N169" s="349"/>
      <c r="O169" s="349">
        <f t="shared" si="26"/>
        <v>0</v>
      </c>
      <c r="P169" s="206">
        <f t="shared" si="27"/>
        <v>1</v>
      </c>
      <c r="Q169" s="349">
        <f t="shared" si="28"/>
        <v>586.14</v>
      </c>
      <c r="R169" s="352">
        <f t="shared" si="29"/>
        <v>0</v>
      </c>
      <c r="S169" s="352">
        <f t="shared" si="30"/>
        <v>0</v>
      </c>
      <c r="T169" s="352">
        <f t="shared" si="31"/>
        <v>0</v>
      </c>
      <c r="U169" s="352">
        <f t="shared" si="32"/>
        <v>0</v>
      </c>
      <c r="V169" s="352">
        <f t="shared" si="33"/>
        <v>0</v>
      </c>
      <c r="W169" s="352">
        <f t="shared" si="34"/>
        <v>0</v>
      </c>
      <c r="X169" s="352">
        <f t="shared" si="35"/>
        <v>0</v>
      </c>
      <c r="Y169" s="353">
        <f t="shared" si="36"/>
        <v>0</v>
      </c>
      <c r="Z169" s="354">
        <f t="shared" si="37"/>
        <v>586.14</v>
      </c>
      <c r="AA169" s="506">
        <f t="shared" si="38"/>
        <v>0</v>
      </c>
    </row>
    <row r="170" spans="2:27" ht="45" x14ac:dyDescent="0.25">
      <c r="B170" s="346" t="s">
        <v>464</v>
      </c>
      <c r="C170" s="347">
        <v>95472</v>
      </c>
      <c r="D170" s="348" t="s">
        <v>466</v>
      </c>
      <c r="E170" s="277" t="s">
        <v>166</v>
      </c>
      <c r="F170" s="349">
        <v>769.27</v>
      </c>
      <c r="G170" s="349">
        <v>1</v>
      </c>
      <c r="H170" s="351"/>
      <c r="I170" s="351"/>
      <c r="J170" s="350"/>
      <c r="K170" s="351"/>
      <c r="L170" s="351"/>
      <c r="M170" s="351"/>
      <c r="N170" s="349"/>
      <c r="O170" s="349">
        <f t="shared" si="26"/>
        <v>0</v>
      </c>
      <c r="P170" s="206">
        <f t="shared" si="27"/>
        <v>1</v>
      </c>
      <c r="Q170" s="349">
        <f t="shared" si="28"/>
        <v>769.27</v>
      </c>
      <c r="R170" s="352">
        <f t="shared" si="29"/>
        <v>0</v>
      </c>
      <c r="S170" s="352">
        <f t="shared" si="30"/>
        <v>0</v>
      </c>
      <c r="T170" s="352">
        <f t="shared" si="31"/>
        <v>0</v>
      </c>
      <c r="U170" s="352">
        <f t="shared" si="32"/>
        <v>0</v>
      </c>
      <c r="V170" s="352">
        <f t="shared" si="33"/>
        <v>0</v>
      </c>
      <c r="W170" s="352">
        <f t="shared" si="34"/>
        <v>0</v>
      </c>
      <c r="X170" s="352">
        <f t="shared" si="35"/>
        <v>0</v>
      </c>
      <c r="Y170" s="353">
        <f t="shared" si="36"/>
        <v>0</v>
      </c>
      <c r="Z170" s="354">
        <f t="shared" si="37"/>
        <v>769.27</v>
      </c>
      <c r="AA170" s="506">
        <f t="shared" si="38"/>
        <v>0</v>
      </c>
    </row>
    <row r="171" spans="2:27" ht="33.75" x14ac:dyDescent="0.25">
      <c r="B171" s="346" t="s">
        <v>467</v>
      </c>
      <c r="C171" s="347">
        <v>102253</v>
      </c>
      <c r="D171" s="348" t="s">
        <v>469</v>
      </c>
      <c r="E171" s="277" t="s">
        <v>17</v>
      </c>
      <c r="F171" s="349">
        <v>692.62</v>
      </c>
      <c r="G171" s="349">
        <v>33.92</v>
      </c>
      <c r="H171" s="351"/>
      <c r="I171" s="351"/>
      <c r="J171" s="350"/>
      <c r="K171" s="351"/>
      <c r="L171" s="351"/>
      <c r="M171" s="351"/>
      <c r="N171" s="349"/>
      <c r="O171" s="349">
        <f t="shared" si="26"/>
        <v>0</v>
      </c>
      <c r="P171" s="206">
        <f t="shared" si="27"/>
        <v>33.92</v>
      </c>
      <c r="Q171" s="349">
        <f t="shared" si="28"/>
        <v>23493.670400000003</v>
      </c>
      <c r="R171" s="352">
        <f t="shared" si="29"/>
        <v>0</v>
      </c>
      <c r="S171" s="352">
        <f t="shared" si="30"/>
        <v>0</v>
      </c>
      <c r="T171" s="352">
        <f t="shared" si="31"/>
        <v>0</v>
      </c>
      <c r="U171" s="352">
        <f t="shared" si="32"/>
        <v>0</v>
      </c>
      <c r="V171" s="352">
        <f t="shared" si="33"/>
        <v>0</v>
      </c>
      <c r="W171" s="352">
        <f t="shared" si="34"/>
        <v>0</v>
      </c>
      <c r="X171" s="352">
        <f t="shared" si="35"/>
        <v>0</v>
      </c>
      <c r="Y171" s="353">
        <f t="shared" si="36"/>
        <v>0</v>
      </c>
      <c r="Z171" s="354">
        <f t="shared" si="37"/>
        <v>23493.670400000003</v>
      </c>
      <c r="AA171" s="506">
        <f t="shared" si="38"/>
        <v>0</v>
      </c>
    </row>
    <row r="172" spans="2:27" ht="22.5" x14ac:dyDescent="0.25">
      <c r="B172" s="346" t="s">
        <v>470</v>
      </c>
      <c r="C172" s="347">
        <v>100860</v>
      </c>
      <c r="D172" s="348" t="s">
        <v>472</v>
      </c>
      <c r="E172" s="277" t="s">
        <v>166</v>
      </c>
      <c r="F172" s="349">
        <v>111.12</v>
      </c>
      <c r="G172" s="349">
        <v>4</v>
      </c>
      <c r="H172" s="351"/>
      <c r="I172" s="351"/>
      <c r="J172" s="350"/>
      <c r="K172" s="351"/>
      <c r="L172" s="351"/>
      <c r="M172" s="351"/>
      <c r="N172" s="349"/>
      <c r="O172" s="349">
        <f t="shared" si="26"/>
        <v>0</v>
      </c>
      <c r="P172" s="206">
        <f t="shared" si="27"/>
        <v>4</v>
      </c>
      <c r="Q172" s="349">
        <f t="shared" si="28"/>
        <v>444.48</v>
      </c>
      <c r="R172" s="352">
        <f t="shared" si="29"/>
        <v>0</v>
      </c>
      <c r="S172" s="352">
        <f t="shared" si="30"/>
        <v>0</v>
      </c>
      <c r="T172" s="352">
        <f t="shared" si="31"/>
        <v>0</v>
      </c>
      <c r="U172" s="352">
        <f t="shared" si="32"/>
        <v>0</v>
      </c>
      <c r="V172" s="352">
        <f t="shared" si="33"/>
        <v>0</v>
      </c>
      <c r="W172" s="352">
        <f t="shared" si="34"/>
        <v>0</v>
      </c>
      <c r="X172" s="352">
        <f t="shared" si="35"/>
        <v>0</v>
      </c>
      <c r="Y172" s="353">
        <f t="shared" si="36"/>
        <v>0</v>
      </c>
      <c r="Z172" s="354">
        <f t="shared" si="37"/>
        <v>444.48</v>
      </c>
      <c r="AA172" s="506">
        <f t="shared" si="38"/>
        <v>0</v>
      </c>
    </row>
    <row r="173" spans="2:27" ht="14.45" customHeight="1" x14ac:dyDescent="0.25">
      <c r="B173" s="356">
        <v>1.1499999999999999</v>
      </c>
      <c r="C173" s="357" t="s">
        <v>474</v>
      </c>
      <c r="D173" s="348"/>
      <c r="E173" s="277"/>
      <c r="F173" s="349"/>
      <c r="G173" s="349"/>
      <c r="H173" s="351"/>
      <c r="I173" s="351"/>
      <c r="J173" s="350"/>
      <c r="K173" s="351"/>
      <c r="L173" s="351"/>
      <c r="M173" s="351"/>
      <c r="N173" s="349"/>
      <c r="O173" s="349"/>
      <c r="P173" s="206"/>
      <c r="Q173" s="349"/>
      <c r="R173" s="352">
        <f t="shared" si="29"/>
        <v>0</v>
      </c>
      <c r="S173" s="352">
        <f t="shared" si="30"/>
        <v>0</v>
      </c>
      <c r="T173" s="352">
        <f t="shared" si="31"/>
        <v>0</v>
      </c>
      <c r="U173" s="352">
        <f t="shared" si="32"/>
        <v>0</v>
      </c>
      <c r="V173" s="352">
        <f t="shared" si="33"/>
        <v>0</v>
      </c>
      <c r="W173" s="352">
        <f t="shared" si="34"/>
        <v>0</v>
      </c>
      <c r="X173" s="352">
        <f t="shared" si="35"/>
        <v>0</v>
      </c>
      <c r="Y173" s="353">
        <f t="shared" si="36"/>
        <v>0</v>
      </c>
      <c r="Z173" s="354">
        <f t="shared" si="37"/>
        <v>0</v>
      </c>
      <c r="AA173" s="506" t="e">
        <f t="shared" si="38"/>
        <v>#DIV/0!</v>
      </c>
    </row>
    <row r="174" spans="2:27" ht="33.75" x14ac:dyDescent="0.25">
      <c r="B174" s="346" t="s">
        <v>475</v>
      </c>
      <c r="C174" s="347">
        <v>99059</v>
      </c>
      <c r="D174" s="348" t="s">
        <v>36</v>
      </c>
      <c r="E174" s="277" t="s">
        <v>37</v>
      </c>
      <c r="F174" s="349">
        <v>52.4</v>
      </c>
      <c r="G174" s="349">
        <v>130.85</v>
      </c>
      <c r="H174" s="351">
        <f>'MEMORIAL DE CALCULO 01'!K183</f>
        <v>130.85</v>
      </c>
      <c r="I174" s="351"/>
      <c r="J174" s="350"/>
      <c r="K174" s="351"/>
      <c r="L174" s="351"/>
      <c r="M174" s="351"/>
      <c r="N174" s="349"/>
      <c r="O174" s="349">
        <f t="shared" si="26"/>
        <v>130.85</v>
      </c>
      <c r="P174" s="206">
        <f t="shared" si="27"/>
        <v>0</v>
      </c>
      <c r="Q174" s="349">
        <f t="shared" si="28"/>
        <v>6856.54</v>
      </c>
      <c r="R174" s="352">
        <f t="shared" si="29"/>
        <v>6856.54</v>
      </c>
      <c r="S174" s="352">
        <f t="shared" si="30"/>
        <v>0</v>
      </c>
      <c r="T174" s="352">
        <f t="shared" si="31"/>
        <v>0</v>
      </c>
      <c r="U174" s="352">
        <f t="shared" si="32"/>
        <v>0</v>
      </c>
      <c r="V174" s="352">
        <f t="shared" si="33"/>
        <v>0</v>
      </c>
      <c r="W174" s="352">
        <f t="shared" si="34"/>
        <v>0</v>
      </c>
      <c r="X174" s="352">
        <f t="shared" si="35"/>
        <v>0</v>
      </c>
      <c r="Y174" s="353">
        <f t="shared" si="36"/>
        <v>6856.54</v>
      </c>
      <c r="Z174" s="354">
        <f t="shared" si="37"/>
        <v>0</v>
      </c>
      <c r="AA174" s="506">
        <f t="shared" si="38"/>
        <v>1</v>
      </c>
    </row>
    <row r="175" spans="2:27" ht="22.5" x14ac:dyDescent="0.25">
      <c r="B175" s="346" t="s">
        <v>476</v>
      </c>
      <c r="C175" s="347">
        <v>93358</v>
      </c>
      <c r="D175" s="348" t="s">
        <v>40</v>
      </c>
      <c r="E175" s="277" t="s">
        <v>41</v>
      </c>
      <c r="F175" s="349">
        <v>64.95</v>
      </c>
      <c r="G175" s="349">
        <v>32.68</v>
      </c>
      <c r="H175" s="351">
        <v>32.68</v>
      </c>
      <c r="I175" s="351"/>
      <c r="J175" s="350"/>
      <c r="K175" s="351"/>
      <c r="L175" s="351"/>
      <c r="M175" s="351"/>
      <c r="N175" s="349"/>
      <c r="O175" s="349">
        <f t="shared" si="26"/>
        <v>32.68</v>
      </c>
      <c r="P175" s="206">
        <f t="shared" si="27"/>
        <v>0</v>
      </c>
      <c r="Q175" s="349">
        <f t="shared" si="28"/>
        <v>2122.5660000000003</v>
      </c>
      <c r="R175" s="352">
        <f t="shared" si="29"/>
        <v>2122.5660000000003</v>
      </c>
      <c r="S175" s="352">
        <f t="shared" si="30"/>
        <v>0</v>
      </c>
      <c r="T175" s="352">
        <f t="shared" si="31"/>
        <v>0</v>
      </c>
      <c r="U175" s="352">
        <f t="shared" si="32"/>
        <v>0</v>
      </c>
      <c r="V175" s="352">
        <f t="shared" si="33"/>
        <v>0</v>
      </c>
      <c r="W175" s="352">
        <f t="shared" si="34"/>
        <v>0</v>
      </c>
      <c r="X175" s="352">
        <f t="shared" si="35"/>
        <v>0</v>
      </c>
      <c r="Y175" s="353">
        <f t="shared" si="36"/>
        <v>2122.5660000000003</v>
      </c>
      <c r="Z175" s="354">
        <f t="shared" si="37"/>
        <v>0</v>
      </c>
      <c r="AA175" s="506">
        <f t="shared" si="38"/>
        <v>1</v>
      </c>
    </row>
    <row r="176" spans="2:27" x14ac:dyDescent="0.25">
      <c r="B176" s="346" t="s">
        <v>477</v>
      </c>
      <c r="C176" s="347">
        <v>96995</v>
      </c>
      <c r="D176" s="348" t="s">
        <v>44</v>
      </c>
      <c r="E176" s="277" t="s">
        <v>41</v>
      </c>
      <c r="F176" s="349">
        <v>39.369999999999997</v>
      </c>
      <c r="G176" s="349">
        <v>11.01</v>
      </c>
      <c r="H176" s="351"/>
      <c r="I176" s="351">
        <f>'MEMORIAL DE CALCULO 02'!K418</f>
        <v>11.01</v>
      </c>
      <c r="J176" s="350"/>
      <c r="K176" s="351"/>
      <c r="L176" s="351"/>
      <c r="M176" s="351"/>
      <c r="N176" s="349"/>
      <c r="O176" s="349">
        <f t="shared" si="26"/>
        <v>11.01</v>
      </c>
      <c r="P176" s="206">
        <f t="shared" si="27"/>
        <v>0</v>
      </c>
      <c r="Q176" s="349">
        <f t="shared" si="28"/>
        <v>433.46369999999996</v>
      </c>
      <c r="R176" s="352">
        <f t="shared" si="29"/>
        <v>0</v>
      </c>
      <c r="S176" s="352">
        <f t="shared" si="30"/>
        <v>433.46369999999996</v>
      </c>
      <c r="T176" s="352">
        <f t="shared" si="31"/>
        <v>0</v>
      </c>
      <c r="U176" s="352">
        <f t="shared" si="32"/>
        <v>0</v>
      </c>
      <c r="V176" s="352">
        <f t="shared" si="33"/>
        <v>0</v>
      </c>
      <c r="W176" s="352">
        <f t="shared" si="34"/>
        <v>0</v>
      </c>
      <c r="X176" s="352">
        <f t="shared" si="35"/>
        <v>0</v>
      </c>
      <c r="Y176" s="353">
        <f t="shared" si="36"/>
        <v>433.46369999999996</v>
      </c>
      <c r="Z176" s="354">
        <f t="shared" si="37"/>
        <v>0</v>
      </c>
      <c r="AA176" s="506">
        <f t="shared" si="38"/>
        <v>1</v>
      </c>
    </row>
    <row r="177" spans="2:27" s="163" customFormat="1" ht="22.5" x14ac:dyDescent="0.25">
      <c r="B177" s="346" t="s">
        <v>478</v>
      </c>
      <c r="C177" s="347">
        <v>93205</v>
      </c>
      <c r="D177" s="348" t="s">
        <v>480</v>
      </c>
      <c r="E177" s="277" t="s">
        <v>37</v>
      </c>
      <c r="F177" s="349">
        <v>39.79</v>
      </c>
      <c r="G177" s="349">
        <v>244.5</v>
      </c>
      <c r="H177" s="351"/>
      <c r="I177" s="351"/>
      <c r="J177" s="350">
        <f>'MEMORIAL DE CALCULO 03'!K524</f>
        <v>67.27</v>
      </c>
      <c r="K177" s="351">
        <f>'MEMORIAL DE CALCULO 04'!K617</f>
        <v>42.8</v>
      </c>
      <c r="L177" s="351">
        <f>'MEMORIAL DE CALCULO 05'!K622</f>
        <v>134.43</v>
      </c>
      <c r="M177" s="351"/>
      <c r="N177" s="349"/>
      <c r="O177" s="349">
        <f t="shared" si="26"/>
        <v>244.5</v>
      </c>
      <c r="P177" s="206">
        <f t="shared" si="27"/>
        <v>0</v>
      </c>
      <c r="Q177" s="349">
        <f t="shared" si="28"/>
        <v>9728.6550000000007</v>
      </c>
      <c r="R177" s="352">
        <f t="shared" si="29"/>
        <v>0</v>
      </c>
      <c r="S177" s="352">
        <f t="shared" si="30"/>
        <v>0</v>
      </c>
      <c r="T177" s="352">
        <f t="shared" si="31"/>
        <v>2676.6732999999999</v>
      </c>
      <c r="U177" s="352">
        <f t="shared" si="32"/>
        <v>1703.01</v>
      </c>
      <c r="V177" s="352">
        <f t="shared" si="33"/>
        <v>5348.96</v>
      </c>
      <c r="W177" s="352">
        <f t="shared" si="34"/>
        <v>0</v>
      </c>
      <c r="X177" s="352">
        <f t="shared" si="35"/>
        <v>0</v>
      </c>
      <c r="Y177" s="353">
        <f t="shared" si="36"/>
        <v>9728.6432999999997</v>
      </c>
      <c r="Z177" s="354">
        <f t="shared" si="37"/>
        <v>1.1700000000928412E-2</v>
      </c>
      <c r="AA177" s="506">
        <f t="shared" si="38"/>
        <v>0.99999879736715913</v>
      </c>
    </row>
    <row r="178" spans="2:27" ht="22.5" x14ac:dyDescent="0.25">
      <c r="B178" s="346" t="s">
        <v>481</v>
      </c>
      <c r="C178" s="347">
        <v>101616</v>
      </c>
      <c r="D178" s="348" t="s">
        <v>55</v>
      </c>
      <c r="E178" s="277" t="s">
        <v>17</v>
      </c>
      <c r="F178" s="349">
        <v>4.91</v>
      </c>
      <c r="G178" s="349">
        <v>15.48</v>
      </c>
      <c r="H178" s="351">
        <f>'MEMORIAL DE CALCULO 01'!K191</f>
        <v>12.6</v>
      </c>
      <c r="I178" s="351">
        <f>'MEMORIAL DE CALCULO 02'!K422</f>
        <v>2.88</v>
      </c>
      <c r="J178" s="350"/>
      <c r="K178" s="351"/>
      <c r="L178" s="351"/>
      <c r="M178" s="351"/>
      <c r="N178" s="349"/>
      <c r="O178" s="349">
        <f t="shared" si="26"/>
        <v>15.48</v>
      </c>
      <c r="P178" s="206">
        <f t="shared" si="27"/>
        <v>0</v>
      </c>
      <c r="Q178" s="349">
        <f t="shared" si="28"/>
        <v>76.006799999999998</v>
      </c>
      <c r="R178" s="352">
        <f t="shared" si="29"/>
        <v>61.866</v>
      </c>
      <c r="S178" s="352">
        <f t="shared" si="30"/>
        <v>14.1408</v>
      </c>
      <c r="T178" s="352">
        <f t="shared" si="31"/>
        <v>0</v>
      </c>
      <c r="U178" s="352">
        <f t="shared" si="32"/>
        <v>0</v>
      </c>
      <c r="V178" s="352">
        <f t="shared" si="33"/>
        <v>0</v>
      </c>
      <c r="W178" s="352">
        <f t="shared" si="34"/>
        <v>0</v>
      </c>
      <c r="X178" s="352">
        <f t="shared" si="35"/>
        <v>0</v>
      </c>
      <c r="Y178" s="353">
        <f t="shared" si="36"/>
        <v>76.006799999999998</v>
      </c>
      <c r="Z178" s="354">
        <f t="shared" si="37"/>
        <v>0</v>
      </c>
      <c r="AA178" s="506">
        <f t="shared" si="38"/>
        <v>1</v>
      </c>
    </row>
    <row r="179" spans="2:27" ht="33.75" x14ac:dyDescent="0.25">
      <c r="B179" s="346" t="s">
        <v>482</v>
      </c>
      <c r="C179" s="347">
        <v>96619</v>
      </c>
      <c r="D179" s="348" t="s">
        <v>58</v>
      </c>
      <c r="E179" s="277" t="s">
        <v>17</v>
      </c>
      <c r="F179" s="349">
        <v>30.67</v>
      </c>
      <c r="G179" s="349">
        <v>15.48</v>
      </c>
      <c r="H179" s="351">
        <f>'MEMORIAL DE CALCULO 01'!K192</f>
        <v>12.6</v>
      </c>
      <c r="I179" s="351">
        <f>'MEMORIAL DE CALCULO 02'!K423</f>
        <v>2.88</v>
      </c>
      <c r="J179" s="350"/>
      <c r="K179" s="351"/>
      <c r="L179" s="351"/>
      <c r="M179" s="351"/>
      <c r="N179" s="349"/>
      <c r="O179" s="349">
        <f t="shared" si="26"/>
        <v>15.48</v>
      </c>
      <c r="P179" s="206">
        <f t="shared" si="27"/>
        <v>0</v>
      </c>
      <c r="Q179" s="349">
        <f t="shared" si="28"/>
        <v>474.77160000000003</v>
      </c>
      <c r="R179" s="352">
        <f t="shared" si="29"/>
        <v>386.44200000000001</v>
      </c>
      <c r="S179" s="352">
        <f t="shared" si="30"/>
        <v>88.329599999999999</v>
      </c>
      <c r="T179" s="352">
        <f t="shared" si="31"/>
        <v>0</v>
      </c>
      <c r="U179" s="352">
        <f t="shared" si="32"/>
        <v>0</v>
      </c>
      <c r="V179" s="352">
        <f t="shared" si="33"/>
        <v>0</v>
      </c>
      <c r="W179" s="352">
        <f t="shared" si="34"/>
        <v>0</v>
      </c>
      <c r="X179" s="352">
        <f t="shared" si="35"/>
        <v>0</v>
      </c>
      <c r="Y179" s="353">
        <f t="shared" si="36"/>
        <v>474.77160000000003</v>
      </c>
      <c r="Z179" s="354">
        <f t="shared" si="37"/>
        <v>0</v>
      </c>
      <c r="AA179" s="506">
        <f t="shared" si="38"/>
        <v>1</v>
      </c>
    </row>
    <row r="180" spans="2:27" ht="22.5" x14ac:dyDescent="0.25">
      <c r="B180" s="346" t="s">
        <v>483</v>
      </c>
      <c r="C180" s="347">
        <v>96545</v>
      </c>
      <c r="D180" s="355" t="s">
        <v>61</v>
      </c>
      <c r="E180" s="277" t="s">
        <v>62</v>
      </c>
      <c r="F180" s="277">
        <v>15.99</v>
      </c>
      <c r="G180" s="349">
        <v>167.13</v>
      </c>
      <c r="H180" s="350">
        <f>'MEMORIAL DE CALCULO 01'!K193</f>
        <v>133.69999999999999</v>
      </c>
      <c r="I180" s="350">
        <f>'MEMORIAL DE CALCULO 02'!K424</f>
        <v>33.43</v>
      </c>
      <c r="J180" s="350"/>
      <c r="K180" s="278"/>
      <c r="L180" s="278"/>
      <c r="M180" s="278"/>
      <c r="N180" s="278"/>
      <c r="O180" s="349">
        <f t="shared" si="26"/>
        <v>167.13</v>
      </c>
      <c r="P180" s="206">
        <f t="shared" si="27"/>
        <v>0</v>
      </c>
      <c r="Q180" s="349">
        <f t="shared" si="28"/>
        <v>2672.4087</v>
      </c>
      <c r="R180" s="352">
        <f t="shared" si="29"/>
        <v>2137.8629999999998</v>
      </c>
      <c r="S180" s="352">
        <f t="shared" si="30"/>
        <v>534.54570000000001</v>
      </c>
      <c r="T180" s="352">
        <f t="shared" si="31"/>
        <v>0</v>
      </c>
      <c r="U180" s="352">
        <f t="shared" si="32"/>
        <v>0</v>
      </c>
      <c r="V180" s="352">
        <f t="shared" si="33"/>
        <v>0</v>
      </c>
      <c r="W180" s="352">
        <f t="shared" si="34"/>
        <v>0</v>
      </c>
      <c r="X180" s="352">
        <f t="shared" si="35"/>
        <v>0</v>
      </c>
      <c r="Y180" s="353">
        <f t="shared" si="36"/>
        <v>2672.4087</v>
      </c>
      <c r="Z180" s="354">
        <f t="shared" si="37"/>
        <v>0</v>
      </c>
      <c r="AA180" s="506">
        <f t="shared" si="38"/>
        <v>1</v>
      </c>
    </row>
    <row r="181" spans="2:27" s="163" customFormat="1" ht="33.75" x14ac:dyDescent="0.25">
      <c r="B181" s="346" t="s">
        <v>484</v>
      </c>
      <c r="C181" s="347">
        <v>94966</v>
      </c>
      <c r="D181" s="355" t="s">
        <v>65</v>
      </c>
      <c r="E181" s="277" t="s">
        <v>41</v>
      </c>
      <c r="F181" s="277">
        <v>530.88</v>
      </c>
      <c r="G181" s="349">
        <v>9.89</v>
      </c>
      <c r="H181" s="350">
        <f>'MEMORIAL DE CALCULO 01'!K195</f>
        <v>4.5500000000000007</v>
      </c>
      <c r="I181" s="350">
        <f>'MEMORIAL DE CALCULO 02'!K426</f>
        <v>1.04</v>
      </c>
      <c r="J181" s="350">
        <f>'MEMORIAL DE CALCULO 03'!K530</f>
        <v>1.5192000000000005</v>
      </c>
      <c r="K181" s="350">
        <f>'MEMORIAL DE CALCULO 04'!K624</f>
        <v>2.3652000000000002</v>
      </c>
      <c r="L181" s="350">
        <f>'MEMORIAL DE CALCULO 05'!K629</f>
        <v>0.41560999999999998</v>
      </c>
      <c r="M181" s="278"/>
      <c r="N181" s="278"/>
      <c r="O181" s="349">
        <f t="shared" si="26"/>
        <v>9.8900100000000002</v>
      </c>
      <c r="P181" s="206">
        <f t="shared" si="27"/>
        <v>-9.9999999996214228E-6</v>
      </c>
      <c r="Q181" s="349">
        <f t="shared" si="28"/>
        <v>5250.4032000000007</v>
      </c>
      <c r="R181" s="352">
        <f t="shared" si="29"/>
        <v>2415.5040000000004</v>
      </c>
      <c r="S181" s="352">
        <f t="shared" si="30"/>
        <v>552.11519999999996</v>
      </c>
      <c r="T181" s="352">
        <f t="shared" si="31"/>
        <v>806.5128960000003</v>
      </c>
      <c r="U181" s="352">
        <f t="shared" si="32"/>
        <v>1255.6300000000001</v>
      </c>
      <c r="V181" s="352">
        <f t="shared" si="33"/>
        <v>220.63</v>
      </c>
      <c r="W181" s="352">
        <f t="shared" si="34"/>
        <v>0</v>
      </c>
      <c r="X181" s="352">
        <f t="shared" si="35"/>
        <v>0</v>
      </c>
      <c r="Y181" s="353">
        <f t="shared" si="36"/>
        <v>5250.3920960000005</v>
      </c>
      <c r="Z181" s="354">
        <f>Q181-Y181</f>
        <v>1.1104000000159431E-2</v>
      </c>
      <c r="AA181" s="506">
        <f t="shared" si="38"/>
        <v>0.99999788511480414</v>
      </c>
    </row>
    <row r="182" spans="2:27" ht="41.45" customHeight="1" x14ac:dyDescent="0.25">
      <c r="B182" s="346" t="s">
        <v>485</v>
      </c>
      <c r="C182" s="347">
        <v>103800</v>
      </c>
      <c r="D182" s="348" t="s">
        <v>487</v>
      </c>
      <c r="E182" s="277" t="s">
        <v>41</v>
      </c>
      <c r="F182" s="349">
        <v>496.62</v>
      </c>
      <c r="G182" s="349">
        <v>11.78</v>
      </c>
      <c r="H182" s="351">
        <v>0.9</v>
      </c>
      <c r="I182" s="351">
        <v>10.88</v>
      </c>
      <c r="J182" s="350"/>
      <c r="K182" s="351"/>
      <c r="L182" s="351"/>
      <c r="M182" s="351"/>
      <c r="N182" s="349"/>
      <c r="O182" s="349">
        <f t="shared" si="26"/>
        <v>11.780000000000001</v>
      </c>
      <c r="P182" s="206">
        <f t="shared" si="27"/>
        <v>0</v>
      </c>
      <c r="Q182" s="349">
        <f t="shared" si="28"/>
        <v>5850.1835999999994</v>
      </c>
      <c r="R182" s="352">
        <f t="shared" si="29"/>
        <v>446.95800000000003</v>
      </c>
      <c r="S182" s="352">
        <f t="shared" si="30"/>
        <v>5403.2256000000007</v>
      </c>
      <c r="T182" s="352">
        <f t="shared" si="31"/>
        <v>0</v>
      </c>
      <c r="U182" s="352">
        <f t="shared" si="32"/>
        <v>0</v>
      </c>
      <c r="V182" s="352">
        <f t="shared" si="33"/>
        <v>0</v>
      </c>
      <c r="W182" s="352">
        <f t="shared" si="34"/>
        <v>0</v>
      </c>
      <c r="X182" s="352">
        <f t="shared" si="35"/>
        <v>0</v>
      </c>
      <c r="Y182" s="353">
        <f t="shared" si="36"/>
        <v>5850.1836000000003</v>
      </c>
      <c r="Z182" s="354">
        <f t="shared" si="37"/>
        <v>0</v>
      </c>
      <c r="AA182" s="506">
        <f t="shared" si="38"/>
        <v>1.0000000000000002</v>
      </c>
    </row>
    <row r="183" spans="2:27" s="163" customFormat="1" ht="22.5" x14ac:dyDescent="0.25">
      <c r="B183" s="346" t="s">
        <v>488</v>
      </c>
      <c r="C183" s="347">
        <v>103670</v>
      </c>
      <c r="D183" s="348" t="s">
        <v>71</v>
      </c>
      <c r="E183" s="277" t="s">
        <v>41</v>
      </c>
      <c r="F183" s="349">
        <v>230.55</v>
      </c>
      <c r="G183" s="349">
        <v>9.89</v>
      </c>
      <c r="H183" s="351">
        <f>'MEMORIAL DE CALCULO 01'!K200</f>
        <v>4.5500000000000007</v>
      </c>
      <c r="I183" s="351">
        <f>'MEMORIAL DE CALCULO 02'!K431</f>
        <v>1.04</v>
      </c>
      <c r="J183" s="350">
        <f>'MEMORIAL DE CALCULO 03'!K543</f>
        <v>1.5192000000000005</v>
      </c>
      <c r="K183" s="351">
        <f>'MEMORIAL DE CALCULO 04'!K644</f>
        <v>2.3652000000000002</v>
      </c>
      <c r="L183" s="351">
        <f>'MEMORIAL DE CALCULO 05'!K632</f>
        <v>0.41563</v>
      </c>
      <c r="M183" s="351"/>
      <c r="N183" s="349"/>
      <c r="O183" s="349">
        <f t="shared" si="26"/>
        <v>9.8900300000000012</v>
      </c>
      <c r="P183" s="206">
        <f t="shared" si="27"/>
        <v>-3.0000000000640625E-5</v>
      </c>
      <c r="Q183" s="349">
        <f t="shared" si="28"/>
        <v>2280.1395000000002</v>
      </c>
      <c r="R183" s="352">
        <f t="shared" si="29"/>
        <v>1049.0025000000003</v>
      </c>
      <c r="S183" s="352">
        <f t="shared" si="30"/>
        <v>239.77200000000002</v>
      </c>
      <c r="T183" s="352">
        <f t="shared" si="31"/>
        <v>350.25156000000015</v>
      </c>
      <c r="U183" s="352">
        <f t="shared" si="32"/>
        <v>545.29</v>
      </c>
      <c r="V183" s="352">
        <f t="shared" si="33"/>
        <v>95.82</v>
      </c>
      <c r="W183" s="352">
        <f t="shared" si="34"/>
        <v>0</v>
      </c>
      <c r="X183" s="352">
        <f t="shared" si="35"/>
        <v>0</v>
      </c>
      <c r="Y183" s="353">
        <f t="shared" si="36"/>
        <v>2280.1360600000003</v>
      </c>
      <c r="Z183" s="354">
        <f t="shared" si="37"/>
        <v>3.4399999999550346E-3</v>
      </c>
      <c r="AA183" s="506">
        <f t="shared" si="38"/>
        <v>0.99999849132037755</v>
      </c>
    </row>
    <row r="184" spans="2:27" s="163" customFormat="1" ht="22.5" x14ac:dyDescent="0.25">
      <c r="B184" s="346" t="s">
        <v>489</v>
      </c>
      <c r="C184" s="347">
        <v>96543</v>
      </c>
      <c r="D184" s="348" t="s">
        <v>74</v>
      </c>
      <c r="E184" s="277" t="s">
        <v>62</v>
      </c>
      <c r="F184" s="349">
        <v>17.5</v>
      </c>
      <c r="G184" s="349">
        <v>162.02000000000001</v>
      </c>
      <c r="H184" s="351">
        <f>'MEMORIAL DE CALCULO 01'!K202</f>
        <v>42.149799999999992</v>
      </c>
      <c r="I184" s="351">
        <f>'MEMORIAL DE CALCULO 02'!K433</f>
        <v>9.6342399999999984</v>
      </c>
      <c r="J184" s="350">
        <f>'MEMORIAL DE CALCULO 03'!K545</f>
        <v>39.772656000000005</v>
      </c>
      <c r="K184" s="351">
        <f>'MEMORIAL DE CALCULO 04'!K646</f>
        <v>62.025655999999977</v>
      </c>
      <c r="L184" s="351">
        <f>'MEMORIAL DE CALCULO 05'!K634</f>
        <v>8.4384999999999994</v>
      </c>
      <c r="M184" s="351"/>
      <c r="N184" s="349"/>
      <c r="O184" s="349">
        <f t="shared" si="26"/>
        <v>162.02085199999996</v>
      </c>
      <c r="P184" s="206">
        <f t="shared" si="27"/>
        <v>-8.5199999995211328E-4</v>
      </c>
      <c r="Q184" s="349">
        <f t="shared" si="28"/>
        <v>2835.3500000000004</v>
      </c>
      <c r="R184" s="352">
        <f t="shared" si="29"/>
        <v>737.62149999999986</v>
      </c>
      <c r="S184" s="352">
        <f t="shared" si="30"/>
        <v>168.59919999999997</v>
      </c>
      <c r="T184" s="352">
        <f t="shared" si="31"/>
        <v>696.02148000000011</v>
      </c>
      <c r="U184" s="352">
        <f t="shared" si="32"/>
        <v>1085.44</v>
      </c>
      <c r="V184" s="352">
        <f t="shared" si="33"/>
        <v>147.66999999999999</v>
      </c>
      <c r="W184" s="352">
        <f t="shared" si="34"/>
        <v>0</v>
      </c>
      <c r="X184" s="352">
        <f t="shared" si="35"/>
        <v>0</v>
      </c>
      <c r="Y184" s="353">
        <f t="shared" si="36"/>
        <v>2835.3521799999999</v>
      </c>
      <c r="Z184" s="354">
        <f t="shared" si="37"/>
        <v>-2.17999999949825E-3</v>
      </c>
      <c r="AA184" s="506">
        <f t="shared" si="38"/>
        <v>1.0000007688645138</v>
      </c>
    </row>
    <row r="185" spans="2:27" s="163" customFormat="1" ht="22.5" x14ac:dyDescent="0.25">
      <c r="B185" s="346" t="s">
        <v>490</v>
      </c>
      <c r="C185" s="347">
        <v>96546</v>
      </c>
      <c r="D185" s="355" t="s">
        <v>80</v>
      </c>
      <c r="E185" s="277" t="s">
        <v>62</v>
      </c>
      <c r="F185" s="277">
        <v>14.35</v>
      </c>
      <c r="G185" s="349">
        <v>377.8</v>
      </c>
      <c r="H185" s="350">
        <f>'MEMORIAL DE CALCULO 01'!K204</f>
        <v>99.337000000000003</v>
      </c>
      <c r="I185" s="350">
        <f>'MEMORIAL DE CALCULO 02'!K435</f>
        <v>22.705599999999997</v>
      </c>
      <c r="J185" s="350">
        <f>'MEMORIAL DE CALCULO 03'!K556</f>
        <v>93.734639999999985</v>
      </c>
      <c r="K185" s="350">
        <f>'MEMORIAL DE CALCULO 04'!K664</f>
        <v>146.17963999999998</v>
      </c>
      <c r="L185" s="350">
        <f>'MEMORIAL DE CALCULO 05'!K636</f>
        <v>15.84</v>
      </c>
      <c r="M185" s="278"/>
      <c r="N185" s="278"/>
      <c r="O185" s="349">
        <f t="shared" si="26"/>
        <v>377.79687999999993</v>
      </c>
      <c r="P185" s="206">
        <f t="shared" si="27"/>
        <v>3.1200000000808359E-3</v>
      </c>
      <c r="Q185" s="349">
        <f t="shared" si="28"/>
        <v>5421.43</v>
      </c>
      <c r="R185" s="352">
        <f t="shared" si="29"/>
        <v>1425.48595</v>
      </c>
      <c r="S185" s="352">
        <f t="shared" si="30"/>
        <v>325.82535999999993</v>
      </c>
      <c r="T185" s="352">
        <f t="shared" si="31"/>
        <v>1345.0920839999997</v>
      </c>
      <c r="U185" s="352">
        <f t="shared" si="32"/>
        <v>2097.67</v>
      </c>
      <c r="V185" s="352">
        <f t="shared" si="33"/>
        <v>227.3</v>
      </c>
      <c r="W185" s="352">
        <f t="shared" si="34"/>
        <v>0</v>
      </c>
      <c r="X185" s="352">
        <f t="shared" si="35"/>
        <v>0</v>
      </c>
      <c r="Y185" s="353">
        <f t="shared" si="36"/>
        <v>5421.3733940000002</v>
      </c>
      <c r="Z185" s="354">
        <f t="shared" si="37"/>
        <v>5.6606000000101631E-2</v>
      </c>
      <c r="AA185" s="506">
        <f t="shared" si="38"/>
        <v>0.99998955884333096</v>
      </c>
    </row>
    <row r="186" spans="2:27" s="163" customFormat="1" ht="33.75" x14ac:dyDescent="0.25">
      <c r="B186" s="346" t="s">
        <v>491</v>
      </c>
      <c r="C186" s="347">
        <v>96536</v>
      </c>
      <c r="D186" s="348" t="s">
        <v>86</v>
      </c>
      <c r="E186" s="277" t="s">
        <v>17</v>
      </c>
      <c r="F186" s="349">
        <v>69.64</v>
      </c>
      <c r="G186" s="349">
        <v>149.6</v>
      </c>
      <c r="H186" s="351">
        <f>'MEMORIAL DE CALCULO 01'!K206</f>
        <v>53.2</v>
      </c>
      <c r="I186" s="351">
        <f>'MEMORIAL DE CALCULO 02'!K437</f>
        <v>12.16</v>
      </c>
      <c r="J186" s="350">
        <f>'MEMORIAL DE CALCULO 03'!K567</f>
        <v>30.383999999999997</v>
      </c>
      <c r="K186" s="351">
        <f>'MEMORIAL DE CALCULO 04'!K682</f>
        <v>47.304000000000002</v>
      </c>
      <c r="L186" s="351">
        <f>'MEMORIAL DE CALCULO 05'!K638</f>
        <v>6.55</v>
      </c>
      <c r="M186" s="351"/>
      <c r="N186" s="349"/>
      <c r="O186" s="349">
        <f t="shared" si="26"/>
        <v>149.59800000000001</v>
      </c>
      <c r="P186" s="206">
        <f t="shared" si="27"/>
        <v>1.999999999981128E-3</v>
      </c>
      <c r="Q186" s="349">
        <f t="shared" si="28"/>
        <v>10418.144</v>
      </c>
      <c r="R186" s="352">
        <f t="shared" si="29"/>
        <v>3704.8480000000004</v>
      </c>
      <c r="S186" s="352">
        <f t="shared" si="30"/>
        <v>846.82240000000002</v>
      </c>
      <c r="T186" s="352">
        <f t="shared" si="31"/>
        <v>2115.9417599999997</v>
      </c>
      <c r="U186" s="352">
        <f t="shared" si="32"/>
        <v>3294.25</v>
      </c>
      <c r="V186" s="352">
        <f t="shared" si="33"/>
        <v>456.14</v>
      </c>
      <c r="W186" s="352">
        <f t="shared" si="34"/>
        <v>0</v>
      </c>
      <c r="X186" s="352">
        <f t="shared" si="35"/>
        <v>0</v>
      </c>
      <c r="Y186" s="353">
        <f t="shared" si="36"/>
        <v>10418.00216</v>
      </c>
      <c r="Z186" s="354">
        <f t="shared" si="37"/>
        <v>0.14184000000022934</v>
      </c>
      <c r="AA186" s="506">
        <f t="shared" si="38"/>
        <v>0.99998638529089245</v>
      </c>
    </row>
    <row r="187" spans="2:27" s="164" customFormat="1" ht="22.5" x14ac:dyDescent="0.25">
      <c r="B187" s="346" t="s">
        <v>492</v>
      </c>
      <c r="C187" s="347">
        <v>98557</v>
      </c>
      <c r="D187" s="348" t="s">
        <v>89</v>
      </c>
      <c r="E187" s="277" t="s">
        <v>17</v>
      </c>
      <c r="F187" s="349">
        <v>48.22</v>
      </c>
      <c r="G187" s="349">
        <v>65.430000000000007</v>
      </c>
      <c r="H187" s="351"/>
      <c r="I187" s="351"/>
      <c r="J187" s="350">
        <f>'MEMORIAL DE CALCULO 03'!K580</f>
        <v>33.634999999999998</v>
      </c>
      <c r="K187" s="351">
        <v>31.8</v>
      </c>
      <c r="L187" s="351"/>
      <c r="M187" s="351"/>
      <c r="N187" s="349"/>
      <c r="O187" s="349">
        <f t="shared" si="26"/>
        <v>65.435000000000002</v>
      </c>
      <c r="P187" s="206">
        <f t="shared" si="27"/>
        <v>-4.9999999999954525E-3</v>
      </c>
      <c r="Q187" s="349">
        <f t="shared" si="28"/>
        <v>3155.0346000000004</v>
      </c>
      <c r="R187" s="352">
        <f t="shared" si="29"/>
        <v>0</v>
      </c>
      <c r="S187" s="352">
        <f t="shared" si="30"/>
        <v>0</v>
      </c>
      <c r="T187" s="352">
        <f t="shared" si="31"/>
        <v>1621.8797</v>
      </c>
      <c r="U187" s="352">
        <f t="shared" si="32"/>
        <v>1533.39</v>
      </c>
      <c r="V187" s="352">
        <f t="shared" si="33"/>
        <v>0</v>
      </c>
      <c r="W187" s="352">
        <f t="shared" si="34"/>
        <v>0</v>
      </c>
      <c r="X187" s="352">
        <f t="shared" si="35"/>
        <v>0</v>
      </c>
      <c r="Y187" s="353">
        <f t="shared" si="36"/>
        <v>3155.2696999999998</v>
      </c>
      <c r="Z187" s="354">
        <f t="shared" si="37"/>
        <v>-0.23509999999942011</v>
      </c>
      <c r="AA187" s="506">
        <f t="shared" si="38"/>
        <v>1.0000745158230593</v>
      </c>
    </row>
    <row r="188" spans="2:27" s="164" customFormat="1" ht="45" x14ac:dyDescent="0.25">
      <c r="B188" s="346" t="s">
        <v>493</v>
      </c>
      <c r="C188" s="347">
        <v>103356</v>
      </c>
      <c r="D188" s="348" t="s">
        <v>137</v>
      </c>
      <c r="E188" s="277" t="s">
        <v>17</v>
      </c>
      <c r="F188" s="349">
        <v>46.86</v>
      </c>
      <c r="G188" s="349">
        <v>405.64</v>
      </c>
      <c r="H188" s="351"/>
      <c r="I188" s="351"/>
      <c r="J188" s="350">
        <f>'MEMORIAL DE CALCULO 03'!K581</f>
        <v>208.53700000000003</v>
      </c>
      <c r="K188" s="351">
        <f>'MEMORIAL DE CALCULO 04'!K703</f>
        <v>177.38200000000001</v>
      </c>
      <c r="L188" s="351">
        <f>'MEMORIAL DE CALCULO 05'!K642</f>
        <v>19.721239000000001</v>
      </c>
      <c r="M188" s="351"/>
      <c r="N188" s="349"/>
      <c r="O188" s="349">
        <f t="shared" si="26"/>
        <v>405.64023900000007</v>
      </c>
      <c r="P188" s="206">
        <f t="shared" si="27"/>
        <v>-2.3900000007870403E-4</v>
      </c>
      <c r="Q188" s="349">
        <f t="shared" si="28"/>
        <v>19008.290399999998</v>
      </c>
      <c r="R188" s="352">
        <f t="shared" si="29"/>
        <v>0</v>
      </c>
      <c r="S188" s="352">
        <f t="shared" si="30"/>
        <v>0</v>
      </c>
      <c r="T188" s="352">
        <f t="shared" si="31"/>
        <v>9772.0438200000008</v>
      </c>
      <c r="U188" s="352">
        <f t="shared" si="32"/>
        <v>8312.1200000000008</v>
      </c>
      <c r="V188" s="352">
        <f t="shared" si="33"/>
        <v>924.13</v>
      </c>
      <c r="W188" s="352">
        <f t="shared" si="34"/>
        <v>0</v>
      </c>
      <c r="X188" s="352">
        <f t="shared" si="35"/>
        <v>0</v>
      </c>
      <c r="Y188" s="353">
        <f t="shared" si="36"/>
        <v>19008.293820000003</v>
      </c>
      <c r="Z188" s="354">
        <f t="shared" si="37"/>
        <v>-3.4200000045530032E-3</v>
      </c>
      <c r="AA188" s="506">
        <f t="shared" si="38"/>
        <v>1.0000001799214939</v>
      </c>
    </row>
    <row r="189" spans="2:27" s="164" customFormat="1" ht="45" x14ac:dyDescent="0.25">
      <c r="B189" s="346" t="s">
        <v>494</v>
      </c>
      <c r="C189" s="347">
        <v>87893</v>
      </c>
      <c r="D189" s="348" t="s">
        <v>151</v>
      </c>
      <c r="E189" s="277" t="s">
        <v>17</v>
      </c>
      <c r="F189" s="349">
        <v>6.08</v>
      </c>
      <c r="G189" s="349">
        <v>811.27</v>
      </c>
      <c r="H189" s="351"/>
      <c r="I189" s="351"/>
      <c r="J189" s="350"/>
      <c r="K189" s="351">
        <f>'MEMORIAL DE CALCULO 04'!K705</f>
        <v>124.52700000000002</v>
      </c>
      <c r="L189" s="351">
        <f>'MEMORIAL DE CALCULO 05'!K644</f>
        <v>686.74300000000005</v>
      </c>
      <c r="M189" s="351"/>
      <c r="N189" s="349"/>
      <c r="O189" s="349">
        <f t="shared" si="26"/>
        <v>811.2700000000001</v>
      </c>
      <c r="P189" s="206">
        <f t="shared" si="27"/>
        <v>0</v>
      </c>
      <c r="Q189" s="349">
        <f t="shared" si="28"/>
        <v>4932.5216</v>
      </c>
      <c r="R189" s="352">
        <f t="shared" si="29"/>
        <v>0</v>
      </c>
      <c r="S189" s="352">
        <f t="shared" si="30"/>
        <v>0</v>
      </c>
      <c r="T189" s="352">
        <f t="shared" si="31"/>
        <v>0</v>
      </c>
      <c r="U189" s="352">
        <f t="shared" si="32"/>
        <v>757.12</v>
      </c>
      <c r="V189" s="352">
        <f t="shared" si="33"/>
        <v>4175.3900000000003</v>
      </c>
      <c r="W189" s="352">
        <f t="shared" si="34"/>
        <v>0</v>
      </c>
      <c r="X189" s="352">
        <f t="shared" si="35"/>
        <v>0</v>
      </c>
      <c r="Y189" s="353">
        <f t="shared" si="36"/>
        <v>4932.51</v>
      </c>
      <c r="Z189" s="354">
        <f t="shared" si="37"/>
        <v>1.1599999999816646E-2</v>
      </c>
      <c r="AA189" s="506">
        <f t="shared" si="38"/>
        <v>0.99999764826169235</v>
      </c>
    </row>
    <row r="190" spans="2:27" ht="45" x14ac:dyDescent="0.25">
      <c r="B190" s="346" t="s">
        <v>495</v>
      </c>
      <c r="C190" s="347">
        <v>87548</v>
      </c>
      <c r="D190" s="348" t="s">
        <v>154</v>
      </c>
      <c r="E190" s="277" t="s">
        <v>17</v>
      </c>
      <c r="F190" s="349">
        <v>22.4</v>
      </c>
      <c r="G190" s="349">
        <v>811.27</v>
      </c>
      <c r="H190" s="351"/>
      <c r="I190" s="351"/>
      <c r="J190" s="350"/>
      <c r="K190" s="351"/>
      <c r="L190" s="351">
        <f>'MEMORIAL DE CALCULO 05'!K646</f>
        <v>405.66600000000005</v>
      </c>
      <c r="M190" s="351">
        <f>'MEMORIAL DE CALCULO 06'!K420</f>
        <v>405.60400000000004</v>
      </c>
      <c r="N190" s="349"/>
      <c r="O190" s="349">
        <f t="shared" si="26"/>
        <v>811.2700000000001</v>
      </c>
      <c r="P190" s="206">
        <f t="shared" si="27"/>
        <v>0</v>
      </c>
      <c r="Q190" s="349">
        <f t="shared" si="28"/>
        <v>18172.447999999997</v>
      </c>
      <c r="R190" s="352">
        <f t="shared" si="29"/>
        <v>0</v>
      </c>
      <c r="S190" s="352">
        <f t="shared" si="30"/>
        <v>0</v>
      </c>
      <c r="T190" s="352">
        <f t="shared" si="31"/>
        <v>0</v>
      </c>
      <c r="U190" s="352">
        <f t="shared" si="32"/>
        <v>0</v>
      </c>
      <c r="V190" s="352">
        <f t="shared" si="33"/>
        <v>9086.91</v>
      </c>
      <c r="W190" s="352">
        <f t="shared" si="34"/>
        <v>9085.5295999999998</v>
      </c>
      <c r="X190" s="352">
        <f t="shared" si="35"/>
        <v>0</v>
      </c>
      <c r="Y190" s="353">
        <f t="shared" si="36"/>
        <v>18172.439599999998</v>
      </c>
      <c r="Z190" s="354">
        <f t="shared" si="37"/>
        <v>8.3999999988009222E-3</v>
      </c>
      <c r="AA190" s="506">
        <f t="shared" si="38"/>
        <v>0.99999953776178097</v>
      </c>
    </row>
    <row r="191" spans="2:27" ht="22.5" x14ac:dyDescent="0.25">
      <c r="B191" s="346" t="s">
        <v>496</v>
      </c>
      <c r="C191" s="347">
        <v>88489</v>
      </c>
      <c r="D191" s="348" t="s">
        <v>198</v>
      </c>
      <c r="E191" s="277" t="s">
        <v>17</v>
      </c>
      <c r="F191" s="349">
        <v>12.16</v>
      </c>
      <c r="G191" s="349">
        <v>811.27</v>
      </c>
      <c r="H191" s="351"/>
      <c r="I191" s="351"/>
      <c r="J191" s="350"/>
      <c r="K191" s="351"/>
      <c r="L191" s="351"/>
      <c r="M191" s="351"/>
      <c r="N191" s="349"/>
      <c r="O191" s="349">
        <f t="shared" si="26"/>
        <v>0</v>
      </c>
      <c r="P191" s="206">
        <f t="shared" si="27"/>
        <v>811.27</v>
      </c>
      <c r="Q191" s="349">
        <f t="shared" si="28"/>
        <v>9865.0432000000001</v>
      </c>
      <c r="R191" s="352">
        <f t="shared" si="29"/>
        <v>0</v>
      </c>
      <c r="S191" s="352">
        <f t="shared" si="30"/>
        <v>0</v>
      </c>
      <c r="T191" s="352">
        <f t="shared" si="31"/>
        <v>0</v>
      </c>
      <c r="U191" s="352">
        <f t="shared" si="32"/>
        <v>0</v>
      </c>
      <c r="V191" s="352">
        <f t="shared" si="33"/>
        <v>0</v>
      </c>
      <c r="W191" s="352">
        <f t="shared" si="34"/>
        <v>0</v>
      </c>
      <c r="X191" s="352">
        <f t="shared" si="35"/>
        <v>0</v>
      </c>
      <c r="Y191" s="353">
        <f t="shared" si="36"/>
        <v>0</v>
      </c>
      <c r="Z191" s="354">
        <f t="shared" si="37"/>
        <v>9865.0432000000001</v>
      </c>
      <c r="AA191" s="506">
        <f t="shared" si="38"/>
        <v>0</v>
      </c>
    </row>
    <row r="192" spans="2:27" ht="22.5" x14ac:dyDescent="0.25">
      <c r="B192" s="346" t="s">
        <v>497</v>
      </c>
      <c r="C192" s="347">
        <v>95305</v>
      </c>
      <c r="D192" s="348" t="s">
        <v>499</v>
      </c>
      <c r="E192" s="277" t="s">
        <v>17</v>
      </c>
      <c r="F192" s="349">
        <v>10.95</v>
      </c>
      <c r="G192" s="349">
        <v>811.27</v>
      </c>
      <c r="H192" s="351"/>
      <c r="I192" s="351"/>
      <c r="J192" s="350"/>
      <c r="K192" s="351"/>
      <c r="L192" s="351"/>
      <c r="M192" s="351"/>
      <c r="N192" s="349"/>
      <c r="O192" s="349">
        <f t="shared" si="26"/>
        <v>0</v>
      </c>
      <c r="P192" s="206">
        <f t="shared" si="27"/>
        <v>811.27</v>
      </c>
      <c r="Q192" s="349">
        <f t="shared" si="28"/>
        <v>8883.4064999999991</v>
      </c>
      <c r="R192" s="352">
        <f t="shared" si="29"/>
        <v>0</v>
      </c>
      <c r="S192" s="352">
        <f t="shared" si="30"/>
        <v>0</v>
      </c>
      <c r="T192" s="352">
        <f t="shared" si="31"/>
        <v>0</v>
      </c>
      <c r="U192" s="352">
        <f t="shared" si="32"/>
        <v>0</v>
      </c>
      <c r="V192" s="352">
        <f t="shared" si="33"/>
        <v>0</v>
      </c>
      <c r="W192" s="352">
        <f t="shared" si="34"/>
        <v>0</v>
      </c>
      <c r="X192" s="352">
        <f t="shared" si="35"/>
        <v>0</v>
      </c>
      <c r="Y192" s="353">
        <f t="shared" si="36"/>
        <v>0</v>
      </c>
      <c r="Z192" s="354">
        <f t="shared" si="37"/>
        <v>8883.4064999999991</v>
      </c>
      <c r="AA192" s="506">
        <f t="shared" si="38"/>
        <v>0</v>
      </c>
    </row>
    <row r="193" spans="2:27" ht="14.45" customHeight="1" x14ac:dyDescent="0.25">
      <c r="B193" s="356">
        <v>1.1599999999999999</v>
      </c>
      <c r="C193" s="357" t="s">
        <v>501</v>
      </c>
      <c r="D193" s="348"/>
      <c r="E193" s="277"/>
      <c r="F193" s="349"/>
      <c r="G193" s="349"/>
      <c r="H193" s="351"/>
      <c r="I193" s="351"/>
      <c r="J193" s="350"/>
      <c r="K193" s="351"/>
      <c r="L193" s="351"/>
      <c r="M193" s="351"/>
      <c r="N193" s="349"/>
      <c r="O193" s="349">
        <f t="shared" si="26"/>
        <v>0</v>
      </c>
      <c r="P193" s="206"/>
      <c r="Q193" s="349"/>
      <c r="R193" s="352">
        <f t="shared" si="29"/>
        <v>0</v>
      </c>
      <c r="S193" s="352">
        <f t="shared" si="30"/>
        <v>0</v>
      </c>
      <c r="T193" s="352">
        <f t="shared" si="31"/>
        <v>0</v>
      </c>
      <c r="U193" s="352">
        <f t="shared" si="32"/>
        <v>0</v>
      </c>
      <c r="V193" s="352">
        <f t="shared" si="33"/>
        <v>0</v>
      </c>
      <c r="W193" s="352">
        <f t="shared" si="34"/>
        <v>0</v>
      </c>
      <c r="X193" s="352">
        <f t="shared" si="35"/>
        <v>0</v>
      </c>
      <c r="Y193" s="353">
        <f t="shared" si="36"/>
        <v>0</v>
      </c>
      <c r="Z193" s="354">
        <f t="shared" si="37"/>
        <v>0</v>
      </c>
      <c r="AA193" s="506"/>
    </row>
    <row r="194" spans="2:27" ht="33.75" x14ac:dyDescent="0.25">
      <c r="B194" s="346" t="s">
        <v>502</v>
      </c>
      <c r="C194" s="358" t="s">
        <v>503</v>
      </c>
      <c r="D194" s="348" t="s">
        <v>504</v>
      </c>
      <c r="E194" s="277" t="s">
        <v>166</v>
      </c>
      <c r="F194" s="349">
        <v>4877.91</v>
      </c>
      <c r="G194" s="349">
        <v>2</v>
      </c>
      <c r="H194" s="351"/>
      <c r="I194" s="351"/>
      <c r="J194" s="350"/>
      <c r="K194" s="351"/>
      <c r="L194" s="351"/>
      <c r="M194" s="351"/>
      <c r="N194" s="349"/>
      <c r="O194" s="349">
        <f t="shared" si="26"/>
        <v>0</v>
      </c>
      <c r="P194" s="206">
        <f t="shared" si="27"/>
        <v>2</v>
      </c>
      <c r="Q194" s="349">
        <f t="shared" si="28"/>
        <v>9755.82</v>
      </c>
      <c r="R194" s="352">
        <f t="shared" si="29"/>
        <v>0</v>
      </c>
      <c r="S194" s="352">
        <f t="shared" si="30"/>
        <v>0</v>
      </c>
      <c r="T194" s="352">
        <f t="shared" si="31"/>
        <v>0</v>
      </c>
      <c r="U194" s="352">
        <f t="shared" si="32"/>
        <v>0</v>
      </c>
      <c r="V194" s="352">
        <f t="shared" si="33"/>
        <v>0</v>
      </c>
      <c r="W194" s="352">
        <f t="shared" si="34"/>
        <v>0</v>
      </c>
      <c r="X194" s="352">
        <f t="shared" si="35"/>
        <v>0</v>
      </c>
      <c r="Y194" s="353">
        <f t="shared" si="36"/>
        <v>0</v>
      </c>
      <c r="Z194" s="354">
        <f t="shared" si="37"/>
        <v>9755.82</v>
      </c>
      <c r="AA194" s="506">
        <f t="shared" si="38"/>
        <v>0</v>
      </c>
    </row>
    <row r="195" spans="2:27" ht="45.75" thickBot="1" x14ac:dyDescent="0.3">
      <c r="B195" s="360" t="s">
        <v>505</v>
      </c>
      <c r="C195" s="361" t="s">
        <v>506</v>
      </c>
      <c r="D195" s="362" t="s">
        <v>507</v>
      </c>
      <c r="E195" s="363" t="s">
        <v>166</v>
      </c>
      <c r="F195" s="364">
        <v>3733.15</v>
      </c>
      <c r="G195" s="364">
        <v>1</v>
      </c>
      <c r="H195" s="365"/>
      <c r="I195" s="365"/>
      <c r="J195" s="366"/>
      <c r="K195" s="365"/>
      <c r="L195" s="365"/>
      <c r="M195" s="365"/>
      <c r="N195" s="364"/>
      <c r="O195" s="367">
        <f t="shared" si="26"/>
        <v>0</v>
      </c>
      <c r="P195" s="223">
        <f t="shared" si="27"/>
        <v>1</v>
      </c>
      <c r="Q195" s="367">
        <f t="shared" si="28"/>
        <v>3733.15</v>
      </c>
      <c r="R195" s="352">
        <f t="shared" si="29"/>
        <v>0</v>
      </c>
      <c r="S195" s="352">
        <f t="shared" si="30"/>
        <v>0</v>
      </c>
      <c r="T195" s="352">
        <f t="shared" si="31"/>
        <v>0</v>
      </c>
      <c r="U195" s="352">
        <f t="shared" si="32"/>
        <v>0</v>
      </c>
      <c r="V195" s="352">
        <f t="shared" si="33"/>
        <v>0</v>
      </c>
      <c r="W195" s="352">
        <f t="shared" si="34"/>
        <v>0</v>
      </c>
      <c r="X195" s="352">
        <f t="shared" si="35"/>
        <v>0</v>
      </c>
      <c r="Y195" s="353">
        <f t="shared" si="36"/>
        <v>0</v>
      </c>
      <c r="Z195" s="368">
        <f t="shared" si="37"/>
        <v>3733.15</v>
      </c>
      <c r="AA195" s="506">
        <f t="shared" si="38"/>
        <v>0</v>
      </c>
    </row>
    <row r="196" spans="2:27" ht="15.75" thickBot="1" x14ac:dyDescent="0.3">
      <c r="E196" s="369"/>
      <c r="F196" s="369"/>
      <c r="G196" s="369"/>
      <c r="H196" s="370"/>
      <c r="I196" s="369"/>
      <c r="J196" s="369"/>
      <c r="K196" s="369"/>
      <c r="L196" s="369"/>
      <c r="M196" s="369"/>
      <c r="N196" s="369"/>
      <c r="O196" s="371"/>
      <c r="P196" s="372"/>
      <c r="Q196" s="373">
        <f t="shared" ref="Q196:V196" si="39">SUM(Q14:Q195)</f>
        <v>1240378.3832000003</v>
      </c>
      <c r="R196" s="373">
        <f t="shared" si="39"/>
        <v>66571.964737500006</v>
      </c>
      <c r="S196" s="373">
        <f t="shared" si="39"/>
        <v>61443.00776244999</v>
      </c>
      <c r="T196" s="373">
        <f t="shared" si="39"/>
        <v>66865.073129099997</v>
      </c>
      <c r="U196" s="373">
        <f t="shared" si="39"/>
        <v>79712.63</v>
      </c>
      <c r="V196" s="373">
        <f t="shared" si="39"/>
        <v>103177.48000000005</v>
      </c>
      <c r="W196" s="352">
        <f>SUM(W12:W195)</f>
        <v>70347.038280000008</v>
      </c>
      <c r="X196" s="233">
        <f>SUM(X14:X195)</f>
        <v>40632.783196400007</v>
      </c>
      <c r="Y196" s="373">
        <f>SUM(Y14:Y195)</f>
        <v>488749.97710544994</v>
      </c>
      <c r="Z196" s="373">
        <f t="shared" si="37"/>
        <v>751628.40609455039</v>
      </c>
      <c r="AA196" s="507">
        <f t="shared" si="38"/>
        <v>0.39403296907234414</v>
      </c>
    </row>
    <row r="197" spans="2:27" ht="15.75" thickBot="1" x14ac:dyDescent="0.3">
      <c r="P197" s="79"/>
      <c r="Q197" s="499" t="s">
        <v>546</v>
      </c>
      <c r="R197" s="499" t="s">
        <v>547</v>
      </c>
      <c r="S197" s="499" t="s">
        <v>549</v>
      </c>
      <c r="T197" s="499" t="s">
        <v>550</v>
      </c>
      <c r="U197" s="499" t="s">
        <v>551</v>
      </c>
      <c r="V197" s="499" t="s">
        <v>552</v>
      </c>
      <c r="W197" s="499" t="s">
        <v>553</v>
      </c>
      <c r="X197" s="499" t="s">
        <v>554</v>
      </c>
      <c r="Y197" s="500" t="s">
        <v>548</v>
      </c>
      <c r="Z197" s="499" t="s">
        <v>541</v>
      </c>
    </row>
    <row r="198" spans="2:27" ht="24" customHeight="1" thickBot="1" x14ac:dyDescent="0.3">
      <c r="P198" s="79"/>
      <c r="Q198" s="499"/>
      <c r="R198" s="499"/>
      <c r="S198" s="499"/>
      <c r="T198" s="499"/>
      <c r="U198" s="499"/>
      <c r="V198" s="499"/>
      <c r="W198" s="499"/>
      <c r="X198" s="499"/>
      <c r="Y198" s="500"/>
      <c r="Z198" s="499"/>
    </row>
    <row r="199" spans="2:27" x14ac:dyDescent="0.25">
      <c r="P199"/>
    </row>
    <row r="200" spans="2:27" x14ac:dyDescent="0.25">
      <c r="P200"/>
    </row>
    <row r="201" spans="2:27" ht="21" x14ac:dyDescent="0.35">
      <c r="C201" s="514" t="s">
        <v>990</v>
      </c>
      <c r="D201" s="515"/>
      <c r="E201" s="516"/>
      <c r="F201" s="516"/>
      <c r="G201" s="516"/>
      <c r="H201" s="516"/>
      <c r="I201" s="516"/>
      <c r="J201" s="516"/>
      <c r="K201" s="516"/>
      <c r="L201" s="516"/>
      <c r="M201" s="516"/>
      <c r="N201" s="516"/>
      <c r="O201" s="516"/>
      <c r="P201" s="516"/>
      <c r="Q201" s="516"/>
    </row>
    <row r="202" spans="2:27" ht="21" x14ac:dyDescent="0.35">
      <c r="C202" s="516"/>
      <c r="D202" s="517"/>
      <c r="E202" s="516"/>
      <c r="F202" s="516"/>
      <c r="G202" s="516"/>
      <c r="H202" s="516"/>
      <c r="I202" s="516"/>
      <c r="J202" s="516"/>
      <c r="K202" s="516"/>
      <c r="L202" s="516"/>
      <c r="M202" s="516"/>
      <c r="N202" s="516"/>
      <c r="O202" s="516"/>
      <c r="P202" s="516"/>
      <c r="Q202" s="516"/>
    </row>
    <row r="203" spans="2:27" ht="21" x14ac:dyDescent="0.35">
      <c r="C203" s="517" t="s">
        <v>991</v>
      </c>
      <c r="D203" s="515"/>
      <c r="E203" s="516"/>
      <c r="F203" s="516"/>
      <c r="G203" s="516"/>
      <c r="H203" s="516"/>
      <c r="I203" s="516"/>
      <c r="J203" s="516"/>
      <c r="K203" s="516"/>
      <c r="L203" s="516"/>
      <c r="M203" s="516"/>
      <c r="N203" s="516"/>
      <c r="O203" s="516"/>
      <c r="P203" s="516"/>
      <c r="Q203" s="516"/>
    </row>
    <row r="204" spans="2:27" ht="21" x14ac:dyDescent="0.35">
      <c r="C204" s="517" t="s">
        <v>992</v>
      </c>
      <c r="D204" s="515"/>
      <c r="E204" s="516"/>
      <c r="F204" s="516"/>
      <c r="G204" s="516"/>
      <c r="H204" s="516"/>
      <c r="I204" s="516"/>
      <c r="J204" s="516"/>
      <c r="K204" s="516"/>
      <c r="L204" s="516"/>
      <c r="M204" s="516"/>
      <c r="N204" s="516"/>
      <c r="O204" s="516"/>
      <c r="P204" s="516"/>
      <c r="Q204" s="516"/>
    </row>
    <row r="205" spans="2:27" ht="21" x14ac:dyDescent="0.35">
      <c r="C205" s="517"/>
      <c r="D205" s="515"/>
      <c r="E205" s="516"/>
      <c r="F205" s="516"/>
      <c r="G205" s="516"/>
      <c r="H205" s="516"/>
      <c r="I205" s="516"/>
      <c r="J205" s="516"/>
      <c r="K205" s="516"/>
      <c r="L205" s="516"/>
      <c r="M205" s="516"/>
      <c r="N205" s="516"/>
      <c r="O205" s="516"/>
      <c r="P205" s="516"/>
      <c r="Q205" s="516"/>
    </row>
    <row r="206" spans="2:27" ht="21" x14ac:dyDescent="0.25">
      <c r="C206" s="518" t="s">
        <v>997</v>
      </c>
      <c r="D206" s="518"/>
      <c r="E206" s="518"/>
      <c r="F206" s="518"/>
      <c r="G206" s="518"/>
      <c r="H206" s="518"/>
      <c r="I206" s="518"/>
      <c r="J206" s="518"/>
      <c r="K206" s="518"/>
      <c r="L206" s="518"/>
      <c r="M206" s="518"/>
      <c r="N206" s="518"/>
      <c r="O206" s="518"/>
      <c r="P206" s="518"/>
      <c r="Q206" s="518"/>
    </row>
    <row r="207" spans="2:27" ht="21" x14ac:dyDescent="0.35">
      <c r="C207" s="519" t="s">
        <v>993</v>
      </c>
      <c r="D207" s="515"/>
      <c r="E207" s="516"/>
      <c r="F207" s="516"/>
      <c r="G207" s="516"/>
      <c r="H207" s="516"/>
      <c r="I207" s="516"/>
      <c r="J207" s="516"/>
      <c r="K207" s="516"/>
      <c r="L207" s="516"/>
      <c r="M207" s="516"/>
      <c r="N207" s="516"/>
      <c r="O207" s="516"/>
      <c r="P207" s="516"/>
      <c r="Q207" s="516"/>
    </row>
    <row r="208" spans="2:27" ht="21" x14ac:dyDescent="0.35">
      <c r="C208" s="520" t="s">
        <v>994</v>
      </c>
      <c r="D208" s="515"/>
      <c r="E208" s="516"/>
      <c r="F208" s="516"/>
      <c r="G208" s="516"/>
      <c r="H208" s="516"/>
      <c r="I208" s="516"/>
      <c r="J208" s="516"/>
      <c r="K208" s="516"/>
      <c r="L208" s="516"/>
      <c r="M208" s="516"/>
      <c r="N208" s="516"/>
      <c r="O208" s="516"/>
      <c r="P208" s="516"/>
      <c r="Q208" s="516"/>
    </row>
    <row r="209" spans="3:16" x14ac:dyDescent="0.25">
      <c r="C209" s="521"/>
      <c r="D209" s="521"/>
      <c r="H209"/>
      <c r="P209"/>
    </row>
    <row r="210" spans="3:16" ht="15.75" x14ac:dyDescent="0.25">
      <c r="C210" s="522" t="s">
        <v>998</v>
      </c>
      <c r="D210" s="521"/>
      <c r="H210"/>
      <c r="P210"/>
    </row>
    <row r="211" spans="3:16" ht="15.75" x14ac:dyDescent="0.25">
      <c r="C211" s="522"/>
      <c r="D211" s="521"/>
      <c r="H211"/>
      <c r="P211"/>
    </row>
    <row r="212" spans="3:16" ht="15.75" x14ac:dyDescent="0.25">
      <c r="C212" s="522" t="s">
        <v>995</v>
      </c>
      <c r="D212" s="521"/>
      <c r="H212"/>
      <c r="P212"/>
    </row>
    <row r="213" spans="3:16" ht="15.75" x14ac:dyDescent="0.25">
      <c r="C213" s="522" t="s">
        <v>996</v>
      </c>
      <c r="D213" s="521"/>
      <c r="H213"/>
      <c r="P213"/>
    </row>
    <row r="214" spans="3:16" x14ac:dyDescent="0.25">
      <c r="P214"/>
    </row>
  </sheetData>
  <mergeCells count="28">
    <mergeCell ref="C206:Q206"/>
    <mergeCell ref="G10:P10"/>
    <mergeCell ref="B2:Z2"/>
    <mergeCell ref="Y3:Z8"/>
    <mergeCell ref="B4:N4"/>
    <mergeCell ref="Q4:X4"/>
    <mergeCell ref="B6:D6"/>
    <mergeCell ref="E6:N6"/>
    <mergeCell ref="O6:X6"/>
    <mergeCell ref="B8:C8"/>
    <mergeCell ref="J8:P8"/>
    <mergeCell ref="Q8:X8"/>
    <mergeCell ref="B10:B11"/>
    <mergeCell ref="C10:C11"/>
    <mergeCell ref="D10:D11"/>
    <mergeCell ref="E10:E11"/>
    <mergeCell ref="F10:F11"/>
    <mergeCell ref="Z197:Z198"/>
    <mergeCell ref="Q10:Z10"/>
    <mergeCell ref="Q197:Q198"/>
    <mergeCell ref="R197:R198"/>
    <mergeCell ref="S197:S198"/>
    <mergeCell ref="T197:T198"/>
    <mergeCell ref="U197:U198"/>
    <mergeCell ref="V197:V198"/>
    <mergeCell ref="W197:W198"/>
    <mergeCell ref="X197:X198"/>
    <mergeCell ref="Y197:Y198"/>
  </mergeCells>
  <conditionalFormatting sqref="X1:X1048576 AA11">
    <cfRule type="cellIs" dxfId="2" priority="2" operator="greaterThan">
      <formula>0</formula>
    </cfRule>
  </conditionalFormatting>
  <conditionalFormatting sqref="AA14:AA196">
    <cfRule type="cellIs" dxfId="1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5" fitToHeight="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view="pageBreakPreview" topLeftCell="A422" zoomScale="91" zoomScaleNormal="77" zoomScaleSheetLayoutView="91" workbookViewId="0">
      <selection activeCell="G444" sqref="G444:H44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style="369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370"/>
      <c r="L1" s="116"/>
      <c r="M1" s="116"/>
      <c r="N1" s="116"/>
    </row>
    <row r="2" spans="2:14" ht="21" thickBot="1" x14ac:dyDescent="0.3">
      <c r="B2" s="405" t="s">
        <v>986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508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509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509"/>
      <c r="L7" s="21"/>
      <c r="M7" s="21"/>
      <c r="N7" s="409"/>
    </row>
    <row r="8" spans="2:14" ht="17.25" thickBot="1" x14ac:dyDescent="0.3">
      <c r="B8" s="419">
        <f>'BOLETIM DE MEDIÇÃO 07'!B8:C8</f>
        <v>45520</v>
      </c>
      <c r="C8" s="420"/>
      <c r="D8" s="23" t="str">
        <f>'BOLETIM DE MEDIÇÃO 07'!D8</f>
        <v>10/05/2024 a 16/08/2024</v>
      </c>
      <c r="E8" s="421">
        <f>'BOLETIM DE MEDIÇÃO 07'!E8</f>
        <v>40632.783196400007</v>
      </c>
      <c r="F8" s="422"/>
      <c r="G8" s="423"/>
      <c r="H8" s="424">
        <f>'BOLETIM DE MEDIÇÃO 05'!H8</f>
        <v>274592.67562904983</v>
      </c>
      <c r="I8" s="425"/>
      <c r="J8" s="426" t="s">
        <v>966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510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511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511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404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404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404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404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404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404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404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404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404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404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404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404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404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404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404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404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404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404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404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404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404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404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404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404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404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404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64">
        <v>1</v>
      </c>
      <c r="G70" s="471">
        <f>43.05</f>
        <v>43.05</v>
      </c>
      <c r="H70" s="472"/>
      <c r="I70" s="473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65"/>
      <c r="G71" s="474"/>
      <c r="H71" s="475"/>
      <c r="I71" s="476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68" t="s">
        <v>883</v>
      </c>
      <c r="H72" s="469"/>
      <c r="I72" s="470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66" t="s">
        <v>838</v>
      </c>
      <c r="H73" s="467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66">
        <v>9</v>
      </c>
      <c r="H74" s="467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66">
        <v>5</v>
      </c>
      <c r="H75" s="467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66">
        <f xml:space="preserve"> (13.03 * 2.7)</f>
        <v>35.180999999999997</v>
      </c>
      <c r="H76" s="467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66">
        <v>3</v>
      </c>
      <c r="H77" s="467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66">
        <v>7</v>
      </c>
      <c r="H78" s="467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66">
        <v>21</v>
      </c>
      <c r="H79" s="467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66">
        <v>27</v>
      </c>
      <c r="H80" s="467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66">
        <v>26</v>
      </c>
      <c r="H81" s="467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66">
        <v>1.6</v>
      </c>
      <c r="H82" s="467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66">
        <v>1.6</v>
      </c>
      <c r="H83" s="467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66">
        <v>45</v>
      </c>
      <c r="H84" s="467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66">
        <v>19</v>
      </c>
      <c r="H85" s="467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66">
        <v>19</v>
      </c>
      <c r="H86" s="467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66">
        <v>5</v>
      </c>
      <c r="H87" s="467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66">
        <v>14</v>
      </c>
      <c r="H88" s="467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77">
        <v>36</v>
      </c>
      <c r="H89" s="478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77">
        <v>46</v>
      </c>
      <c r="H90" s="478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66">
        <v>41</v>
      </c>
      <c r="H91" s="467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66">
        <v>27</v>
      </c>
      <c r="H92" s="467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66">
        <v>53</v>
      </c>
      <c r="H93" s="467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66">
        <f xml:space="preserve"> (2.65*1.8)</f>
        <v>4.7699999999999996</v>
      </c>
      <c r="H94" s="467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66">
        <v>30</v>
      </c>
      <c r="H95" s="467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66">
        <v>30</v>
      </c>
      <c r="H96" s="467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66">
        <v>14</v>
      </c>
      <c r="H97" s="467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66">
        <v>14</v>
      </c>
      <c r="H98" s="467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66">
        <v>20</v>
      </c>
      <c r="H99" s="467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66">
        <v>3</v>
      </c>
      <c r="H100" s="467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66">
        <v>4</v>
      </c>
      <c r="H101" s="467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66">
        <v>12</v>
      </c>
      <c r="H102" s="467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66">
        <v>20</v>
      </c>
      <c r="H103" s="467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66">
        <v>4</v>
      </c>
      <c r="H104" s="467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66">
        <v>5</v>
      </c>
      <c r="H105" s="467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66">
        <f>1184.23-SUM(G74:H105)</f>
        <v>582.07900000000006</v>
      </c>
      <c r="H106" s="467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66"/>
      <c r="H107" s="467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7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5"/>
      <c r="I172" s="446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7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7">
        <f>(2*12)+(2*3.79)+(2*8.94)+(2*6.27)+ 1.39+0.99 +(2*1.85)+(2*1.7)+ (2*1.35)</f>
        <v>74.180000000000007</v>
      </c>
      <c r="H174" s="448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7">
        <f>(2*10.92)+(2*10.92)+ 1.3 + 1.1</f>
        <v>46.08</v>
      </c>
      <c r="H175" s="448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7">
        <f>(2*1.87)+(2*1.87)</f>
        <v>7.48</v>
      </c>
      <c r="H176" s="448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7">
        <f>(2*6.55)+(2*6.3)+1.75+1.35+1.19</f>
        <v>29.990000000000002</v>
      </c>
      <c r="H177" s="448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7">
        <f>(2*8.39)+(2*1.7)+ 1.1+ 3.13 + (2*5.24)+ (2*3.11)</f>
        <v>41.11</v>
      </c>
      <c r="H178" s="448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7"/>
      <c r="H179" s="448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7"/>
      <c r="H180" s="448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7"/>
      <c r="H181" s="448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7"/>
      <c r="H182" s="448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7"/>
      <c r="H183" s="448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7"/>
      <c r="H184" s="448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7"/>
      <c r="H185" s="448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7"/>
      <c r="H186" s="448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7"/>
      <c r="H187" s="448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7"/>
      <c r="H188" s="448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7"/>
      <c r="H189" s="448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7"/>
      <c r="H190" s="448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7"/>
      <c r="H191" s="448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7"/>
      <c r="H192" s="448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7"/>
      <c r="H193" s="448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7"/>
      <c r="H194" s="448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7"/>
      <c r="H195" s="448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7"/>
      <c r="H196" s="448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7"/>
      <c r="H197" s="448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7"/>
      <c r="H198" s="448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7"/>
      <c r="H199" s="448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4"/>
      <c r="I201" s="155">
        <v>0.39500000000000002</v>
      </c>
      <c r="J201" s="82"/>
      <c r="K201" s="404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4"/>
      <c r="I202" s="155">
        <v>0.39500000000000002</v>
      </c>
      <c r="J202" s="82"/>
      <c r="K202" s="404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4"/>
      <c r="I203" s="155">
        <v>0.39500000000000002</v>
      </c>
      <c r="J203" s="82"/>
      <c r="K203" s="404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4"/>
      <c r="I204" s="155">
        <v>0.39500000000000002</v>
      </c>
      <c r="J204" s="82"/>
      <c r="K204" s="404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4"/>
      <c r="I205" s="155">
        <v>0.39500000000000002</v>
      </c>
      <c r="J205" s="82"/>
      <c r="K205" s="404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4"/>
      <c r="I206" s="155">
        <v>0.39500000000000002</v>
      </c>
      <c r="J206" s="82"/>
      <c r="K206" s="404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4"/>
      <c r="I207" s="155">
        <v>0.39500000000000002</v>
      </c>
      <c r="J207" s="82"/>
      <c r="K207" s="404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5"/>
      <c r="I208" s="446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5"/>
      <c r="I209" s="446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7" t="s">
        <v>679</v>
      </c>
      <c r="H217" s="448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4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4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4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4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4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4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7" t="s">
        <v>686</v>
      </c>
      <c r="H224" s="448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4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4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7" t="s">
        <v>689</v>
      </c>
      <c r="H227" s="448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4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7" t="s">
        <v>691</v>
      </c>
      <c r="H229" s="448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4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4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7" t="s">
        <v>694</v>
      </c>
      <c r="H232" s="448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4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4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4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4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4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4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4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7" t="s">
        <v>702</v>
      </c>
      <c r="H240" s="448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4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4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4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4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4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4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4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5"/>
      <c r="I248" s="446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5"/>
      <c r="I249" s="446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60" t="s">
        <v>874</v>
      </c>
      <c r="H257" s="461"/>
      <c r="I257" s="462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5"/>
      <c r="I258" s="446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5"/>
      <c r="I259" s="446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5"/>
      <c r="I260" s="446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5"/>
      <c r="I261" s="446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5"/>
      <c r="I262" s="446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7" t="s">
        <v>647</v>
      </c>
      <c r="H263" s="448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4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4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4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4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4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4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4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4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4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4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4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4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4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4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4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4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4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4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4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4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4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4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4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4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4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4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4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4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4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4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7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4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4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4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4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4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4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4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5"/>
      <c r="I303" s="446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7" t="s">
        <v>628</v>
      </c>
      <c r="H306" s="448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4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4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4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4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4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4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4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4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4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4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4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4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4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4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4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4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4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4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4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4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4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4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4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5"/>
      <c r="I330" s="446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7" t="s">
        <v>628</v>
      </c>
      <c r="H331" s="448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4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4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4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4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4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4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4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7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5"/>
      <c r="I340" s="446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5"/>
      <c r="I341" s="446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7" t="s">
        <v>706</v>
      </c>
      <c r="H350" s="448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4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4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4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4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4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4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4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4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4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4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4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4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4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4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4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4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4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4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4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4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4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4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4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4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4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4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4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4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4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4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3.5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07'!O41-'MEMORIAL DE CALCULO 07'!K384</f>
        <v>261.94400000000002</v>
      </c>
      <c r="K384" s="81">
        <f>G385</f>
        <v>32.747</v>
      </c>
      <c r="L384" s="82">
        <f t="shared" si="0"/>
        <v>294.69100000000003</v>
      </c>
      <c r="M384" s="82">
        <f>'BOLETIM DE MEDIÇÃO 05'!G41</f>
        <v>435.33</v>
      </c>
      <c r="N384" s="86">
        <f t="shared" si="1"/>
        <v>140.63899999999995</v>
      </c>
    </row>
    <row r="385" spans="2:14" ht="18" customHeight="1" x14ac:dyDescent="0.25">
      <c r="B385" s="49"/>
      <c r="C385" s="63"/>
      <c r="D385" s="143" t="s">
        <v>974</v>
      </c>
      <c r="E385" s="64"/>
      <c r="F385" s="94">
        <v>1</v>
      </c>
      <c r="G385" s="443">
        <v>32.747</v>
      </c>
      <c r="H385" s="445"/>
      <c r="I385" s="446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98"/>
      <c r="H386" s="399"/>
      <c r="I386" s="318"/>
      <c r="J386" s="99">
        <f>'BOLETIM DE MEDIÇÃO 07'!O42-'MEMORIAL DE CALCULO 07'!K386</f>
        <v>-88.64</v>
      </c>
      <c r="K386" s="81">
        <f>K387</f>
        <v>88.64</v>
      </c>
      <c r="L386" s="82">
        <f>J386+K386</f>
        <v>0</v>
      </c>
      <c r="M386" s="82">
        <f>'BOLETIM DE MEDIÇÃO 07'!G42</f>
        <v>111.15</v>
      </c>
      <c r="N386" s="86">
        <f>M386-L386</f>
        <v>111.15</v>
      </c>
    </row>
    <row r="387" spans="2:14" ht="18" hidden="1" customHeight="1" x14ac:dyDescent="0.25">
      <c r="B387" s="49"/>
      <c r="C387" s="63"/>
      <c r="D387" s="143" t="s">
        <v>968</v>
      </c>
      <c r="E387" s="64"/>
      <c r="F387" s="94">
        <v>1</v>
      </c>
      <c r="G387" s="443">
        <v>88.64</v>
      </c>
      <c r="H387" s="445"/>
      <c r="I387" s="446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98"/>
      <c r="H388" s="399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969</v>
      </c>
      <c r="E390" s="64"/>
      <c r="F390" s="94">
        <v>1</v>
      </c>
      <c r="G390" s="443">
        <f>0.6*357.5</f>
        <v>214.5</v>
      </c>
      <c r="H390" s="445"/>
      <c r="I390" s="446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434">
        <f>0.4*39.1</f>
        <v>15.64</v>
      </c>
      <c r="H392" s="435"/>
      <c r="I392" s="436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96" customFormat="1" ht="22.9" hidden="1" customHeight="1" x14ac:dyDescent="0.25">
      <c r="B394" s="388"/>
      <c r="C394" s="389"/>
      <c r="D394" s="390" t="s">
        <v>953</v>
      </c>
      <c r="E394" s="391"/>
      <c r="F394" s="392">
        <v>1</v>
      </c>
      <c r="G394" s="496">
        <f>0.6* 692.8</f>
        <v>415.67999999999995</v>
      </c>
      <c r="H394" s="497"/>
      <c r="I394" s="498"/>
      <c r="J394" s="393"/>
      <c r="K394" s="394">
        <f>F394*G394</f>
        <v>415.67999999999995</v>
      </c>
      <c r="L394" s="394"/>
      <c r="M394" s="394"/>
      <c r="N394" s="395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96" customFormat="1" ht="19.899999999999999" hidden="1" customHeight="1" x14ac:dyDescent="0.25">
      <c r="B396" s="388"/>
      <c r="C396" s="389"/>
      <c r="D396" s="390" t="s">
        <v>953</v>
      </c>
      <c r="E396" s="391"/>
      <c r="F396" s="397">
        <v>1</v>
      </c>
      <c r="G396" s="496">
        <f>0.6* 95</f>
        <v>57</v>
      </c>
      <c r="H396" s="497"/>
      <c r="I396" s="498"/>
      <c r="J396" s="393"/>
      <c r="K396" s="394">
        <f>F396*G396</f>
        <v>57</v>
      </c>
      <c r="L396" s="394"/>
      <c r="M396" s="394"/>
      <c r="N396" s="395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07'!O48-'MEMORIAL DE CALCULO 07'!K397</f>
        <v>102.3</v>
      </c>
      <c r="K397" s="81">
        <f>K398</f>
        <v>28.2</v>
      </c>
      <c r="L397" s="82">
        <f t="shared" si="0"/>
        <v>130.5</v>
      </c>
      <c r="M397" s="82">
        <f>'BOLETIM DE MEDIÇÃO 05'!G48</f>
        <v>158.69999999999999</v>
      </c>
      <c r="N397" s="86">
        <f t="shared" si="1"/>
        <v>28.199999999999989</v>
      </c>
    </row>
    <row r="398" spans="2:14" hidden="1" x14ac:dyDescent="0.25">
      <c r="B398" s="49"/>
      <c r="C398" s="57"/>
      <c r="D398" s="143" t="s">
        <v>970</v>
      </c>
      <c r="E398" s="64"/>
      <c r="F398" s="105">
        <v>1</v>
      </c>
      <c r="G398" s="443">
        <v>28.2</v>
      </c>
      <c r="H398" s="445"/>
      <c r="I398" s="446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07'!O49-'MEMORIAL DE CALCULO 07'!K399</f>
        <v>144.69999999999999</v>
      </c>
      <c r="K399" s="81">
        <f>K400</f>
        <v>12.9</v>
      </c>
      <c r="L399" s="82">
        <f t="shared" si="0"/>
        <v>157.6</v>
      </c>
      <c r="M399" s="82">
        <f>'BOLETIM DE MEDIÇÃO 05'!G49</f>
        <v>170.5</v>
      </c>
      <c r="N399" s="86">
        <f t="shared" si="1"/>
        <v>12.900000000000006</v>
      </c>
    </row>
    <row r="400" spans="2:14" hidden="1" x14ac:dyDescent="0.25">
      <c r="B400" s="49"/>
      <c r="C400" s="57"/>
      <c r="D400" s="143" t="s">
        <v>970</v>
      </c>
      <c r="E400" s="64"/>
      <c r="F400" s="105">
        <v>1</v>
      </c>
      <c r="G400" s="443">
        <v>12.9</v>
      </c>
      <c r="H400" s="445"/>
      <c r="I400" s="446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07'!O50-'MEMORIAL DE CALCULO 07'!K401</f>
        <v>238.9</v>
      </c>
      <c r="K401" s="81">
        <f>K402</f>
        <v>20.100000000000001</v>
      </c>
      <c r="L401" s="82">
        <f t="shared" si="0"/>
        <v>259</v>
      </c>
      <c r="M401" s="82">
        <f>'BOLETIM DE MEDIÇÃO 05'!G50</f>
        <v>279.10000000000002</v>
      </c>
      <c r="N401" s="86">
        <f t="shared" si="1"/>
        <v>20.100000000000023</v>
      </c>
    </row>
    <row r="402" spans="2:14" ht="18" hidden="1" customHeight="1" x14ac:dyDescent="0.25">
      <c r="B402" s="49"/>
      <c r="C402" s="57"/>
      <c r="D402" s="143" t="s">
        <v>970</v>
      </c>
      <c r="E402" s="64"/>
      <c r="F402" s="105">
        <v>1</v>
      </c>
      <c r="G402" s="443">
        <v>20.100000000000001</v>
      </c>
      <c r="H402" s="445"/>
      <c r="I402" s="446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07'!O51-'MEMORIAL DE CALCULO 07'!K403</f>
        <v>38.83</v>
      </c>
      <c r="K403" s="81">
        <f>SUM(K404)</f>
        <v>4.84</v>
      </c>
      <c r="L403" s="82">
        <f t="shared" si="0"/>
        <v>43.67</v>
      </c>
      <c r="M403" s="82">
        <f>'BOLETIM DE MEDIÇÃO 05'!G51</f>
        <v>61.56</v>
      </c>
      <c r="N403" s="86">
        <f t="shared" si="1"/>
        <v>17.89</v>
      </c>
    </row>
    <row r="404" spans="2:14" ht="19.149999999999999" customHeight="1" x14ac:dyDescent="0.25">
      <c r="B404" s="49"/>
      <c r="C404" s="57"/>
      <c r="D404" s="143" t="s">
        <v>975</v>
      </c>
      <c r="E404" s="64"/>
      <c r="F404" s="105">
        <v>1</v>
      </c>
      <c r="G404" s="486">
        <v>4.84</v>
      </c>
      <c r="H404" s="486"/>
      <c r="I404" s="487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971</v>
      </c>
      <c r="E405" s="64"/>
      <c r="F405" s="105">
        <v>1</v>
      </c>
      <c r="G405" s="486">
        <v>9.5</v>
      </c>
      <c r="H405" s="486"/>
      <c r="I405" s="487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972</v>
      </c>
      <c r="E406" s="64"/>
      <c r="F406" s="105">
        <v>1</v>
      </c>
      <c r="G406" s="485">
        <v>2.48</v>
      </c>
      <c r="H406" s="486"/>
      <c r="I406" s="487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443">
        <f>K403</f>
        <v>4.84</v>
      </c>
      <c r="H408" s="445"/>
      <c r="I408" s="446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07'!O53-'MEMORIAL DE CALCULO 07'!K409</f>
        <v>123.1</v>
      </c>
      <c r="K409" s="81">
        <f>K410</f>
        <v>94.6</v>
      </c>
      <c r="L409" s="82">
        <f t="shared" si="0"/>
        <v>217.7</v>
      </c>
      <c r="M409" s="82">
        <f>'BOLETIM DE MEDIÇÃO 05'!G53</f>
        <v>312.3</v>
      </c>
      <c r="N409" s="86">
        <f t="shared" si="1"/>
        <v>94.600000000000023</v>
      </c>
    </row>
    <row r="410" spans="2:14" ht="18" hidden="1" customHeight="1" x14ac:dyDescent="0.25">
      <c r="B410" s="49"/>
      <c r="C410" s="57"/>
      <c r="D410" s="143" t="s">
        <v>970</v>
      </c>
      <c r="E410" s="64"/>
      <c r="F410" s="105">
        <v>1</v>
      </c>
      <c r="G410" s="443">
        <v>94.6</v>
      </c>
      <c r="H410" s="445"/>
      <c r="I410" s="446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443">
        <v>154.80000000000001</v>
      </c>
      <c r="H412" s="445"/>
      <c r="I412" s="446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973</v>
      </c>
      <c r="E415" s="64"/>
      <c r="F415" s="105">
        <v>1</v>
      </c>
      <c r="G415" s="443">
        <v>697.98</v>
      </c>
      <c r="H415" s="445"/>
      <c r="I415" s="446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99"/>
      <c r="H416" s="399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99"/>
      <c r="H417" s="399"/>
      <c r="I417" s="318"/>
      <c r="J417" s="99">
        <f>'BOLETIM DE MEDIÇÃO 07'!O63-'MEMORIAL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07'!G63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973</v>
      </c>
      <c r="E418" s="64"/>
      <c r="F418" s="105">
        <v>1</v>
      </c>
      <c r="G418" s="443">
        <v>351.87</v>
      </c>
      <c r="H418" s="445"/>
      <c r="I418" s="446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99"/>
      <c r="H419" s="399"/>
      <c r="I419" s="318"/>
      <c r="J419" s="99"/>
      <c r="K419" s="82"/>
      <c r="L419" s="82"/>
      <c r="M419" s="82"/>
      <c r="N419" s="86"/>
    </row>
    <row r="420" spans="2:14" x14ac:dyDescent="0.25">
      <c r="B420" s="356" t="s">
        <v>208</v>
      </c>
      <c r="C420" s="357" t="s">
        <v>209</v>
      </c>
      <c r="D420" s="344"/>
      <c r="E420" s="64"/>
      <c r="F420" s="105"/>
      <c r="G420" s="399"/>
      <c r="H420" s="399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99"/>
      <c r="H421" s="399"/>
      <c r="I421" s="318"/>
      <c r="J421" s="99">
        <f>'BOLETIM DE MEDIÇÃO 07'!O82-'MEMORIAL DE CALCULO 07'!K421</f>
        <v>0</v>
      </c>
      <c r="K421" s="81">
        <f>K422</f>
        <v>320.44</v>
      </c>
      <c r="L421" s="82">
        <f>J421+K421</f>
        <v>320.44</v>
      </c>
      <c r="M421" s="82">
        <f>'BOLETIM DE MEDIÇÃO 07'!G83</f>
        <v>466.37</v>
      </c>
      <c r="N421" s="86">
        <f>M421-L421</f>
        <v>145.93</v>
      </c>
    </row>
    <row r="422" spans="2:14" x14ac:dyDescent="0.25">
      <c r="B422" s="49"/>
      <c r="C422" s="57"/>
      <c r="D422" s="344" t="s">
        <v>976</v>
      </c>
      <c r="E422" s="64"/>
      <c r="F422" s="105">
        <v>1</v>
      </c>
      <c r="G422" s="443">
        <v>320.44</v>
      </c>
      <c r="H422" s="445"/>
      <c r="I422" s="446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99"/>
      <c r="H423" s="399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434">
        <v>150</v>
      </c>
      <c r="H426" s="435"/>
      <c r="I426" s="436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56" t="s">
        <v>312</v>
      </c>
      <c r="C431" s="35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07'!O119-'MEMORIAL DE CALCULO 07'!K432</f>
        <v>0</v>
      </c>
      <c r="K432" s="81">
        <f>SUM(K434:K445)</f>
        <v>10.200000000000001</v>
      </c>
      <c r="L432" s="82">
        <f>J432+K432</f>
        <v>10.200000000000001</v>
      </c>
      <c r="M432" s="82">
        <f>'BOLETIM DE MEDIÇÃO 07'!G119</f>
        <v>31.73</v>
      </c>
      <c r="N432" s="86">
        <f>M432-L432</f>
        <v>21.53</v>
      </c>
    </row>
    <row r="433" spans="2:14" x14ac:dyDescent="0.25">
      <c r="B433" s="50"/>
      <c r="C433" s="66"/>
      <c r="D433" s="187" t="s">
        <v>977</v>
      </c>
      <c r="E433" s="69"/>
      <c r="F433" s="312"/>
      <c r="G433" s="434" t="s">
        <v>838</v>
      </c>
      <c r="H433" s="437"/>
      <c r="I433" s="401" t="s">
        <v>983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400" t="s">
        <v>978</v>
      </c>
      <c r="E434" s="69"/>
      <c r="F434" s="312">
        <v>1</v>
      </c>
      <c r="G434" s="434">
        <v>9</v>
      </c>
      <c r="H434" s="435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400" t="s">
        <v>840</v>
      </c>
      <c r="E435" s="69"/>
      <c r="F435" s="97">
        <v>1</v>
      </c>
      <c r="G435" s="434">
        <v>7</v>
      </c>
      <c r="H435" s="437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400" t="s">
        <v>979</v>
      </c>
      <c r="E436" s="69"/>
      <c r="F436" s="97">
        <v>1</v>
      </c>
      <c r="G436" s="434">
        <v>3</v>
      </c>
      <c r="H436" s="437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400" t="s">
        <v>841</v>
      </c>
      <c r="E437" s="69"/>
      <c r="F437" s="97">
        <v>1</v>
      </c>
      <c r="G437" s="434">
        <v>21</v>
      </c>
      <c r="H437" s="437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400" t="s">
        <v>849</v>
      </c>
      <c r="E438" s="69"/>
      <c r="F438" s="312">
        <v>1</v>
      </c>
      <c r="G438" s="435">
        <v>19</v>
      </c>
      <c r="H438" s="437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400" t="s">
        <v>980</v>
      </c>
      <c r="E439" s="69"/>
      <c r="F439" s="97">
        <v>1</v>
      </c>
      <c r="G439" s="434">
        <v>19</v>
      </c>
      <c r="H439" s="437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400" t="s">
        <v>981</v>
      </c>
      <c r="E440" s="69"/>
      <c r="F440" s="312">
        <v>1</v>
      </c>
      <c r="G440" s="435">
        <v>46</v>
      </c>
      <c r="H440" s="437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400" t="s">
        <v>846</v>
      </c>
      <c r="E441" s="69"/>
      <c r="F441" s="312">
        <v>1</v>
      </c>
      <c r="G441" s="434">
        <v>27</v>
      </c>
      <c r="H441" s="435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400" t="s">
        <v>842</v>
      </c>
      <c r="E442" s="69"/>
      <c r="F442" s="312">
        <v>1</v>
      </c>
      <c r="G442" s="434">
        <v>26</v>
      </c>
      <c r="H442" s="435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400" t="s">
        <v>847</v>
      </c>
      <c r="E443" s="69"/>
      <c r="F443" s="312">
        <v>1</v>
      </c>
      <c r="G443" s="434">
        <v>27</v>
      </c>
      <c r="H443" s="437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513" t="s">
        <v>988</v>
      </c>
      <c r="E444" s="69"/>
      <c r="F444" s="312">
        <v>1</v>
      </c>
      <c r="G444" s="434"/>
      <c r="H444" s="437"/>
      <c r="I444" s="130">
        <v>0.05</v>
      </c>
      <c r="J444" s="99"/>
      <c r="K444" s="82">
        <f t="shared" si="25"/>
        <v>0</v>
      </c>
      <c r="L444" s="82"/>
      <c r="M444" s="82"/>
      <c r="N444" s="86"/>
    </row>
    <row r="445" spans="2:14" x14ac:dyDescent="0.25">
      <c r="B445" s="50"/>
      <c r="C445" s="66"/>
      <c r="D445" s="513" t="s">
        <v>988</v>
      </c>
      <c r="E445" s="69"/>
      <c r="F445" s="312">
        <v>1</v>
      </c>
      <c r="G445" s="434"/>
      <c r="H445" s="435"/>
      <c r="I445" s="130">
        <v>0.05</v>
      </c>
      <c r="J445" s="99"/>
      <c r="K445" s="82">
        <f t="shared" si="25"/>
        <v>0</v>
      </c>
      <c r="L445" s="82"/>
      <c r="M445" s="82"/>
      <c r="N445" s="86"/>
    </row>
    <row r="446" spans="2:14" hidden="1" x14ac:dyDescent="0.25">
      <c r="B446" s="50"/>
      <c r="C446" s="66"/>
      <c r="D446" s="400" t="s">
        <v>856</v>
      </c>
      <c r="E446" s="69"/>
      <c r="F446" s="312"/>
      <c r="G446" s="434">
        <v>30</v>
      </c>
      <c r="H446" s="435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400" t="s">
        <v>982</v>
      </c>
      <c r="E447" s="69"/>
      <c r="F447" s="312"/>
      <c r="G447" s="434">
        <v>30</v>
      </c>
      <c r="H447" s="437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07'!O138-'MEMORIAL DE CALCULO 07'!K449</f>
        <v>0</v>
      </c>
      <c r="K449" s="81">
        <f>K450</f>
        <v>0</v>
      </c>
      <c r="L449" s="82">
        <f>J449+K449</f>
        <v>0</v>
      </c>
      <c r="M449" s="206">
        <v>98.77</v>
      </c>
      <c r="N449" s="86">
        <f>M449-L449</f>
        <v>98.77</v>
      </c>
    </row>
    <row r="450" spans="2:14" x14ac:dyDescent="0.25">
      <c r="B450" s="203"/>
      <c r="C450" s="211"/>
      <c r="D450" s="513" t="s">
        <v>988</v>
      </c>
      <c r="E450" s="217"/>
      <c r="F450" s="312">
        <v>1</v>
      </c>
      <c r="G450" s="434"/>
      <c r="H450" s="435"/>
      <c r="I450" s="436"/>
      <c r="J450" s="99"/>
      <c r="K450" s="82">
        <f>G450</f>
        <v>0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07'!O139-'MEMORIAL DE CALCULO 07'!K452</f>
        <v>0</v>
      </c>
      <c r="K452" s="81">
        <f>K453</f>
        <v>0</v>
      </c>
      <c r="L452" s="82">
        <f t="shared" ref="L452:L512" si="26">J452+K452</f>
        <v>0</v>
      </c>
      <c r="M452" s="206">
        <v>62.17</v>
      </c>
      <c r="N452" s="86">
        <f>M452-L452</f>
        <v>62.17</v>
      </c>
    </row>
    <row r="453" spans="2:14" x14ac:dyDescent="0.25">
      <c r="B453" s="203"/>
      <c r="C453" s="211"/>
      <c r="D453" s="513" t="s">
        <v>988</v>
      </c>
      <c r="E453" s="217"/>
      <c r="F453" s="312">
        <v>1</v>
      </c>
      <c r="G453" s="434"/>
      <c r="H453" s="435"/>
      <c r="I453" s="436"/>
      <c r="J453" s="99"/>
      <c r="K453" s="82">
        <f>G453</f>
        <v>0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07'!O140-'MEMORIAL DE CALCULO 07'!K455</f>
        <v>0</v>
      </c>
      <c r="K455" s="81">
        <f>K456</f>
        <v>0</v>
      </c>
      <c r="L455" s="82">
        <f t="shared" si="26"/>
        <v>0</v>
      </c>
      <c r="M455" s="206">
        <v>24.75</v>
      </c>
      <c r="N455" s="86">
        <f>M455-L455</f>
        <v>24.75</v>
      </c>
    </row>
    <row r="456" spans="2:14" x14ac:dyDescent="0.25">
      <c r="B456" s="203"/>
      <c r="C456" s="211"/>
      <c r="D456" s="513" t="s">
        <v>988</v>
      </c>
      <c r="E456" s="217"/>
      <c r="F456" s="312">
        <v>1</v>
      </c>
      <c r="G456" s="434"/>
      <c r="H456" s="435"/>
      <c r="I456" s="436"/>
      <c r="J456" s="99"/>
      <c r="K456" s="82">
        <f>G456</f>
        <v>0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07'!O141-'MEMORIAL DE CALCULO 07'!K458</f>
        <v>0</v>
      </c>
      <c r="K458" s="81">
        <f>K459</f>
        <v>0</v>
      </c>
      <c r="L458" s="82">
        <f t="shared" si="26"/>
        <v>0</v>
      </c>
      <c r="M458" s="206">
        <v>25.92</v>
      </c>
      <c r="N458" s="86">
        <f>M458-L458</f>
        <v>25.92</v>
      </c>
    </row>
    <row r="459" spans="2:14" x14ac:dyDescent="0.25">
      <c r="B459" s="203"/>
      <c r="C459" s="211"/>
      <c r="D459" s="513" t="s">
        <v>988</v>
      </c>
      <c r="E459" s="217"/>
      <c r="F459" s="312">
        <v>1</v>
      </c>
      <c r="G459" s="434"/>
      <c r="H459" s="435"/>
      <c r="I459" s="436"/>
      <c r="J459" s="99"/>
      <c r="K459" s="82">
        <f>G459</f>
        <v>0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07'!O142-'MEMORIAL DE CALCULO 07'!K461</f>
        <v>0</v>
      </c>
      <c r="K461" s="81">
        <f>K462</f>
        <v>0</v>
      </c>
      <c r="L461" s="82">
        <f t="shared" si="26"/>
        <v>0</v>
      </c>
      <c r="M461" s="206">
        <v>10</v>
      </c>
      <c r="N461" s="86">
        <f>M461-L461</f>
        <v>10</v>
      </c>
    </row>
    <row r="462" spans="2:14" x14ac:dyDescent="0.25">
      <c r="B462" s="203"/>
      <c r="C462" s="211"/>
      <c r="D462" s="513" t="s">
        <v>988</v>
      </c>
      <c r="E462" s="217"/>
      <c r="F462" s="312">
        <v>1</v>
      </c>
      <c r="G462" s="434"/>
      <c r="H462" s="435"/>
      <c r="I462" s="436"/>
      <c r="J462" s="99"/>
      <c r="K462" s="82">
        <f>G462</f>
        <v>0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07'!O143-'MEMORIAL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513" t="s">
        <v>988</v>
      </c>
      <c r="E465" s="217"/>
      <c r="F465" s="312">
        <v>1</v>
      </c>
      <c r="G465" s="434"/>
      <c r="H465" s="435"/>
      <c r="I465" s="436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07'!O144-'MEMORIAL DE CALCULO 07'!K467</f>
        <v>0</v>
      </c>
      <c r="K467" s="81">
        <f>K468</f>
        <v>0</v>
      </c>
      <c r="L467" s="82">
        <f t="shared" si="26"/>
        <v>0</v>
      </c>
      <c r="M467" s="206">
        <v>6</v>
      </c>
      <c r="N467" s="86">
        <f>M467-L467</f>
        <v>6</v>
      </c>
    </row>
    <row r="468" spans="2:14" x14ac:dyDescent="0.25">
      <c r="B468" s="203"/>
      <c r="C468" s="211"/>
      <c r="D468" s="513" t="s">
        <v>988</v>
      </c>
      <c r="E468" s="217"/>
      <c r="F468" s="312">
        <v>1</v>
      </c>
      <c r="G468" s="434"/>
      <c r="H468" s="435"/>
      <c r="I468" s="436"/>
      <c r="J468" s="99"/>
      <c r="K468" s="82">
        <f>G468</f>
        <v>0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07'!O145-'MEMORIAL DE CALCULO 07'!K470</f>
        <v>0</v>
      </c>
      <c r="K470" s="82"/>
      <c r="L470" s="82">
        <f t="shared" si="26"/>
        <v>0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07'!O146-'MEMORIAL DE CALCULO 07'!K473</f>
        <v>0</v>
      </c>
      <c r="K473" s="82"/>
      <c r="L473" s="82">
        <f t="shared" si="26"/>
        <v>0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07'!O147-'MEMORIAL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07'!O148-'MEMORIAL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07'!O149-'MEMORIAL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07'!O150-'MEMORIAL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07'!O151-'MEMORIAL DE CALCULO 07'!K488</f>
        <v>0</v>
      </c>
      <c r="K488" s="82"/>
      <c r="L488" s="82">
        <f t="shared" si="26"/>
        <v>0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07'!O152-'MEMORIAL DE CALCULO 07'!K491</f>
        <v>0</v>
      </c>
      <c r="K491" s="82"/>
      <c r="L491" s="82">
        <f t="shared" si="26"/>
        <v>0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07'!O153-'MEMORIAL DE CALCULO 07'!K494</f>
        <v>0</v>
      </c>
      <c r="K494" s="82"/>
      <c r="L494" s="82">
        <f t="shared" si="26"/>
        <v>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07'!O154-'MEMORIAL DE CALCULO 07'!K497</f>
        <v>0</v>
      </c>
      <c r="K497" s="81">
        <f>K498</f>
        <v>0</v>
      </c>
      <c r="L497" s="82">
        <f t="shared" si="26"/>
        <v>0</v>
      </c>
      <c r="M497" s="206">
        <v>38.85</v>
      </c>
      <c r="N497" s="86"/>
    </row>
    <row r="498" spans="2:14" x14ac:dyDescent="0.25">
      <c r="B498" s="203"/>
      <c r="C498" s="211"/>
      <c r="D498" s="513" t="s">
        <v>988</v>
      </c>
      <c r="E498" s="217"/>
      <c r="F498" s="312">
        <v>1</v>
      </c>
      <c r="G498" s="434"/>
      <c r="H498" s="435"/>
      <c r="I498" s="436"/>
      <c r="J498" s="99"/>
      <c r="K498" s="82">
        <f>G498</f>
        <v>0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07'!O155-'MEMORIAL DE CALCULO 07'!K500</f>
        <v>0</v>
      </c>
      <c r="K500" s="81">
        <f>K501</f>
        <v>0</v>
      </c>
      <c r="L500" s="82">
        <f t="shared" si="26"/>
        <v>0</v>
      </c>
      <c r="M500" s="206">
        <v>46.51</v>
      </c>
      <c r="N500" s="86"/>
    </row>
    <row r="501" spans="2:14" x14ac:dyDescent="0.25">
      <c r="B501" s="203"/>
      <c r="C501" s="211"/>
      <c r="D501" s="513" t="s">
        <v>988</v>
      </c>
      <c r="E501" s="217"/>
      <c r="F501" s="312">
        <v>1</v>
      </c>
      <c r="G501" s="434"/>
      <c r="H501" s="435"/>
      <c r="I501" s="436"/>
      <c r="J501" s="99"/>
      <c r="K501" s="82">
        <f>G501</f>
        <v>0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07'!O156-'MEMORIAL DE CALCULO 07'!K503</f>
        <v>0</v>
      </c>
      <c r="K503" s="82"/>
      <c r="L503" s="82">
        <f t="shared" si="26"/>
        <v>0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07'!O157-'MEMORIAL DE CALCULO 07'!K506</f>
        <v>0</v>
      </c>
      <c r="K506" s="81">
        <f>K507</f>
        <v>6</v>
      </c>
      <c r="L506" s="82">
        <f t="shared" si="26"/>
        <v>6</v>
      </c>
      <c r="M506" s="206">
        <v>132.77000000000001</v>
      </c>
      <c r="N506" s="86"/>
    </row>
    <row r="507" spans="2:14" x14ac:dyDescent="0.25">
      <c r="B507" s="203"/>
      <c r="C507" s="211"/>
      <c r="D507" s="512" t="s">
        <v>989</v>
      </c>
      <c r="E507" s="217"/>
      <c r="F507" s="312">
        <v>1</v>
      </c>
      <c r="G507" s="434">
        <v>6</v>
      </c>
      <c r="H507" s="435"/>
      <c r="I507" s="436"/>
      <c r="J507" s="99"/>
      <c r="K507" s="82">
        <f>G507</f>
        <v>6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07'!O158-'MEMORIAL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07'!O159-'MEMORIAL DE CALCULO 07'!K512</f>
        <v>0</v>
      </c>
      <c r="K512" s="81">
        <f>K513</f>
        <v>0</v>
      </c>
      <c r="L512" s="82">
        <f t="shared" si="26"/>
        <v>0</v>
      </c>
      <c r="M512" s="206">
        <v>43.01</v>
      </c>
      <c r="N512" s="86"/>
    </row>
    <row r="513" spans="2:14" x14ac:dyDescent="0.25">
      <c r="B513" s="50"/>
      <c r="C513" s="66"/>
      <c r="D513" s="513" t="s">
        <v>988</v>
      </c>
      <c r="E513" s="69"/>
      <c r="F513" s="312">
        <v>1</v>
      </c>
      <c r="G513" s="434"/>
      <c r="H513" s="435"/>
      <c r="I513" s="436"/>
      <c r="J513" s="99"/>
      <c r="K513" s="82">
        <f>G513</f>
        <v>0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435"/>
      <c r="H543" s="435"/>
      <c r="I543" s="436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76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434">
        <f>65.42</f>
        <v>65.42</v>
      </c>
      <c r="H545" s="437"/>
      <c r="I545" s="105">
        <v>3.1</v>
      </c>
      <c r="J545" s="99"/>
      <c r="K545" s="376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73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493" t="s">
        <v>836</v>
      </c>
      <c r="H549" s="494"/>
      <c r="I549" s="495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75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75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</mergeCells>
  <conditionalFormatting sqref="K1:K1048576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394" zoomScaleNormal="100" workbookViewId="0">
      <selection activeCell="B410" sqref="B41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05" t="s">
        <v>956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7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08"/>
    </row>
    <row r="4" spans="2:14" ht="16.5" x14ac:dyDescent="0.25">
      <c r="B4" s="411" t="s">
        <v>542</v>
      </c>
      <c r="C4" s="412"/>
      <c r="D4" s="412"/>
      <c r="E4" s="412"/>
      <c r="F4" s="412"/>
      <c r="G4" s="412"/>
      <c r="H4" s="412"/>
      <c r="I4" s="16" t="s">
        <v>544</v>
      </c>
      <c r="J4" s="413">
        <v>1240378.43</v>
      </c>
      <c r="K4" s="414"/>
      <c r="L4" s="414"/>
      <c r="M4" s="414"/>
      <c r="N4" s="409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09"/>
    </row>
    <row r="6" spans="2:14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7" t="s">
        <v>592</v>
      </c>
      <c r="J6" s="418"/>
      <c r="K6" s="418"/>
      <c r="L6" s="418"/>
      <c r="M6" s="418"/>
      <c r="N6" s="409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09"/>
    </row>
    <row r="8" spans="2:14" ht="17.25" thickBot="1" x14ac:dyDescent="0.3">
      <c r="B8" s="419">
        <v>45453</v>
      </c>
      <c r="C8" s="420"/>
      <c r="D8" s="23" t="s">
        <v>957</v>
      </c>
      <c r="E8" s="421">
        <f>'BOLETIM DE MEDIÇÃO 07'!W196</f>
        <v>70347.038280000008</v>
      </c>
      <c r="F8" s="422"/>
      <c r="G8" s="423"/>
      <c r="H8" s="424">
        <f>'BOLETIM DE MEDIÇÃO 05'!H8</f>
        <v>274592.67562904983</v>
      </c>
      <c r="I8" s="425"/>
      <c r="J8" s="426" t="s">
        <v>955</v>
      </c>
      <c r="K8" s="427"/>
      <c r="L8" s="427"/>
      <c r="M8" s="427"/>
      <c r="N8" s="410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38" t="s">
        <v>557</v>
      </c>
      <c r="H10" s="439"/>
      <c r="I10" s="439"/>
      <c r="J10" s="440" t="s">
        <v>594</v>
      </c>
      <c r="K10" s="441"/>
      <c r="L10" s="441"/>
      <c r="M10" s="441"/>
      <c r="N10" s="442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5"/>
      <c r="I20" s="446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5"/>
      <c r="I22" s="446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64">
        <v>1</v>
      </c>
      <c r="G70" s="471">
        <f>43.05</f>
        <v>43.05</v>
      </c>
      <c r="H70" s="472"/>
      <c r="I70" s="473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65"/>
      <c r="G71" s="474"/>
      <c r="H71" s="475"/>
      <c r="I71" s="476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68" t="s">
        <v>883</v>
      </c>
      <c r="H72" s="469"/>
      <c r="I72" s="470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66" t="s">
        <v>838</v>
      </c>
      <c r="H73" s="467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66">
        <v>9</v>
      </c>
      <c r="H74" s="467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66">
        <v>5</v>
      </c>
      <c r="H75" s="467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66">
        <f xml:space="preserve"> (13.03 * 2.7)</f>
        <v>35.180999999999997</v>
      </c>
      <c r="H76" s="467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66">
        <v>3</v>
      </c>
      <c r="H77" s="467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66">
        <v>7</v>
      </c>
      <c r="H78" s="467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66">
        <v>21</v>
      </c>
      <c r="H79" s="467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66">
        <v>27</v>
      </c>
      <c r="H80" s="467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66">
        <v>26</v>
      </c>
      <c r="H81" s="467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66">
        <v>1.6</v>
      </c>
      <c r="H82" s="467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66">
        <v>1.6</v>
      </c>
      <c r="H83" s="467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66">
        <v>45</v>
      </c>
      <c r="H84" s="467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66">
        <v>19</v>
      </c>
      <c r="H85" s="467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66">
        <v>19</v>
      </c>
      <c r="H86" s="467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66">
        <v>5</v>
      </c>
      <c r="H87" s="467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66">
        <v>14</v>
      </c>
      <c r="H88" s="467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77">
        <v>36</v>
      </c>
      <c r="H89" s="478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77">
        <v>46</v>
      </c>
      <c r="H90" s="478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66">
        <v>41</v>
      </c>
      <c r="H91" s="467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66">
        <v>27</v>
      </c>
      <c r="H92" s="467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66">
        <v>53</v>
      </c>
      <c r="H93" s="467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66">
        <f xml:space="preserve"> (2.65*1.8)</f>
        <v>4.7699999999999996</v>
      </c>
      <c r="H94" s="467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66">
        <v>30</v>
      </c>
      <c r="H95" s="467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66">
        <v>30</v>
      </c>
      <c r="H96" s="467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66">
        <v>14</v>
      </c>
      <c r="H97" s="467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66">
        <v>14</v>
      </c>
      <c r="H98" s="467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66">
        <v>20</v>
      </c>
      <c r="H99" s="467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66">
        <v>3</v>
      </c>
      <c r="H100" s="467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66">
        <v>4</v>
      </c>
      <c r="H101" s="467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66">
        <v>12</v>
      </c>
      <c r="H102" s="467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66">
        <v>20</v>
      </c>
      <c r="H103" s="467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66">
        <v>4</v>
      </c>
      <c r="H104" s="467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66">
        <v>5</v>
      </c>
      <c r="H105" s="467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66">
        <f>1184.23-SUM(G74:H105)</f>
        <v>582.07900000000006</v>
      </c>
      <c r="H106" s="467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66"/>
      <c r="H107" s="467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7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5"/>
      <c r="I172" s="446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7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7">
        <f>(2*12)+(2*3.79)+(2*8.94)+(2*6.27)+ 1.39+0.99 +(2*1.85)+(2*1.7)+ (2*1.35)</f>
        <v>74.180000000000007</v>
      </c>
      <c r="H174" s="448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7">
        <f>(2*10.92)+(2*10.92)+ 1.3 + 1.1</f>
        <v>46.08</v>
      </c>
      <c r="H175" s="448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7">
        <f>(2*1.87)+(2*1.87)</f>
        <v>7.48</v>
      </c>
      <c r="H176" s="448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7">
        <f>(2*6.55)+(2*6.3)+1.75+1.35+1.19</f>
        <v>29.990000000000002</v>
      </c>
      <c r="H177" s="448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7">
        <f>(2*8.39)+(2*1.7)+ 1.1+ 3.13 + (2*5.24)+ (2*3.11)</f>
        <v>41.11</v>
      </c>
      <c r="H178" s="448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7"/>
      <c r="H179" s="448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7"/>
      <c r="H180" s="448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7"/>
      <c r="H181" s="448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7"/>
      <c r="H182" s="448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7"/>
      <c r="H183" s="448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7"/>
      <c r="H184" s="448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7"/>
      <c r="H185" s="448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7"/>
      <c r="H186" s="448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7"/>
      <c r="H187" s="448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7"/>
      <c r="H188" s="448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7"/>
      <c r="H189" s="448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7"/>
      <c r="H190" s="448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7"/>
      <c r="H191" s="448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7"/>
      <c r="H192" s="448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7"/>
      <c r="H193" s="448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7"/>
      <c r="H194" s="448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7"/>
      <c r="H195" s="448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7"/>
      <c r="H196" s="448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7"/>
      <c r="H197" s="448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7"/>
      <c r="H198" s="448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7"/>
      <c r="H199" s="448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4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4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4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4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4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4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4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5"/>
      <c r="I208" s="446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5"/>
      <c r="I209" s="446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7" t="s">
        <v>679</v>
      </c>
      <c r="H217" s="448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4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4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4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4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4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4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7" t="s">
        <v>686</v>
      </c>
      <c r="H224" s="448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4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4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7" t="s">
        <v>689</v>
      </c>
      <c r="H227" s="448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4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7" t="s">
        <v>691</v>
      </c>
      <c r="H229" s="448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4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4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7" t="s">
        <v>694</v>
      </c>
      <c r="H232" s="448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4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4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4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4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4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4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4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7" t="s">
        <v>702</v>
      </c>
      <c r="H240" s="448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4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4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4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4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4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4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4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5"/>
      <c r="I248" s="446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5"/>
      <c r="I249" s="446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60" t="s">
        <v>874</v>
      </c>
      <c r="H257" s="461"/>
      <c r="I257" s="462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5"/>
      <c r="I258" s="446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5"/>
      <c r="I259" s="446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5"/>
      <c r="I260" s="446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5"/>
      <c r="I261" s="446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5"/>
      <c r="I262" s="446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7" t="s">
        <v>647</v>
      </c>
      <c r="H263" s="448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4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4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4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4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4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4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4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4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4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4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4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4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4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4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4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4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4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4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4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4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4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4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4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4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4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4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4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4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4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4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7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4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4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4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4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4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4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4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5"/>
      <c r="I303" s="446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7" t="s">
        <v>628</v>
      </c>
      <c r="H306" s="448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4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4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4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4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4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4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4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4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4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4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4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4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4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4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4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4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4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4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4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4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4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4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4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5"/>
      <c r="I330" s="446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7" t="s">
        <v>628</v>
      </c>
      <c r="H331" s="448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4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4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4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4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4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4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4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7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5"/>
      <c r="I340" s="446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5"/>
      <c r="I341" s="446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7" t="s">
        <v>706</v>
      </c>
      <c r="H350" s="448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4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4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4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4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4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4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4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4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4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4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4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4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4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4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4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4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4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4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4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4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4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4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4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4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4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4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4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4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4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4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443">
        <f>0.8*327.43</f>
        <v>261.94400000000002</v>
      </c>
      <c r="H385" s="445"/>
      <c r="I385" s="446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443">
        <f>0.6*357.5</f>
        <v>214.5</v>
      </c>
      <c r="H387" s="445"/>
      <c r="I387" s="446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434">
        <f>0.4*39.1</f>
        <v>15.64</v>
      </c>
      <c r="H389" s="435"/>
      <c r="I389" s="436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96" customFormat="1" ht="22.9" customHeight="1" x14ac:dyDescent="0.25">
      <c r="B391" s="388"/>
      <c r="C391" s="389"/>
      <c r="D391" s="390" t="s">
        <v>953</v>
      </c>
      <c r="E391" s="391"/>
      <c r="F391" s="392">
        <v>1</v>
      </c>
      <c r="G391" s="496">
        <f>0.6* 692.8</f>
        <v>415.67999999999995</v>
      </c>
      <c r="H391" s="497"/>
      <c r="I391" s="498"/>
      <c r="J391" s="393"/>
      <c r="K391" s="394">
        <f>F391*G391</f>
        <v>415.67999999999995</v>
      </c>
      <c r="L391" s="394"/>
      <c r="M391" s="394"/>
      <c r="N391" s="395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96" customFormat="1" ht="19.899999999999999" customHeight="1" x14ac:dyDescent="0.25">
      <c r="B393" s="388"/>
      <c r="C393" s="389"/>
      <c r="D393" s="390" t="s">
        <v>953</v>
      </c>
      <c r="E393" s="391"/>
      <c r="F393" s="397">
        <v>1</v>
      </c>
      <c r="G393" s="496">
        <f>0.6* 95</f>
        <v>57</v>
      </c>
      <c r="H393" s="497"/>
      <c r="I393" s="498"/>
      <c r="J393" s="393"/>
      <c r="K393" s="394">
        <f>F393*G393</f>
        <v>57</v>
      </c>
      <c r="L393" s="394"/>
      <c r="M393" s="394"/>
      <c r="N393" s="395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443">
        <v>130.5</v>
      </c>
      <c r="H395" s="445"/>
      <c r="I395" s="446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443">
        <v>157.6</v>
      </c>
      <c r="H397" s="445"/>
      <c r="I397" s="446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443">
        <v>259</v>
      </c>
      <c r="H399" s="445"/>
      <c r="I399" s="446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486">
        <f>0.8*21.7</f>
        <v>17.36</v>
      </c>
      <c r="H401" s="486"/>
      <c r="I401" s="487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485">
        <v>2.04</v>
      </c>
      <c r="H402" s="486"/>
      <c r="I402" s="487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443">
        <f>K400</f>
        <v>19.399999999999999</v>
      </c>
      <c r="H404" s="445"/>
      <c r="I404" s="446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443">
        <v>217.7</v>
      </c>
      <c r="H406" s="445"/>
      <c r="I406" s="446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443">
        <v>154.80000000000001</v>
      </c>
      <c r="H408" s="445"/>
      <c r="I408" s="446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443">
        <f>0.3*997.11</f>
        <v>299.13299999999998</v>
      </c>
      <c r="H411" s="445"/>
      <c r="I411" s="446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434">
        <v>150</v>
      </c>
      <c r="H414" s="435"/>
      <c r="I414" s="436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35"/>
      <c r="H419" s="435"/>
      <c r="I419" s="436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76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434">
        <f>65.42</f>
        <v>65.42</v>
      </c>
      <c r="H421" s="437"/>
      <c r="I421" s="105">
        <v>3.1</v>
      </c>
      <c r="J421" s="99"/>
      <c r="K421" s="376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493" t="s">
        <v>836</v>
      </c>
      <c r="H425" s="494"/>
      <c r="I425" s="495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967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v>45453</v>
      </c>
      <c r="C8" s="420"/>
      <c r="D8" s="23" t="s">
        <v>957</v>
      </c>
      <c r="E8" s="421">
        <f>'BOLETIM DE MEDIÇÃO 07'!W196</f>
        <v>70347.038280000008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955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view="pageBreakPreview" topLeftCell="A79" zoomScale="60" zoomScaleNormal="57" workbookViewId="0">
      <selection activeCell="P99" sqref="P99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05" t="s">
        <v>985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7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08"/>
    </row>
    <row r="4" spans="2:26" ht="16.5" x14ac:dyDescent="0.25">
      <c r="B4" s="411" t="s">
        <v>542</v>
      </c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16" t="s">
        <v>544</v>
      </c>
      <c r="P4" s="80" t="s">
        <v>555</v>
      </c>
      <c r="Q4" s="413">
        <v>1240378.43</v>
      </c>
      <c r="R4" s="414"/>
      <c r="S4" s="414"/>
      <c r="T4" s="414"/>
      <c r="U4" s="414"/>
      <c r="V4" s="414"/>
      <c r="W4" s="414"/>
      <c r="X4" s="414"/>
      <c r="Y4" s="454"/>
      <c r="Z4" s="409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09"/>
    </row>
    <row r="6" spans="2:26" ht="16.5" x14ac:dyDescent="0.25">
      <c r="B6" s="411" t="s">
        <v>518</v>
      </c>
      <c r="C6" s="412"/>
      <c r="D6" s="415"/>
      <c r="E6" s="416" t="s">
        <v>519</v>
      </c>
      <c r="F6" s="412"/>
      <c r="G6" s="412"/>
      <c r="H6" s="412"/>
      <c r="I6" s="412"/>
      <c r="J6" s="412"/>
      <c r="K6" s="412"/>
      <c r="L6" s="412"/>
      <c r="M6" s="412"/>
      <c r="N6" s="412"/>
      <c r="O6" s="417" t="s">
        <v>592</v>
      </c>
      <c r="P6" s="418"/>
      <c r="Q6" s="418"/>
      <c r="R6" s="418"/>
      <c r="S6" s="418"/>
      <c r="T6" s="418"/>
      <c r="U6" s="418"/>
      <c r="V6" s="418"/>
      <c r="W6" s="418"/>
      <c r="X6" s="418"/>
      <c r="Y6" s="454"/>
      <c r="Z6" s="409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09"/>
    </row>
    <row r="8" spans="2:26" ht="17.25" thickBot="1" x14ac:dyDescent="0.3">
      <c r="B8" s="419">
        <f>'BOLETIM DE MEDIÇÃO 07'!B8:C8</f>
        <v>45520</v>
      </c>
      <c r="C8" s="420"/>
      <c r="D8" s="23" t="str">
        <f>'BOLETIM DE MEDIÇÃO 07'!D8</f>
        <v>10/05/2024 a 16/08/2024</v>
      </c>
      <c r="E8" s="421">
        <f>'BOLETIM DE MEDIÇÃO 07'!E8</f>
        <v>40632.783196400007</v>
      </c>
      <c r="F8" s="422"/>
      <c r="G8" s="423"/>
      <c r="H8" s="424">
        <f>'BOLETIM DE MEDIÇÃO 05'!H8</f>
        <v>274592.67562904983</v>
      </c>
      <c r="I8" s="425"/>
      <c r="J8" s="425"/>
      <c r="K8" s="425"/>
      <c r="L8" s="425"/>
      <c r="M8" s="425"/>
      <c r="N8" s="425"/>
      <c r="O8" s="425"/>
      <c r="P8" s="456"/>
      <c r="Q8" s="426" t="s">
        <v>966</v>
      </c>
      <c r="R8" s="427"/>
      <c r="S8" s="427"/>
      <c r="T8" s="427"/>
      <c r="U8" s="427"/>
      <c r="V8" s="427"/>
      <c r="W8" s="427"/>
      <c r="X8" s="427"/>
      <c r="Y8" s="455"/>
      <c r="Z8" s="410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03"/>
      <c r="B1" s="503"/>
      <c r="C1" s="503"/>
      <c r="D1" s="503"/>
      <c r="E1" s="503"/>
      <c r="F1" s="503"/>
      <c r="G1" s="503"/>
      <c r="H1" s="503"/>
    </row>
    <row r="2" spans="1:8" ht="10.15" customHeight="1" x14ac:dyDescent="0.25">
      <c r="A2" s="1"/>
      <c r="B2" s="504" t="s">
        <v>0</v>
      </c>
      <c r="C2" s="504"/>
      <c r="D2" s="504"/>
      <c r="E2" s="504"/>
      <c r="F2" s="504"/>
      <c r="G2" s="504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502" t="s">
        <v>10</v>
      </c>
      <c r="C4" s="502"/>
      <c r="D4" s="502"/>
      <c r="E4" s="502"/>
      <c r="F4" s="502"/>
      <c r="G4" s="502"/>
      <c r="H4" s="4">
        <v>1240378.43</v>
      </c>
    </row>
    <row r="5" spans="1:8" ht="19.899999999999999" customHeight="1" x14ac:dyDescent="0.25">
      <c r="A5" s="3" t="s">
        <v>11</v>
      </c>
      <c r="B5" s="502" t="s">
        <v>12</v>
      </c>
      <c r="C5" s="502"/>
      <c r="D5" s="502"/>
      <c r="E5" s="502"/>
      <c r="F5" s="502"/>
      <c r="G5" s="502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502" t="s">
        <v>33</v>
      </c>
      <c r="C12" s="502"/>
      <c r="D12" s="502"/>
      <c r="E12" s="502"/>
      <c r="F12" s="502"/>
      <c r="G12" s="502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502" t="s">
        <v>49</v>
      </c>
      <c r="C17" s="502"/>
      <c r="D17" s="502"/>
      <c r="E17" s="502"/>
      <c r="F17" s="502"/>
      <c r="G17" s="502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502" t="s">
        <v>91</v>
      </c>
      <c r="C31" s="502"/>
      <c r="D31" s="502"/>
      <c r="E31" s="502"/>
      <c r="F31" s="502"/>
      <c r="G31" s="502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502" t="s">
        <v>134</v>
      </c>
      <c r="C47" s="502"/>
      <c r="D47" s="502"/>
      <c r="E47" s="502"/>
      <c r="F47" s="502"/>
      <c r="G47" s="502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502" t="s">
        <v>148</v>
      </c>
      <c r="C52" s="502"/>
      <c r="D52" s="502"/>
      <c r="E52" s="502"/>
      <c r="F52" s="502"/>
      <c r="G52" s="502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502" t="s">
        <v>162</v>
      </c>
      <c r="C57" s="502"/>
      <c r="D57" s="502"/>
      <c r="E57" s="502"/>
      <c r="F57" s="502"/>
      <c r="G57" s="502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502" t="s">
        <v>189</v>
      </c>
      <c r="C66" s="502"/>
      <c r="D66" s="502"/>
      <c r="E66" s="502"/>
      <c r="F66" s="502"/>
      <c r="G66" s="502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502" t="s">
        <v>209</v>
      </c>
      <c r="C73" s="502"/>
      <c r="D73" s="502"/>
      <c r="E73" s="502"/>
      <c r="F73" s="502"/>
      <c r="G73" s="502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502" t="s">
        <v>229</v>
      </c>
      <c r="C81" s="502"/>
      <c r="D81" s="502"/>
      <c r="E81" s="502"/>
      <c r="F81" s="502"/>
      <c r="G81" s="502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502" t="s">
        <v>313</v>
      </c>
      <c r="C110" s="502"/>
      <c r="D110" s="502"/>
      <c r="E110" s="502"/>
      <c r="F110" s="502"/>
      <c r="G110" s="502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502" t="s">
        <v>339</v>
      </c>
      <c r="C119" s="502"/>
      <c r="D119" s="502"/>
      <c r="E119" s="502"/>
      <c r="F119" s="502"/>
      <c r="G119" s="502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502" t="s">
        <v>368</v>
      </c>
      <c r="C129" s="502"/>
      <c r="D129" s="502"/>
      <c r="E129" s="502"/>
      <c r="F129" s="502"/>
      <c r="G129" s="502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502" t="s">
        <v>436</v>
      </c>
      <c r="C152" s="502"/>
      <c r="D152" s="502"/>
      <c r="E152" s="502"/>
      <c r="F152" s="502"/>
      <c r="G152" s="502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502" t="s">
        <v>474</v>
      </c>
      <c r="C165" s="502"/>
      <c r="D165" s="502"/>
      <c r="E165" s="502"/>
      <c r="F165" s="502"/>
      <c r="G165" s="502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502" t="s">
        <v>501</v>
      </c>
      <c r="C185" s="502"/>
      <c r="D185" s="502"/>
      <c r="E185" s="502"/>
      <c r="F185" s="502"/>
      <c r="G185" s="502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501" t="s">
        <v>508</v>
      </c>
      <c r="G188" s="501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501" t="s">
        <v>509</v>
      </c>
      <c r="G189" s="501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501" t="s">
        <v>510</v>
      </c>
      <c r="G190" s="501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17</vt:i4>
      </vt:variant>
    </vt:vector>
  </HeadingPairs>
  <TitlesOfParts>
    <vt:vector size="34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07</vt:lpstr>
      <vt:lpstr>MEMORIAL DE CALCULO 07</vt:lpstr>
      <vt:lpstr>MEMORIAL DE CALCULO 06</vt:lpstr>
      <vt:lpstr>MEMORIAL FOTOGRÁFICO 06</vt:lpstr>
      <vt:lpstr>MEMORIAL FOTOGRÁFICO 07</vt:lpstr>
      <vt:lpstr>orcamento</vt:lpstr>
      <vt:lpstr>'BOLETIM DE MEDIÇÃO 05'!Area_de_impressao</vt:lpstr>
      <vt:lpstr>'BOLETIM DE MEDIÇÃO 07'!Area_de_impressao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2024-09-03T12:55:46Z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