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66925"/>
  <xr:revisionPtr revIDLastSave="0" documentId="13_ncr:1_{EAF9C13E-B799-4A9A-ACC7-DC326893FC60}" xr6:coauthVersionLast="47" xr6:coauthVersionMax="47" xr10:uidLastSave="{00000000-0000-0000-0000-000000000000}"/>
  <bookViews>
    <workbookView xWindow="-120" yWindow="-120" windowWidth="20730" windowHeight="11160" firstSheet="11" activeTab="16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08" sheetId="15" r:id="rId12"/>
    <sheet name="MEMORIAL DE CALCULO 08" sheetId="20" r:id="rId13"/>
    <sheet name="MEMORIAL DE CALCULO 07" sheetId="18" state="hidden" r:id="rId14"/>
    <sheet name="MEMORIAL DE CALCULO 06" sheetId="16" state="hidden" r:id="rId15"/>
    <sheet name="MEMORIAL FOTOGRÁFICO 06" sheetId="17" state="hidden" r:id="rId16"/>
    <sheet name="MEMORIAL FOTOGRÁFICO 08" sheetId="21" r:id="rId17"/>
    <sheet name="MEMORIAL FOTOGRÁFICO 07" sheetId="19" state="hidden" r:id="rId18"/>
    <sheet name="orcamento" sheetId="1" state="hidden" r:id="rId19"/>
  </sheets>
  <definedNames>
    <definedName name="_xlnm.Print_Area" localSheetId="7">'BOLETIM DE MEDIÇÃO 05'!$B$2:$Z$198</definedName>
    <definedName name="_xlnm.Print_Area" localSheetId="11">'BOLETIM DE MEDIÇÃO 08'!$B$1:$AE$198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4">'MEMORIAL DE CALCULO 06'!$B$2:$N$432</definedName>
    <definedName name="_xlnm.Print_Area" localSheetId="13">'MEMORIAL DE CALCULO 07'!$B$2:$N$546</definedName>
    <definedName name="_xlnm.Print_Area" localSheetId="12">'MEMORIAL DE CALCULO 08'!$B$2:$N$547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5">'MEMORIAL FOTOGRÁFICO 06'!$B$2:$Z$110</definedName>
    <definedName name="_xlnm.Print_Area" localSheetId="17">'MEMORIAL FOTOGRÁFICO 07'!$B$2:$Z$62</definedName>
    <definedName name="_xlnm.Print_Area" localSheetId="16">'MEMORIAL FOTOGRÁFICO 08'!$B$2:$Z$62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5" i="15" l="1"/>
  <c r="AE16" i="15"/>
  <c r="AE17" i="15"/>
  <c r="AE18" i="15"/>
  <c r="AE19" i="15"/>
  <c r="AE21" i="15"/>
  <c r="AE22" i="15"/>
  <c r="AE23" i="15"/>
  <c r="AE24" i="15"/>
  <c r="AE26" i="15"/>
  <c r="AE27" i="15"/>
  <c r="AE28" i="15"/>
  <c r="AE29" i="15"/>
  <c r="AE30" i="15"/>
  <c r="AE31" i="15"/>
  <c r="AE32" i="15"/>
  <c r="AE33" i="15"/>
  <c r="AE34" i="15"/>
  <c r="AE35" i="15"/>
  <c r="AE36" i="15"/>
  <c r="AE37" i="15"/>
  <c r="AE38" i="15"/>
  <c r="AE40" i="15"/>
  <c r="AE41" i="15"/>
  <c r="AE42" i="15"/>
  <c r="AE43" i="15"/>
  <c r="AE44" i="15"/>
  <c r="AE45" i="15"/>
  <c r="AE46" i="15"/>
  <c r="AE47" i="15"/>
  <c r="AE48" i="15"/>
  <c r="AE49" i="15"/>
  <c r="AE50" i="15"/>
  <c r="AE51" i="15"/>
  <c r="AE52" i="15"/>
  <c r="AE53" i="15"/>
  <c r="AE54" i="15"/>
  <c r="AE56" i="15"/>
  <c r="AE57" i="15"/>
  <c r="AE58" i="15"/>
  <c r="AE59" i="15"/>
  <c r="AE61" i="15"/>
  <c r="AE62" i="15"/>
  <c r="AE63" i="15"/>
  <c r="AE64" i="15"/>
  <c r="AE66" i="15"/>
  <c r="AE67" i="15"/>
  <c r="AE68" i="15"/>
  <c r="AE69" i="15"/>
  <c r="AE70" i="15"/>
  <c r="AE71" i="15"/>
  <c r="AE72" i="15"/>
  <c r="AE73" i="15"/>
  <c r="AE75" i="15"/>
  <c r="AE76" i="15"/>
  <c r="AE77" i="15"/>
  <c r="AE78" i="15"/>
  <c r="AE79" i="15"/>
  <c r="AE80" i="15"/>
  <c r="AE82" i="15"/>
  <c r="AE83" i="15"/>
  <c r="AE84" i="15"/>
  <c r="AE85" i="15"/>
  <c r="AE86" i="15"/>
  <c r="AE87" i="15"/>
  <c r="AE88" i="15"/>
  <c r="AE90" i="15"/>
  <c r="AE91" i="15"/>
  <c r="AE92" i="15"/>
  <c r="AE93" i="15"/>
  <c r="AE94" i="15"/>
  <c r="AE95" i="15"/>
  <c r="AE96" i="15"/>
  <c r="AE97" i="15"/>
  <c r="AE98" i="15"/>
  <c r="AE99" i="15"/>
  <c r="AE100" i="15"/>
  <c r="AE101" i="15"/>
  <c r="AE102" i="15"/>
  <c r="AE103" i="15"/>
  <c r="AE104" i="15"/>
  <c r="AE105" i="15"/>
  <c r="AE106" i="15"/>
  <c r="AE107" i="15"/>
  <c r="AE108" i="15"/>
  <c r="AE109" i="15"/>
  <c r="AE110" i="15"/>
  <c r="AE111" i="15"/>
  <c r="AE112" i="15"/>
  <c r="AE113" i="15"/>
  <c r="AE114" i="15"/>
  <c r="AE115" i="15"/>
  <c r="AE116" i="15"/>
  <c r="AE117" i="15"/>
  <c r="AE119" i="15"/>
  <c r="AE120" i="15"/>
  <c r="AE121" i="15"/>
  <c r="AE122" i="15"/>
  <c r="AE123" i="15"/>
  <c r="AE124" i="15"/>
  <c r="AE125" i="15"/>
  <c r="AE126" i="15"/>
  <c r="AE128" i="15"/>
  <c r="AE129" i="15"/>
  <c r="AE130" i="15"/>
  <c r="AE131" i="15"/>
  <c r="AE132" i="15"/>
  <c r="AE133" i="15"/>
  <c r="AE134" i="15"/>
  <c r="AE135" i="15"/>
  <c r="AE136" i="15"/>
  <c r="AE138" i="15"/>
  <c r="AE139" i="15"/>
  <c r="AE140" i="15"/>
  <c r="AE141" i="15"/>
  <c r="AE142" i="15"/>
  <c r="AE143" i="15"/>
  <c r="AE144" i="15"/>
  <c r="AE145" i="15"/>
  <c r="AE146" i="15"/>
  <c r="AE147" i="15"/>
  <c r="AE148" i="15"/>
  <c r="AE149" i="15"/>
  <c r="AE150" i="15"/>
  <c r="AE151" i="15"/>
  <c r="AE152" i="15"/>
  <c r="AE153" i="15"/>
  <c r="AE154" i="15"/>
  <c r="AE155" i="15"/>
  <c r="AE156" i="15"/>
  <c r="AE157" i="15"/>
  <c r="AE158" i="15"/>
  <c r="AE159" i="15"/>
  <c r="AE161" i="15"/>
  <c r="AE162" i="15"/>
  <c r="AE163" i="15"/>
  <c r="AE164" i="15"/>
  <c r="AE165" i="15"/>
  <c r="AE166" i="15"/>
  <c r="AE167" i="15"/>
  <c r="AE168" i="15"/>
  <c r="AE169" i="15"/>
  <c r="AE170" i="15"/>
  <c r="AE171" i="15"/>
  <c r="AE172" i="15"/>
  <c r="AE174" i="15"/>
  <c r="AE175" i="15"/>
  <c r="AE176" i="15"/>
  <c r="AE177" i="15"/>
  <c r="AE178" i="15"/>
  <c r="AE179" i="15"/>
  <c r="AE180" i="15"/>
  <c r="AE181" i="15"/>
  <c r="AE182" i="15"/>
  <c r="AE183" i="15"/>
  <c r="AE184" i="15"/>
  <c r="AE185" i="15"/>
  <c r="AE186" i="15"/>
  <c r="AE187" i="15"/>
  <c r="AE188" i="15"/>
  <c r="AE189" i="15"/>
  <c r="AE190" i="15"/>
  <c r="AE191" i="15"/>
  <c r="AE192" i="15"/>
  <c r="AE194" i="15"/>
  <c r="AE195" i="15"/>
  <c r="AE196" i="15"/>
  <c r="AE14" i="15"/>
  <c r="G454" i="20"/>
  <c r="G451" i="20"/>
  <c r="G404" i="20"/>
  <c r="K404" i="20" s="1"/>
  <c r="G387" i="20"/>
  <c r="G385" i="20"/>
  <c r="K385" i="20" s="1"/>
  <c r="K384" i="20" s="1"/>
  <c r="O41" i="15" s="1"/>
  <c r="G403" i="20"/>
  <c r="K403" i="20" s="1"/>
  <c r="K414" i="20"/>
  <c r="O56" i="15" s="1"/>
  <c r="AA56" i="15" s="1"/>
  <c r="K415" i="20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0" i="15" s="1"/>
  <c r="K434" i="20"/>
  <c r="O108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19" i="15" s="1"/>
  <c r="Q119" i="15" s="1"/>
  <c r="J441" i="20" s="1"/>
  <c r="G508" i="20"/>
  <c r="K508" i="20" s="1"/>
  <c r="K507" i="20" s="1"/>
  <c r="O157" i="15" s="1"/>
  <c r="K502" i="20"/>
  <c r="K501" i="20" s="1"/>
  <c r="O155" i="15" s="1"/>
  <c r="K499" i="20"/>
  <c r="K498" i="20" s="1"/>
  <c r="O154" i="15" s="1"/>
  <c r="AA15" i="15"/>
  <c r="AB15" i="15"/>
  <c r="AA16" i="15"/>
  <c r="AB16" i="15"/>
  <c r="AA17" i="15"/>
  <c r="AB17" i="15"/>
  <c r="AA18" i="15"/>
  <c r="AB18" i="15"/>
  <c r="AA19" i="15"/>
  <c r="AB19" i="15"/>
  <c r="AA20" i="15"/>
  <c r="AB20" i="15"/>
  <c r="AA21" i="15"/>
  <c r="AB21" i="15"/>
  <c r="AA22" i="15"/>
  <c r="AB22" i="15"/>
  <c r="AA23" i="15"/>
  <c r="AB23" i="15"/>
  <c r="AA24" i="15"/>
  <c r="AB24" i="15"/>
  <c r="AA25" i="15"/>
  <c r="AB25" i="15"/>
  <c r="AA26" i="15"/>
  <c r="AB26" i="15"/>
  <c r="AA27" i="15"/>
  <c r="AB27" i="15"/>
  <c r="AA28" i="15"/>
  <c r="AB28" i="15"/>
  <c r="AA29" i="15"/>
  <c r="AB29" i="15"/>
  <c r="AA30" i="15"/>
  <c r="AB30" i="15"/>
  <c r="AA31" i="15"/>
  <c r="AB31" i="15"/>
  <c r="AA32" i="15"/>
  <c r="AB32" i="15"/>
  <c r="AA33" i="15"/>
  <c r="AB33" i="15"/>
  <c r="AA34" i="15"/>
  <c r="AB34" i="15"/>
  <c r="AA35" i="15"/>
  <c r="AB35" i="15"/>
  <c r="AA36" i="15"/>
  <c r="AB36" i="15"/>
  <c r="AA37" i="15"/>
  <c r="AB37" i="15"/>
  <c r="AA38" i="15"/>
  <c r="AB38" i="15"/>
  <c r="AA39" i="15"/>
  <c r="AB39" i="15"/>
  <c r="AA40" i="15"/>
  <c r="AB40" i="15"/>
  <c r="AB41" i="15"/>
  <c r="AB42" i="15"/>
  <c r="AA43" i="15"/>
  <c r="AB43" i="15"/>
  <c r="AA44" i="15"/>
  <c r="AB44" i="15"/>
  <c r="AA45" i="15"/>
  <c r="AB45" i="15"/>
  <c r="AA46" i="15"/>
  <c r="AB46" i="15"/>
  <c r="AA47" i="15"/>
  <c r="AB47" i="15"/>
  <c r="AA48" i="15"/>
  <c r="AB48" i="15"/>
  <c r="AA49" i="15"/>
  <c r="AB49" i="15"/>
  <c r="AA50" i="15"/>
  <c r="AB50" i="15"/>
  <c r="AB51" i="15"/>
  <c r="AB52" i="15"/>
  <c r="AA53" i="15"/>
  <c r="AB53" i="15"/>
  <c r="AA54" i="15"/>
  <c r="AB54" i="15"/>
  <c r="AA55" i="15"/>
  <c r="AB55" i="15"/>
  <c r="AB56" i="15"/>
  <c r="AA57" i="15"/>
  <c r="AB57" i="15"/>
  <c r="AA58" i="15"/>
  <c r="AB58" i="15"/>
  <c r="AA59" i="15"/>
  <c r="AB59" i="15"/>
  <c r="AA60" i="15"/>
  <c r="AB60" i="15"/>
  <c r="AA61" i="15"/>
  <c r="AB61" i="15"/>
  <c r="AA62" i="15"/>
  <c r="AB62" i="15"/>
  <c r="AA63" i="15"/>
  <c r="AB63" i="15"/>
  <c r="AA64" i="15"/>
  <c r="AB64" i="15"/>
  <c r="AA65" i="15"/>
  <c r="AB65" i="15"/>
  <c r="AA66" i="15"/>
  <c r="AB66" i="15"/>
  <c r="AA67" i="15"/>
  <c r="AB67" i="15"/>
  <c r="AA68" i="15"/>
  <c r="AB68" i="15"/>
  <c r="AA69" i="15"/>
  <c r="AB69" i="15"/>
  <c r="AA70" i="15"/>
  <c r="AB70" i="15"/>
  <c r="AA71" i="15"/>
  <c r="AB71" i="15"/>
  <c r="AA72" i="15"/>
  <c r="AB72" i="15"/>
  <c r="AA73" i="15"/>
  <c r="AB73" i="15"/>
  <c r="AA74" i="15"/>
  <c r="AB74" i="15"/>
  <c r="AA75" i="15"/>
  <c r="AB75" i="15"/>
  <c r="AA76" i="15"/>
  <c r="AB76" i="15"/>
  <c r="AA77" i="15"/>
  <c r="AB77" i="15"/>
  <c r="AA78" i="15"/>
  <c r="AB78" i="15"/>
  <c r="AA79" i="15"/>
  <c r="AB79" i="15"/>
  <c r="AA80" i="15"/>
  <c r="AB80" i="15"/>
  <c r="AA81" i="15"/>
  <c r="AB81" i="15"/>
  <c r="AB82" i="15"/>
  <c r="AB83" i="15"/>
  <c r="AA84" i="15"/>
  <c r="AB84" i="15"/>
  <c r="AA85" i="15"/>
  <c r="AB85" i="15"/>
  <c r="AA86" i="15"/>
  <c r="AB86" i="15"/>
  <c r="AA87" i="15"/>
  <c r="AB87" i="15"/>
  <c r="AA88" i="15"/>
  <c r="AB88" i="15"/>
  <c r="AA89" i="15"/>
  <c r="AB89" i="15"/>
  <c r="AA90" i="15"/>
  <c r="AB90" i="15"/>
  <c r="AA91" i="15"/>
  <c r="AB91" i="15"/>
  <c r="AA92" i="15"/>
  <c r="AB92" i="15"/>
  <c r="AA93" i="15"/>
  <c r="AB93" i="15"/>
  <c r="AA94" i="15"/>
  <c r="AB94" i="15"/>
  <c r="AA95" i="15"/>
  <c r="AB95" i="15"/>
  <c r="AA96" i="15"/>
  <c r="AB96" i="15"/>
  <c r="AA97" i="15"/>
  <c r="AB97" i="15"/>
  <c r="AA98" i="15"/>
  <c r="AB98" i="15"/>
  <c r="AA99" i="15"/>
  <c r="AB99" i="15"/>
  <c r="AA100" i="15"/>
  <c r="AB100" i="15"/>
  <c r="AA101" i="15"/>
  <c r="AB101" i="15"/>
  <c r="AA102" i="15"/>
  <c r="AB102" i="15"/>
  <c r="AA103" i="15"/>
  <c r="AB103" i="15"/>
  <c r="AA104" i="15"/>
  <c r="AB104" i="15"/>
  <c r="AA105" i="15"/>
  <c r="AB105" i="15"/>
  <c r="AA106" i="15"/>
  <c r="AB106" i="15"/>
  <c r="AA107" i="15"/>
  <c r="AB107" i="15"/>
  <c r="AB108" i="15"/>
  <c r="AB109" i="15"/>
  <c r="AB110" i="15"/>
  <c r="AA111" i="15"/>
  <c r="AB111" i="15"/>
  <c r="AA112" i="15"/>
  <c r="AB112" i="15"/>
  <c r="AA113" i="15"/>
  <c r="AB113" i="15"/>
  <c r="AA114" i="15"/>
  <c r="AB114" i="15"/>
  <c r="AA115" i="15"/>
  <c r="AB115" i="15"/>
  <c r="AA116" i="15"/>
  <c r="AB116" i="15"/>
  <c r="AA117" i="15"/>
  <c r="AB117" i="15"/>
  <c r="AA118" i="15"/>
  <c r="AB118" i="15"/>
  <c r="AB119" i="15"/>
  <c r="AB120" i="15"/>
  <c r="AA121" i="15"/>
  <c r="AB121" i="15"/>
  <c r="AA122" i="15"/>
  <c r="AB122" i="15"/>
  <c r="AA123" i="15"/>
  <c r="AB123" i="15"/>
  <c r="AA124" i="15"/>
  <c r="AB124" i="15"/>
  <c r="AA125" i="15"/>
  <c r="AB125" i="15"/>
  <c r="AA126" i="15"/>
  <c r="AB126" i="15"/>
  <c r="AA127" i="15"/>
  <c r="AB127" i="15"/>
  <c r="AA128" i="15"/>
  <c r="AB128" i="15"/>
  <c r="AA129" i="15"/>
  <c r="AB129" i="15"/>
  <c r="AA130" i="15"/>
  <c r="AB130" i="15"/>
  <c r="AA131" i="15"/>
  <c r="AB131" i="15"/>
  <c r="AA132" i="15"/>
  <c r="AB132" i="15"/>
  <c r="AA133" i="15"/>
  <c r="AB133" i="15"/>
  <c r="AA134" i="15"/>
  <c r="AB134" i="15"/>
  <c r="AA135" i="15"/>
  <c r="AB135" i="15"/>
  <c r="AA136" i="15"/>
  <c r="AB136" i="15"/>
  <c r="AA137" i="15"/>
  <c r="AB137" i="15"/>
  <c r="AA138" i="15"/>
  <c r="AB138" i="15"/>
  <c r="AA139" i="15"/>
  <c r="AB139" i="15"/>
  <c r="AA140" i="15"/>
  <c r="AB140" i="15"/>
  <c r="AA141" i="15"/>
  <c r="AB141" i="15"/>
  <c r="AA142" i="15"/>
  <c r="AB142" i="15"/>
  <c r="AA143" i="15"/>
  <c r="AB143" i="15"/>
  <c r="AA144" i="15"/>
  <c r="AB144" i="15"/>
  <c r="AA145" i="15"/>
  <c r="AB145" i="15"/>
  <c r="AA146" i="15"/>
  <c r="AB146" i="15"/>
  <c r="AA147" i="15"/>
  <c r="AB147" i="15"/>
  <c r="AA148" i="15"/>
  <c r="AB148" i="15"/>
  <c r="AA149" i="15"/>
  <c r="AB149" i="15"/>
  <c r="AA150" i="15"/>
  <c r="AB150" i="15"/>
  <c r="AA151" i="15"/>
  <c r="AB151" i="15"/>
  <c r="AA152" i="15"/>
  <c r="AB152" i="15"/>
  <c r="AA153" i="15"/>
  <c r="AB153" i="15"/>
  <c r="AB154" i="15"/>
  <c r="AB155" i="15"/>
  <c r="AA156" i="15"/>
  <c r="AB156" i="15"/>
  <c r="AB157" i="15"/>
  <c r="AA158" i="15"/>
  <c r="AB158" i="15"/>
  <c r="AA159" i="15"/>
  <c r="AB159" i="15"/>
  <c r="AA160" i="15"/>
  <c r="AB160" i="15"/>
  <c r="AA161" i="15"/>
  <c r="AB161" i="15"/>
  <c r="AA162" i="15"/>
  <c r="AB162" i="15"/>
  <c r="AA163" i="15"/>
  <c r="AB163" i="15"/>
  <c r="AA164" i="15"/>
  <c r="AB164" i="15"/>
  <c r="AA165" i="15"/>
  <c r="AB165" i="15"/>
  <c r="AA166" i="15"/>
  <c r="AB166" i="15"/>
  <c r="AA167" i="15"/>
  <c r="AB167" i="15"/>
  <c r="AA168" i="15"/>
  <c r="AB168" i="15"/>
  <c r="AA169" i="15"/>
  <c r="AB169" i="15"/>
  <c r="AA170" i="15"/>
  <c r="AB170" i="15"/>
  <c r="AA171" i="15"/>
  <c r="AB171" i="15"/>
  <c r="AA172" i="15"/>
  <c r="AB172" i="15"/>
  <c r="AA173" i="15"/>
  <c r="AB173" i="15"/>
  <c r="AA174" i="15"/>
  <c r="AB174" i="15"/>
  <c r="AA175" i="15"/>
  <c r="AB175" i="15"/>
  <c r="AA176" i="15"/>
  <c r="AB176" i="15"/>
  <c r="AA177" i="15"/>
  <c r="AB177" i="15"/>
  <c r="AA178" i="15"/>
  <c r="AB178" i="15"/>
  <c r="AA179" i="15"/>
  <c r="AB179" i="15"/>
  <c r="AA180" i="15"/>
  <c r="AB180" i="15"/>
  <c r="AA181" i="15"/>
  <c r="AB181" i="15"/>
  <c r="AA182" i="15"/>
  <c r="AB182" i="15"/>
  <c r="AA183" i="15"/>
  <c r="AB183" i="15"/>
  <c r="AA184" i="15"/>
  <c r="AB184" i="15"/>
  <c r="AA185" i="15"/>
  <c r="AB185" i="15"/>
  <c r="AA186" i="15"/>
  <c r="AB186" i="15"/>
  <c r="AA187" i="15"/>
  <c r="AB187" i="15"/>
  <c r="AA188" i="15"/>
  <c r="AB188" i="15"/>
  <c r="AA189" i="15"/>
  <c r="AB189" i="15"/>
  <c r="AA190" i="15"/>
  <c r="AB190" i="15"/>
  <c r="AA191" i="15"/>
  <c r="AB191" i="15"/>
  <c r="AA192" i="15"/>
  <c r="AB192" i="15"/>
  <c r="AA193" i="15"/>
  <c r="AB193" i="15"/>
  <c r="AA194" i="15"/>
  <c r="AB194" i="15"/>
  <c r="AA195" i="15"/>
  <c r="AB195" i="15"/>
  <c r="AB14" i="15"/>
  <c r="AA14" i="15"/>
  <c r="Z14" i="15"/>
  <c r="Q18" i="15"/>
  <c r="Q19" i="15"/>
  <c r="Q20" i="15"/>
  <c r="Q24" i="15"/>
  <c r="Q25" i="15"/>
  <c r="Q27" i="15"/>
  <c r="Q28" i="15"/>
  <c r="Q31" i="15"/>
  <c r="Q35" i="15"/>
  <c r="Q39" i="15"/>
  <c r="Q55" i="15"/>
  <c r="Q60" i="15"/>
  <c r="Q61" i="15"/>
  <c r="Q64" i="15"/>
  <c r="Q65" i="15"/>
  <c r="Q66" i="15"/>
  <c r="Q67" i="15"/>
  <c r="Q68" i="15"/>
  <c r="Q69" i="15"/>
  <c r="Q70" i="15"/>
  <c r="Q71" i="15"/>
  <c r="Q72" i="15"/>
  <c r="Q73" i="15"/>
  <c r="Q74" i="15"/>
  <c r="J416" i="20" s="1"/>
  <c r="Q75" i="15"/>
  <c r="Q76" i="15"/>
  <c r="Q77" i="15"/>
  <c r="J419" i="20" s="1"/>
  <c r="Q78" i="15"/>
  <c r="Q79" i="15"/>
  <c r="J421" i="20" s="1"/>
  <c r="Q80" i="15"/>
  <c r="J422" i="20" s="1"/>
  <c r="Q81" i="15"/>
  <c r="Q84" i="15"/>
  <c r="Q85" i="15"/>
  <c r="Q86" i="15"/>
  <c r="Q87" i="15"/>
  <c r="Q88" i="15"/>
  <c r="Q89" i="15"/>
  <c r="Q90" i="15"/>
  <c r="Q91" i="15"/>
  <c r="Q92" i="15"/>
  <c r="Q93" i="15"/>
  <c r="Q94" i="15"/>
  <c r="Q95" i="15"/>
  <c r="Q96" i="15"/>
  <c r="Q97" i="15"/>
  <c r="Q98" i="15"/>
  <c r="Q99" i="15"/>
  <c r="Q100" i="15"/>
  <c r="Q101" i="15"/>
  <c r="Q102" i="15"/>
  <c r="Q103" i="15"/>
  <c r="Q104" i="15"/>
  <c r="Q105" i="15"/>
  <c r="Q106" i="15"/>
  <c r="Q107" i="15"/>
  <c r="Q111" i="15"/>
  <c r="Q112" i="15"/>
  <c r="Q113" i="15"/>
  <c r="Q114" i="15"/>
  <c r="Q115" i="15"/>
  <c r="Q116" i="15"/>
  <c r="Q117" i="15"/>
  <c r="Q118" i="15"/>
  <c r="Q121" i="15"/>
  <c r="Q122" i="15"/>
  <c r="Q123" i="15"/>
  <c r="Q124" i="15"/>
  <c r="Q125" i="15"/>
  <c r="Q126" i="15"/>
  <c r="Q127" i="15"/>
  <c r="Q128" i="15"/>
  <c r="Q129" i="15"/>
  <c r="Q130" i="15"/>
  <c r="Q131" i="15"/>
  <c r="Q132" i="15"/>
  <c r="Q133" i="15"/>
  <c r="Q134" i="15"/>
  <c r="Q135" i="15"/>
  <c r="Q136" i="15"/>
  <c r="Q137" i="15"/>
  <c r="Q138" i="15"/>
  <c r="Q139" i="15"/>
  <c r="Q140" i="15"/>
  <c r="Q141" i="15"/>
  <c r="Q142" i="15"/>
  <c r="Q143" i="15"/>
  <c r="Q144" i="15"/>
  <c r="Q145" i="15"/>
  <c r="J471" i="20" s="1"/>
  <c r="Q146" i="15"/>
  <c r="J474" i="20" s="1"/>
  <c r="Q147" i="15"/>
  <c r="J477" i="20" s="1"/>
  <c r="Q148" i="15"/>
  <c r="J480" i="20" s="1"/>
  <c r="Q149" i="15"/>
  <c r="J483" i="20" s="1"/>
  <c r="Q150" i="15"/>
  <c r="J486" i="20" s="1"/>
  <c r="Q151" i="15"/>
  <c r="J489" i="20" s="1"/>
  <c r="Q152" i="15"/>
  <c r="J492" i="20" s="1"/>
  <c r="Q153" i="15"/>
  <c r="J495" i="20" s="1"/>
  <c r="Q156" i="15"/>
  <c r="J504" i="20" s="1"/>
  <c r="Q158" i="15"/>
  <c r="Q159" i="15"/>
  <c r="Q160" i="15"/>
  <c r="Q161" i="15"/>
  <c r="Q162" i="15"/>
  <c r="Q163" i="15"/>
  <c r="Q164" i="15"/>
  <c r="Q165" i="15"/>
  <c r="Q166" i="15"/>
  <c r="Q167" i="15"/>
  <c r="Q168" i="15"/>
  <c r="Q169" i="15"/>
  <c r="Q170" i="15"/>
  <c r="Q171" i="15"/>
  <c r="Q172" i="15"/>
  <c r="Q173" i="15"/>
  <c r="Q175" i="15"/>
  <c r="Q182" i="15"/>
  <c r="Q191" i="15"/>
  <c r="Q192" i="15"/>
  <c r="Q193" i="15"/>
  <c r="Q194" i="15"/>
  <c r="Q195" i="15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J468" i="20" s="1"/>
  <c r="K465" i="20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J450" i="20" s="1"/>
  <c r="K436" i="20"/>
  <c r="O109" i="15" s="1"/>
  <c r="K433" i="20"/>
  <c r="K425" i="20"/>
  <c r="K424" i="20" s="1"/>
  <c r="O82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K387" i="20"/>
  <c r="K386" i="20" s="1"/>
  <c r="O42" i="15" s="1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G501" i="18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507" i="18"/>
  <c r="K506" i="18" s="1"/>
  <c r="K501" i="18"/>
  <c r="K500" i="18" s="1"/>
  <c r="K498" i="18"/>
  <c r="K497" i="18" s="1"/>
  <c r="K468" i="18"/>
  <c r="K467" i="18" s="1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2" i="15" s="1"/>
  <c r="M417" i="18"/>
  <c r="K418" i="18"/>
  <c r="K417" i="18" s="1"/>
  <c r="N63" i="15" s="1"/>
  <c r="Q63" i="15" s="1"/>
  <c r="K405" i="18"/>
  <c r="K406" i="18"/>
  <c r="J465" i="20" l="1"/>
  <c r="J453" i="20"/>
  <c r="K402" i="20"/>
  <c r="G407" i="20" s="1"/>
  <c r="AA110" i="15"/>
  <c r="Q110" i="15"/>
  <c r="J438" i="20" s="1"/>
  <c r="AA42" i="15"/>
  <c r="Q42" i="15"/>
  <c r="AA108" i="15"/>
  <c r="J418" i="20"/>
  <c r="K443" i="20"/>
  <c r="O120" i="15" s="1"/>
  <c r="AA120" i="15" s="1"/>
  <c r="J417" i="20"/>
  <c r="L417" i="20" s="1"/>
  <c r="N417" i="20" s="1"/>
  <c r="AA41" i="15"/>
  <c r="O51" i="15"/>
  <c r="AA51" i="15" s="1"/>
  <c r="AA109" i="15"/>
  <c r="Q109" i="15"/>
  <c r="J436" i="20" s="1"/>
  <c r="K427" i="20"/>
  <c r="O83" i="15" s="1"/>
  <c r="AA83" i="15" s="1"/>
  <c r="Q120" i="15"/>
  <c r="AA82" i="15"/>
  <c r="Q82" i="15"/>
  <c r="J424" i="20" s="1"/>
  <c r="AA119" i="15"/>
  <c r="AA154" i="15"/>
  <c r="Q154" i="15"/>
  <c r="J498" i="20" s="1"/>
  <c r="Q155" i="15"/>
  <c r="J501" i="20" s="1"/>
  <c r="AA155" i="15"/>
  <c r="AA157" i="15"/>
  <c r="Q157" i="15"/>
  <c r="J507" i="20" s="1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Z119" i="15"/>
  <c r="M386" i="18"/>
  <c r="K387" i="18"/>
  <c r="K386" i="18" s="1"/>
  <c r="Z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Z15" i="15"/>
  <c r="Z16" i="15"/>
  <c r="Z17" i="15"/>
  <c r="Z18" i="15"/>
  <c r="Z19" i="15"/>
  <c r="Z20" i="15"/>
  <c r="Z21" i="15"/>
  <c r="Z22" i="15"/>
  <c r="Z23" i="15"/>
  <c r="Z24" i="15"/>
  <c r="Z25" i="15"/>
  <c r="Z26" i="15"/>
  <c r="Z27" i="15"/>
  <c r="Z28" i="15"/>
  <c r="Z29" i="15"/>
  <c r="Z30" i="15"/>
  <c r="Z31" i="15"/>
  <c r="Z32" i="15"/>
  <c r="Z33" i="15"/>
  <c r="Z34" i="15"/>
  <c r="Z35" i="15"/>
  <c r="Z36" i="15"/>
  <c r="Z37" i="15"/>
  <c r="Z38" i="15"/>
  <c r="Z39" i="15"/>
  <c r="Z40" i="15"/>
  <c r="Z43" i="15"/>
  <c r="Z44" i="15"/>
  <c r="Z45" i="15"/>
  <c r="Z46" i="15"/>
  <c r="Z47" i="15"/>
  <c r="Z48" i="15"/>
  <c r="Z49" i="15"/>
  <c r="Z50" i="15"/>
  <c r="Z53" i="15"/>
  <c r="Z54" i="15"/>
  <c r="Z55" i="15"/>
  <c r="Z56" i="15"/>
  <c r="Z57" i="15"/>
  <c r="Z58" i="15"/>
  <c r="Z59" i="15"/>
  <c r="Z60" i="15"/>
  <c r="Z61" i="15"/>
  <c r="Z62" i="15"/>
  <c r="Z63" i="15"/>
  <c r="Z64" i="15"/>
  <c r="Z65" i="15"/>
  <c r="Z66" i="15"/>
  <c r="Z67" i="15"/>
  <c r="Z68" i="15"/>
  <c r="Z69" i="15"/>
  <c r="Z70" i="15"/>
  <c r="Z71" i="15"/>
  <c r="Z72" i="15"/>
  <c r="Z73" i="15"/>
  <c r="Z74" i="15"/>
  <c r="Z75" i="15"/>
  <c r="Z76" i="15"/>
  <c r="Z77" i="15"/>
  <c r="Z78" i="15"/>
  <c r="Z79" i="15"/>
  <c r="Z80" i="15"/>
  <c r="Z81" i="15"/>
  <c r="Z82" i="15"/>
  <c r="Z83" i="15"/>
  <c r="Z84" i="15"/>
  <c r="Z85" i="15"/>
  <c r="Z86" i="15"/>
  <c r="Z87" i="15"/>
  <c r="Z88" i="15"/>
  <c r="Z89" i="15"/>
  <c r="Z90" i="15"/>
  <c r="Z91" i="15"/>
  <c r="Z92" i="15"/>
  <c r="Z93" i="15"/>
  <c r="Z94" i="15"/>
  <c r="Z95" i="15"/>
  <c r="Z96" i="15"/>
  <c r="Z97" i="15"/>
  <c r="Z98" i="15"/>
  <c r="Z99" i="15"/>
  <c r="Z100" i="15"/>
  <c r="Z101" i="15"/>
  <c r="Z102" i="15"/>
  <c r="Z103" i="15"/>
  <c r="Z104" i="15"/>
  <c r="Z105" i="15"/>
  <c r="Z106" i="15"/>
  <c r="Z107" i="15"/>
  <c r="Z108" i="15"/>
  <c r="Z109" i="15"/>
  <c r="Z110" i="15"/>
  <c r="Z111" i="15"/>
  <c r="Z112" i="15"/>
  <c r="Z113" i="15"/>
  <c r="Z114" i="15"/>
  <c r="Z115" i="15"/>
  <c r="Z116" i="15"/>
  <c r="Z117" i="15"/>
  <c r="Z118" i="15"/>
  <c r="Z120" i="15"/>
  <c r="Z121" i="15"/>
  <c r="Z122" i="15"/>
  <c r="Z123" i="15"/>
  <c r="Z124" i="15"/>
  <c r="Z125" i="15"/>
  <c r="Z126" i="15"/>
  <c r="Z127" i="15"/>
  <c r="Z128" i="15"/>
  <c r="Z129" i="15"/>
  <c r="Z130" i="15"/>
  <c r="Z131" i="15"/>
  <c r="Z132" i="15"/>
  <c r="Z133" i="15"/>
  <c r="Z134" i="15"/>
  <c r="Z135" i="15"/>
  <c r="Z136" i="15"/>
  <c r="Z137" i="15"/>
  <c r="Z138" i="15"/>
  <c r="Z139" i="15"/>
  <c r="Z140" i="15"/>
  <c r="Z141" i="15"/>
  <c r="Z142" i="15"/>
  <c r="Z143" i="15"/>
  <c r="Z144" i="15"/>
  <c r="Z145" i="15"/>
  <c r="Z146" i="15"/>
  <c r="Z147" i="15"/>
  <c r="Z148" i="15"/>
  <c r="Z149" i="15"/>
  <c r="Z150" i="15"/>
  <c r="Z151" i="15"/>
  <c r="Z152" i="15"/>
  <c r="Z153" i="15"/>
  <c r="Z154" i="15"/>
  <c r="Z155" i="15"/>
  <c r="Z156" i="15"/>
  <c r="Z157" i="15"/>
  <c r="Z158" i="15"/>
  <c r="Z159" i="15"/>
  <c r="Z160" i="15"/>
  <c r="Z161" i="15"/>
  <c r="Z162" i="15"/>
  <c r="Z163" i="15"/>
  <c r="Z164" i="15"/>
  <c r="Z165" i="15"/>
  <c r="Z166" i="15"/>
  <c r="Z167" i="15"/>
  <c r="Z168" i="15"/>
  <c r="Z169" i="15"/>
  <c r="Z170" i="15"/>
  <c r="Z171" i="15"/>
  <c r="Z172" i="15"/>
  <c r="Z173" i="15"/>
  <c r="Z174" i="15"/>
  <c r="Z175" i="15"/>
  <c r="Z176" i="15"/>
  <c r="Z177" i="15"/>
  <c r="Z178" i="15"/>
  <c r="Z179" i="15"/>
  <c r="Z180" i="15"/>
  <c r="Z181" i="15"/>
  <c r="Z182" i="15"/>
  <c r="Z183" i="15"/>
  <c r="Z184" i="15"/>
  <c r="Z185" i="15"/>
  <c r="Z186" i="15"/>
  <c r="Z187" i="15"/>
  <c r="Z188" i="15"/>
  <c r="Z189" i="15"/>
  <c r="Z190" i="15"/>
  <c r="Z191" i="15"/>
  <c r="Z192" i="15"/>
  <c r="Z193" i="15"/>
  <c r="Z194" i="15"/>
  <c r="Z195" i="15"/>
  <c r="Y14" i="15"/>
  <c r="G387" i="16"/>
  <c r="G389" i="16"/>
  <c r="G411" i="16"/>
  <c r="G401" i="16"/>
  <c r="G385" i="16"/>
  <c r="K385" i="16" s="1"/>
  <c r="K402" i="16"/>
  <c r="J443" i="20" l="1"/>
  <c r="L443" i="20" s="1"/>
  <c r="N443" i="20" s="1"/>
  <c r="Q83" i="15"/>
  <c r="K72" i="20"/>
  <c r="L72" i="20" s="1"/>
  <c r="N72" i="20" s="1"/>
  <c r="K406" i="20"/>
  <c r="K407" i="20"/>
  <c r="N41" i="15"/>
  <c r="Z41" i="15" s="1"/>
  <c r="K403" i="18"/>
  <c r="N51" i="15" s="1"/>
  <c r="Z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Y46" i="15" s="1"/>
  <c r="Y15" i="15"/>
  <c r="Y16" i="15"/>
  <c r="Y17" i="15"/>
  <c r="Y18" i="15"/>
  <c r="Y19" i="15"/>
  <c r="Y20" i="15"/>
  <c r="Y21" i="15"/>
  <c r="Y22" i="15"/>
  <c r="Y23" i="15"/>
  <c r="Y24" i="15"/>
  <c r="Y25" i="15"/>
  <c r="Y26" i="15"/>
  <c r="Y27" i="15"/>
  <c r="Y28" i="15"/>
  <c r="Y29" i="15"/>
  <c r="Y30" i="15"/>
  <c r="Y31" i="15"/>
  <c r="Y32" i="15"/>
  <c r="Y33" i="15"/>
  <c r="Y34" i="15"/>
  <c r="Y35" i="15"/>
  <c r="Y36" i="15"/>
  <c r="Y37" i="15"/>
  <c r="Y38" i="15"/>
  <c r="Y39" i="15"/>
  <c r="Y40" i="15"/>
  <c r="Y42" i="15"/>
  <c r="Y47" i="15"/>
  <c r="Y55" i="15"/>
  <c r="Y56" i="15"/>
  <c r="Y57" i="15"/>
  <c r="Y58" i="15"/>
  <c r="Y59" i="15"/>
  <c r="Y61" i="15"/>
  <c r="Y63" i="15"/>
  <c r="Y64" i="15"/>
  <c r="Y66" i="15"/>
  <c r="Y67" i="15"/>
  <c r="Y68" i="15"/>
  <c r="Y69" i="15"/>
  <c r="Y70" i="15"/>
  <c r="Y71" i="15"/>
  <c r="Y72" i="15"/>
  <c r="Y73" i="15"/>
  <c r="Y74" i="15"/>
  <c r="Y75" i="15"/>
  <c r="Y76" i="15"/>
  <c r="Y77" i="15"/>
  <c r="Y78" i="15"/>
  <c r="Y79" i="15"/>
  <c r="Y80" i="15"/>
  <c r="Y81" i="15"/>
  <c r="Y82" i="15"/>
  <c r="Y83" i="15"/>
  <c r="Y84" i="15"/>
  <c r="Y85" i="15"/>
  <c r="Y86" i="15"/>
  <c r="Y87" i="15"/>
  <c r="Y88" i="15"/>
  <c r="Y89" i="15"/>
  <c r="Y90" i="15"/>
  <c r="Y91" i="15"/>
  <c r="Y92" i="15"/>
  <c r="Y93" i="15"/>
  <c r="Y94" i="15"/>
  <c r="Y95" i="15"/>
  <c r="Y96" i="15"/>
  <c r="Y97" i="15"/>
  <c r="Y98" i="15"/>
  <c r="Y99" i="15"/>
  <c r="Y100" i="15"/>
  <c r="Y101" i="15"/>
  <c r="Y102" i="15"/>
  <c r="Y103" i="15"/>
  <c r="Y104" i="15"/>
  <c r="Y105" i="15"/>
  <c r="Y106" i="15"/>
  <c r="Y107" i="15"/>
  <c r="Y109" i="15"/>
  <c r="Y110" i="15"/>
  <c r="Y111" i="15"/>
  <c r="Y112" i="15"/>
  <c r="Y113" i="15"/>
  <c r="Y114" i="15"/>
  <c r="Y115" i="15"/>
  <c r="Y116" i="15"/>
  <c r="Y117" i="15"/>
  <c r="Y118" i="15"/>
  <c r="Y119" i="15"/>
  <c r="Y120" i="15"/>
  <c r="Y121" i="15"/>
  <c r="Y122" i="15"/>
  <c r="Y123" i="15"/>
  <c r="Y124" i="15"/>
  <c r="Y125" i="15"/>
  <c r="Y126" i="15"/>
  <c r="Y127" i="15"/>
  <c r="Y128" i="15"/>
  <c r="Y129" i="15"/>
  <c r="Y130" i="15"/>
  <c r="Y131" i="15"/>
  <c r="Y132" i="15"/>
  <c r="Y133" i="15"/>
  <c r="Y134" i="15"/>
  <c r="Y135" i="15"/>
  <c r="Y136" i="15"/>
  <c r="Y137" i="15"/>
  <c r="Y138" i="15"/>
  <c r="Y139" i="15"/>
  <c r="Y140" i="15"/>
  <c r="Y141" i="15"/>
  <c r="Y142" i="15"/>
  <c r="Y143" i="15"/>
  <c r="Y144" i="15"/>
  <c r="Y145" i="15"/>
  <c r="Y146" i="15"/>
  <c r="Y147" i="15"/>
  <c r="Y148" i="15"/>
  <c r="Y149" i="15"/>
  <c r="Y150" i="15"/>
  <c r="Y151" i="15"/>
  <c r="Y152" i="15"/>
  <c r="Y153" i="15"/>
  <c r="Y154" i="15"/>
  <c r="Y155" i="15"/>
  <c r="Y156" i="15"/>
  <c r="Y157" i="15"/>
  <c r="Y158" i="15"/>
  <c r="Y159" i="15"/>
  <c r="Y160" i="15"/>
  <c r="Y161" i="15"/>
  <c r="Y162" i="15"/>
  <c r="Y163" i="15"/>
  <c r="Y164" i="15"/>
  <c r="Y165" i="15"/>
  <c r="Y166" i="15"/>
  <c r="Y167" i="15"/>
  <c r="Y168" i="15"/>
  <c r="Y169" i="15"/>
  <c r="Y170" i="15"/>
  <c r="Y171" i="15"/>
  <c r="Y172" i="15"/>
  <c r="Y173" i="15"/>
  <c r="Y174" i="15"/>
  <c r="Y175" i="15"/>
  <c r="Y176" i="15"/>
  <c r="Y177" i="15"/>
  <c r="Y178" i="15"/>
  <c r="Y179" i="15"/>
  <c r="Y180" i="15"/>
  <c r="Y181" i="15"/>
  <c r="Y182" i="15"/>
  <c r="Y183" i="15"/>
  <c r="Y184" i="15"/>
  <c r="Y185" i="15"/>
  <c r="Y186" i="15"/>
  <c r="Y187" i="15"/>
  <c r="Y188" i="15"/>
  <c r="Y189" i="15"/>
  <c r="Y191" i="15"/>
  <c r="Y192" i="15"/>
  <c r="Y193" i="15"/>
  <c r="Y194" i="15"/>
  <c r="Y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Y51" i="15" s="1"/>
  <c r="K399" i="16"/>
  <c r="K398" i="16" s="1"/>
  <c r="K397" i="16"/>
  <c r="K396" i="16" s="1"/>
  <c r="K394" i="16"/>
  <c r="M48" i="15" s="1"/>
  <c r="Q48" i="15" s="1"/>
  <c r="K395" i="16"/>
  <c r="K387" i="16"/>
  <c r="K386" i="16" s="1"/>
  <c r="M43" i="15" s="1"/>
  <c r="K384" i="16"/>
  <c r="M41" i="15" s="1"/>
  <c r="Q41" i="15" s="1"/>
  <c r="J384" i="20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L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X195" i="15"/>
  <c r="W195" i="15"/>
  <c r="V195" i="15"/>
  <c r="U195" i="15"/>
  <c r="T195" i="15"/>
  <c r="AC195" i="15" s="1"/>
  <c r="S195" i="15"/>
  <c r="R195" i="15"/>
  <c r="X194" i="15"/>
  <c r="W194" i="15"/>
  <c r="V194" i="15"/>
  <c r="U194" i="15"/>
  <c r="T194" i="15"/>
  <c r="S194" i="15"/>
  <c r="R194" i="15"/>
  <c r="X193" i="15"/>
  <c r="W193" i="15"/>
  <c r="V193" i="15"/>
  <c r="U193" i="15"/>
  <c r="T193" i="15"/>
  <c r="X192" i="15"/>
  <c r="W192" i="15"/>
  <c r="V192" i="15"/>
  <c r="U192" i="15"/>
  <c r="T192" i="15"/>
  <c r="S192" i="15"/>
  <c r="R192" i="15"/>
  <c r="X191" i="15"/>
  <c r="W191" i="15"/>
  <c r="V191" i="15"/>
  <c r="U191" i="15"/>
  <c r="T191" i="15"/>
  <c r="S191" i="15"/>
  <c r="R191" i="15"/>
  <c r="W190" i="15"/>
  <c r="V190" i="15"/>
  <c r="U190" i="15"/>
  <c r="T190" i="15"/>
  <c r="S190" i="15"/>
  <c r="V189" i="15"/>
  <c r="U189" i="15"/>
  <c r="T189" i="15"/>
  <c r="S189" i="15"/>
  <c r="U188" i="15"/>
  <c r="T188" i="15"/>
  <c r="S188" i="15"/>
  <c r="X187" i="15"/>
  <c r="W187" i="15"/>
  <c r="U187" i="15"/>
  <c r="T187" i="15"/>
  <c r="S187" i="15"/>
  <c r="S186" i="15"/>
  <c r="S185" i="15"/>
  <c r="S184" i="15"/>
  <c r="S183" i="15"/>
  <c r="X182" i="15"/>
  <c r="W182" i="15"/>
  <c r="V182" i="15"/>
  <c r="U182" i="15"/>
  <c r="T182" i="15"/>
  <c r="S182" i="15"/>
  <c r="R182" i="15"/>
  <c r="S181" i="15"/>
  <c r="X180" i="15"/>
  <c r="W180" i="15"/>
  <c r="V180" i="15"/>
  <c r="S180" i="15"/>
  <c r="X179" i="15"/>
  <c r="W179" i="15"/>
  <c r="V179" i="15"/>
  <c r="S179" i="15"/>
  <c r="X178" i="15"/>
  <c r="W178" i="15"/>
  <c r="V178" i="15"/>
  <c r="S178" i="15"/>
  <c r="U177" i="15"/>
  <c r="T177" i="15"/>
  <c r="S177" i="15"/>
  <c r="X176" i="15"/>
  <c r="W176" i="15"/>
  <c r="V176" i="15"/>
  <c r="T176" i="15"/>
  <c r="S176" i="15"/>
  <c r="X175" i="15"/>
  <c r="W175" i="15"/>
  <c r="V175" i="15"/>
  <c r="U175" i="15"/>
  <c r="T175" i="15"/>
  <c r="S175" i="15"/>
  <c r="R175" i="15"/>
  <c r="X174" i="15"/>
  <c r="W174" i="15"/>
  <c r="V174" i="15"/>
  <c r="U174" i="15"/>
  <c r="S174" i="15"/>
  <c r="X173" i="15"/>
  <c r="W173" i="15"/>
  <c r="V173" i="15"/>
  <c r="U173" i="15"/>
  <c r="T173" i="15"/>
  <c r="X172" i="15"/>
  <c r="W172" i="15"/>
  <c r="V172" i="15"/>
  <c r="U172" i="15"/>
  <c r="T172" i="15"/>
  <c r="S172" i="15"/>
  <c r="R172" i="15"/>
  <c r="X171" i="15"/>
  <c r="W171" i="15"/>
  <c r="V171" i="15"/>
  <c r="U171" i="15"/>
  <c r="T171" i="15"/>
  <c r="S171" i="15"/>
  <c r="R171" i="15"/>
  <c r="X170" i="15"/>
  <c r="W170" i="15"/>
  <c r="V170" i="15"/>
  <c r="U170" i="15"/>
  <c r="T170" i="15"/>
  <c r="S170" i="15"/>
  <c r="R170" i="15"/>
  <c r="X169" i="15"/>
  <c r="W169" i="15"/>
  <c r="V169" i="15"/>
  <c r="U169" i="15"/>
  <c r="T169" i="15"/>
  <c r="S169" i="15"/>
  <c r="R169" i="15"/>
  <c r="X168" i="15"/>
  <c r="W168" i="15"/>
  <c r="V168" i="15"/>
  <c r="U168" i="15"/>
  <c r="T168" i="15"/>
  <c r="S168" i="15"/>
  <c r="R168" i="15"/>
  <c r="X167" i="15"/>
  <c r="W167" i="15"/>
  <c r="V167" i="15"/>
  <c r="U167" i="15"/>
  <c r="T167" i="15"/>
  <c r="S167" i="15"/>
  <c r="R167" i="15"/>
  <c r="X166" i="15"/>
  <c r="W166" i="15"/>
  <c r="V166" i="15"/>
  <c r="U166" i="15"/>
  <c r="T166" i="15"/>
  <c r="S166" i="15"/>
  <c r="R166" i="15"/>
  <c r="X165" i="15"/>
  <c r="W165" i="15"/>
  <c r="V165" i="15"/>
  <c r="U165" i="15"/>
  <c r="T165" i="15"/>
  <c r="AC165" i="15" s="1"/>
  <c r="S165" i="15"/>
  <c r="R165" i="15"/>
  <c r="X164" i="15"/>
  <c r="W164" i="15"/>
  <c r="V164" i="15"/>
  <c r="U164" i="15"/>
  <c r="T164" i="15"/>
  <c r="S164" i="15"/>
  <c r="R164" i="15"/>
  <c r="X163" i="15"/>
  <c r="W163" i="15"/>
  <c r="V163" i="15"/>
  <c r="U163" i="15"/>
  <c r="T163" i="15"/>
  <c r="S163" i="15"/>
  <c r="R163" i="15"/>
  <c r="X162" i="15"/>
  <c r="W162" i="15"/>
  <c r="V162" i="15"/>
  <c r="U162" i="15"/>
  <c r="T162" i="15"/>
  <c r="S162" i="15"/>
  <c r="R162" i="15"/>
  <c r="X161" i="15"/>
  <c r="W161" i="15"/>
  <c r="V161" i="15"/>
  <c r="U161" i="15"/>
  <c r="T161" i="15"/>
  <c r="AC161" i="15" s="1"/>
  <c r="S161" i="15"/>
  <c r="R161" i="15"/>
  <c r="X160" i="15"/>
  <c r="W160" i="15"/>
  <c r="V160" i="15"/>
  <c r="U160" i="15"/>
  <c r="T160" i="15"/>
  <c r="X159" i="15"/>
  <c r="W159" i="15"/>
  <c r="V159" i="15"/>
  <c r="U159" i="15"/>
  <c r="T159" i="15"/>
  <c r="AC159" i="15" s="1"/>
  <c r="S159" i="15"/>
  <c r="J513" i="20"/>
  <c r="L513" i="20" s="1"/>
  <c r="X158" i="15"/>
  <c r="W158" i="15"/>
  <c r="V158" i="15"/>
  <c r="U158" i="15"/>
  <c r="T158" i="15"/>
  <c r="S158" i="15"/>
  <c r="X157" i="15"/>
  <c r="W157" i="15"/>
  <c r="V157" i="15"/>
  <c r="U157" i="15"/>
  <c r="T157" i="15"/>
  <c r="AC157" i="15" s="1"/>
  <c r="S157" i="15"/>
  <c r="L507" i="20"/>
  <c r="N507" i="20" s="1"/>
  <c r="X156" i="15"/>
  <c r="W156" i="15"/>
  <c r="V156" i="15"/>
  <c r="U156" i="15"/>
  <c r="T156" i="15"/>
  <c r="AC156" i="15" s="1"/>
  <c r="S156" i="15"/>
  <c r="X155" i="15"/>
  <c r="W155" i="15"/>
  <c r="V155" i="15"/>
  <c r="U155" i="15"/>
  <c r="T155" i="15"/>
  <c r="AC155" i="15" s="1"/>
  <c r="S155" i="15"/>
  <c r="L501" i="20"/>
  <c r="N501" i="20" s="1"/>
  <c r="X154" i="15"/>
  <c r="W154" i="15"/>
  <c r="V154" i="15"/>
  <c r="U154" i="15"/>
  <c r="T154" i="15"/>
  <c r="AC154" i="15" s="1"/>
  <c r="S154" i="15"/>
  <c r="L498" i="20"/>
  <c r="N498" i="20" s="1"/>
  <c r="X153" i="15"/>
  <c r="W153" i="15"/>
  <c r="V153" i="15"/>
  <c r="U153" i="15"/>
  <c r="T153" i="15"/>
  <c r="AC153" i="15" s="1"/>
  <c r="S153" i="15"/>
  <c r="X152" i="15"/>
  <c r="W152" i="15"/>
  <c r="V152" i="15"/>
  <c r="U152" i="15"/>
  <c r="T152" i="15"/>
  <c r="S152" i="15"/>
  <c r="X151" i="15"/>
  <c r="W151" i="15"/>
  <c r="V151" i="15"/>
  <c r="U151" i="15"/>
  <c r="T151" i="15"/>
  <c r="AC151" i="15" s="1"/>
  <c r="S151" i="15"/>
  <c r="X150" i="15"/>
  <c r="W150" i="15"/>
  <c r="V150" i="15"/>
  <c r="U150" i="15"/>
  <c r="T150" i="15"/>
  <c r="S150" i="15"/>
  <c r="X149" i="15"/>
  <c r="W149" i="15"/>
  <c r="V149" i="15"/>
  <c r="U149" i="15"/>
  <c r="T149" i="15"/>
  <c r="AC149" i="15" s="1"/>
  <c r="S149" i="15"/>
  <c r="X148" i="15"/>
  <c r="W148" i="15"/>
  <c r="V148" i="15"/>
  <c r="U148" i="15"/>
  <c r="T148" i="15"/>
  <c r="S148" i="15"/>
  <c r="X147" i="15"/>
  <c r="W147" i="15"/>
  <c r="V147" i="15"/>
  <c r="U147" i="15"/>
  <c r="T147" i="15"/>
  <c r="AC147" i="15" s="1"/>
  <c r="S147" i="15"/>
  <c r="X146" i="15"/>
  <c r="W146" i="15"/>
  <c r="V146" i="15"/>
  <c r="U146" i="15"/>
  <c r="T146" i="15"/>
  <c r="S146" i="15"/>
  <c r="X145" i="15"/>
  <c r="W145" i="15"/>
  <c r="V145" i="15"/>
  <c r="U145" i="15"/>
  <c r="T145" i="15"/>
  <c r="AC145" i="15" s="1"/>
  <c r="S145" i="15"/>
  <c r="X144" i="15"/>
  <c r="W144" i="15"/>
  <c r="V144" i="15"/>
  <c r="U144" i="15"/>
  <c r="T144" i="15"/>
  <c r="S144" i="15"/>
  <c r="L468" i="20"/>
  <c r="N468" i="20" s="1"/>
  <c r="X143" i="15"/>
  <c r="W143" i="15"/>
  <c r="V143" i="15"/>
  <c r="U143" i="15"/>
  <c r="T143" i="15"/>
  <c r="S143" i="15"/>
  <c r="L465" i="20"/>
  <c r="N465" i="20" s="1"/>
  <c r="X142" i="15"/>
  <c r="W142" i="15"/>
  <c r="V142" i="15"/>
  <c r="U142" i="15"/>
  <c r="T142" i="15"/>
  <c r="S142" i="15"/>
  <c r="X141" i="15"/>
  <c r="W141" i="15"/>
  <c r="V141" i="15"/>
  <c r="U141" i="15"/>
  <c r="T141" i="15"/>
  <c r="S141" i="15"/>
  <c r="X140" i="15"/>
  <c r="W140" i="15"/>
  <c r="V140" i="15"/>
  <c r="U140" i="15"/>
  <c r="T140" i="15"/>
  <c r="AC140" i="15" s="1"/>
  <c r="S140" i="15"/>
  <c r="L456" i="20"/>
  <c r="N456" i="20" s="1"/>
  <c r="X139" i="15"/>
  <c r="W139" i="15"/>
  <c r="V139" i="15"/>
  <c r="U139" i="15"/>
  <c r="T139" i="15"/>
  <c r="S139" i="15"/>
  <c r="L453" i="20"/>
  <c r="N453" i="20" s="1"/>
  <c r="X138" i="15"/>
  <c r="W138" i="15"/>
  <c r="V138" i="15"/>
  <c r="U138" i="15"/>
  <c r="T138" i="15"/>
  <c r="S138" i="15"/>
  <c r="L450" i="20"/>
  <c r="N450" i="20" s="1"/>
  <c r="X137" i="15"/>
  <c r="W137" i="15"/>
  <c r="V137" i="15"/>
  <c r="U137" i="15"/>
  <c r="T137" i="15"/>
  <c r="X136" i="15"/>
  <c r="W136" i="15"/>
  <c r="V136" i="15"/>
  <c r="U136" i="15"/>
  <c r="T136" i="15"/>
  <c r="S136" i="15"/>
  <c r="R136" i="15"/>
  <c r="X135" i="15"/>
  <c r="W135" i="15"/>
  <c r="V135" i="15"/>
  <c r="U135" i="15"/>
  <c r="T135" i="15"/>
  <c r="S135" i="15"/>
  <c r="R135" i="15"/>
  <c r="X134" i="15"/>
  <c r="W134" i="15"/>
  <c r="V134" i="15"/>
  <c r="U134" i="15"/>
  <c r="T134" i="15"/>
  <c r="AC134" i="15" s="1"/>
  <c r="S134" i="15"/>
  <c r="R134" i="15"/>
  <c r="X133" i="15"/>
  <c r="W133" i="15"/>
  <c r="V133" i="15"/>
  <c r="U133" i="15"/>
  <c r="T133" i="15"/>
  <c r="S133" i="15"/>
  <c r="R133" i="15"/>
  <c r="X132" i="15"/>
  <c r="W132" i="15"/>
  <c r="V132" i="15"/>
  <c r="U132" i="15"/>
  <c r="T132" i="15"/>
  <c r="S132" i="15"/>
  <c r="R132" i="15"/>
  <c r="X131" i="15"/>
  <c r="W131" i="15"/>
  <c r="V131" i="15"/>
  <c r="U131" i="15"/>
  <c r="T131" i="15"/>
  <c r="S131" i="15"/>
  <c r="R131" i="15"/>
  <c r="X130" i="15"/>
  <c r="W130" i="15"/>
  <c r="V130" i="15"/>
  <c r="U130" i="15"/>
  <c r="T130" i="15"/>
  <c r="S130" i="15"/>
  <c r="R130" i="15"/>
  <c r="X129" i="15"/>
  <c r="W129" i="15"/>
  <c r="V129" i="15"/>
  <c r="U129" i="15"/>
  <c r="T129" i="15"/>
  <c r="S129" i="15"/>
  <c r="R129" i="15"/>
  <c r="X128" i="15"/>
  <c r="W128" i="15"/>
  <c r="V128" i="15"/>
  <c r="U128" i="15"/>
  <c r="T128" i="15"/>
  <c r="S128" i="15"/>
  <c r="R128" i="15"/>
  <c r="X127" i="15"/>
  <c r="W127" i="15"/>
  <c r="V127" i="15"/>
  <c r="U127" i="15"/>
  <c r="T127" i="15"/>
  <c r="X126" i="15"/>
  <c r="W126" i="15"/>
  <c r="V126" i="15"/>
  <c r="U126" i="15"/>
  <c r="T126" i="15"/>
  <c r="S126" i="15"/>
  <c r="R126" i="15"/>
  <c r="X125" i="15"/>
  <c r="W125" i="15"/>
  <c r="V125" i="15"/>
  <c r="U125" i="15"/>
  <c r="T125" i="15"/>
  <c r="S125" i="15"/>
  <c r="R125" i="15"/>
  <c r="X124" i="15"/>
  <c r="W124" i="15"/>
  <c r="V124" i="15"/>
  <c r="U124" i="15"/>
  <c r="T124" i="15"/>
  <c r="AC124" i="15" s="1"/>
  <c r="S124" i="15"/>
  <c r="R124" i="15"/>
  <c r="X123" i="15"/>
  <c r="W123" i="15"/>
  <c r="V123" i="15"/>
  <c r="U123" i="15"/>
  <c r="T123" i="15"/>
  <c r="S123" i="15"/>
  <c r="R123" i="15"/>
  <c r="X122" i="15"/>
  <c r="W122" i="15"/>
  <c r="V122" i="15"/>
  <c r="U122" i="15"/>
  <c r="T122" i="15"/>
  <c r="S122" i="15"/>
  <c r="R122" i="15"/>
  <c r="X121" i="15"/>
  <c r="W121" i="15"/>
  <c r="V121" i="15"/>
  <c r="U121" i="15"/>
  <c r="T121" i="15"/>
  <c r="S121" i="15"/>
  <c r="R121" i="15"/>
  <c r="X120" i="15"/>
  <c r="W120" i="15"/>
  <c r="V120" i="15"/>
  <c r="U120" i="15"/>
  <c r="T120" i="15"/>
  <c r="AC120" i="15" s="1"/>
  <c r="S120" i="15"/>
  <c r="R120" i="15"/>
  <c r="X119" i="15"/>
  <c r="W119" i="15"/>
  <c r="AC119" i="15" s="1"/>
  <c r="V119" i="15"/>
  <c r="U119" i="15"/>
  <c r="T119" i="15"/>
  <c r="S119" i="15"/>
  <c r="L441" i="20"/>
  <c r="N441" i="20" s="1"/>
  <c r="X118" i="15"/>
  <c r="W118" i="15"/>
  <c r="V118" i="15"/>
  <c r="U118" i="15"/>
  <c r="T118" i="15"/>
  <c r="X117" i="15"/>
  <c r="W117" i="15"/>
  <c r="V117" i="15"/>
  <c r="U117" i="15"/>
  <c r="T117" i="15"/>
  <c r="S117" i="15"/>
  <c r="R117" i="15"/>
  <c r="X116" i="15"/>
  <c r="W116" i="15"/>
  <c r="V116" i="15"/>
  <c r="U116" i="15"/>
  <c r="T116" i="15"/>
  <c r="S116" i="15"/>
  <c r="R116" i="15"/>
  <c r="X115" i="15"/>
  <c r="W115" i="15"/>
  <c r="V115" i="15"/>
  <c r="U115" i="15"/>
  <c r="T115" i="15"/>
  <c r="S115" i="15"/>
  <c r="R115" i="15"/>
  <c r="X114" i="15"/>
  <c r="W114" i="15"/>
  <c r="V114" i="15"/>
  <c r="U114" i="15"/>
  <c r="T114" i="15"/>
  <c r="AC114" i="15" s="1"/>
  <c r="S114" i="15"/>
  <c r="R114" i="15"/>
  <c r="X113" i="15"/>
  <c r="W113" i="15"/>
  <c r="V113" i="15"/>
  <c r="U113" i="15"/>
  <c r="T113" i="15"/>
  <c r="S113" i="15"/>
  <c r="R113" i="15"/>
  <c r="X112" i="15"/>
  <c r="W112" i="15"/>
  <c r="V112" i="15"/>
  <c r="U112" i="15"/>
  <c r="T112" i="15"/>
  <c r="S112" i="15"/>
  <c r="R112" i="15"/>
  <c r="X111" i="15"/>
  <c r="W111" i="15"/>
  <c r="V111" i="15"/>
  <c r="U111" i="15"/>
  <c r="T111" i="15"/>
  <c r="S111" i="15"/>
  <c r="R111" i="15"/>
  <c r="X110" i="15"/>
  <c r="W110" i="15"/>
  <c r="V110" i="15"/>
  <c r="U110" i="15"/>
  <c r="T110" i="15"/>
  <c r="AC110" i="15" s="1"/>
  <c r="S110" i="15"/>
  <c r="R110" i="15"/>
  <c r="L438" i="20" s="1"/>
  <c r="N438" i="20" s="1"/>
  <c r="X109" i="15"/>
  <c r="W109" i="15"/>
  <c r="V109" i="15"/>
  <c r="U109" i="15"/>
  <c r="T109" i="15"/>
  <c r="AC109" i="15" s="1"/>
  <c r="S109" i="15"/>
  <c r="R109" i="15"/>
  <c r="L436" i="20" s="1"/>
  <c r="N436" i="20" s="1"/>
  <c r="X108" i="15"/>
  <c r="W108" i="15"/>
  <c r="V108" i="15"/>
  <c r="U108" i="15"/>
  <c r="T108" i="15"/>
  <c r="S108" i="15"/>
  <c r="X107" i="15"/>
  <c r="W107" i="15"/>
  <c r="V107" i="15"/>
  <c r="U107" i="15"/>
  <c r="T107" i="15"/>
  <c r="AC107" i="15" s="1"/>
  <c r="S107" i="15"/>
  <c r="R107" i="15"/>
  <c r="X106" i="15"/>
  <c r="W106" i="15"/>
  <c r="V106" i="15"/>
  <c r="U106" i="15"/>
  <c r="T106" i="15"/>
  <c r="S106" i="15"/>
  <c r="R106" i="15"/>
  <c r="X105" i="15"/>
  <c r="W105" i="15"/>
  <c r="V105" i="15"/>
  <c r="U105" i="15"/>
  <c r="T105" i="15"/>
  <c r="S105" i="15"/>
  <c r="R105" i="15"/>
  <c r="X104" i="15"/>
  <c r="W104" i="15"/>
  <c r="V104" i="15"/>
  <c r="U104" i="15"/>
  <c r="T104" i="15"/>
  <c r="S104" i="15"/>
  <c r="R104" i="15"/>
  <c r="X103" i="15"/>
  <c r="W103" i="15"/>
  <c r="V103" i="15"/>
  <c r="U103" i="15"/>
  <c r="T103" i="15"/>
  <c r="AC103" i="15" s="1"/>
  <c r="S103" i="15"/>
  <c r="R103" i="15"/>
  <c r="X102" i="15"/>
  <c r="W102" i="15"/>
  <c r="V102" i="15"/>
  <c r="U102" i="15"/>
  <c r="T102" i="15"/>
  <c r="S102" i="15"/>
  <c r="R102" i="15"/>
  <c r="X101" i="15"/>
  <c r="W101" i="15"/>
  <c r="V101" i="15"/>
  <c r="U101" i="15"/>
  <c r="T101" i="15"/>
  <c r="S101" i="15"/>
  <c r="R101" i="15"/>
  <c r="X100" i="15"/>
  <c r="W100" i="15"/>
  <c r="V100" i="15"/>
  <c r="U100" i="15"/>
  <c r="T100" i="15"/>
  <c r="S100" i="15"/>
  <c r="R100" i="15"/>
  <c r="X99" i="15"/>
  <c r="W99" i="15"/>
  <c r="V99" i="15"/>
  <c r="U99" i="15"/>
  <c r="T99" i="15"/>
  <c r="AC99" i="15" s="1"/>
  <c r="S99" i="15"/>
  <c r="R99" i="15"/>
  <c r="X98" i="15"/>
  <c r="W98" i="15"/>
  <c r="V98" i="15"/>
  <c r="U98" i="15"/>
  <c r="T98" i="15"/>
  <c r="S98" i="15"/>
  <c r="R98" i="15"/>
  <c r="X97" i="15"/>
  <c r="W97" i="15"/>
  <c r="V97" i="15"/>
  <c r="U97" i="15"/>
  <c r="T97" i="15"/>
  <c r="S97" i="15"/>
  <c r="R97" i="15"/>
  <c r="X96" i="15"/>
  <c r="W96" i="15"/>
  <c r="V96" i="15"/>
  <c r="U96" i="15"/>
  <c r="T96" i="15"/>
  <c r="S96" i="15"/>
  <c r="R96" i="15"/>
  <c r="X95" i="15"/>
  <c r="W95" i="15"/>
  <c r="V95" i="15"/>
  <c r="U95" i="15"/>
  <c r="T95" i="15"/>
  <c r="AC95" i="15" s="1"/>
  <c r="S95" i="15"/>
  <c r="R95" i="15"/>
  <c r="X94" i="15"/>
  <c r="W94" i="15"/>
  <c r="V94" i="15"/>
  <c r="U94" i="15"/>
  <c r="T94" i="15"/>
  <c r="S94" i="15"/>
  <c r="R94" i="15"/>
  <c r="X93" i="15"/>
  <c r="W93" i="15"/>
  <c r="V93" i="15"/>
  <c r="U93" i="15"/>
  <c r="T93" i="15"/>
  <c r="S93" i="15"/>
  <c r="R93" i="15"/>
  <c r="X92" i="15"/>
  <c r="W92" i="15"/>
  <c r="V92" i="15"/>
  <c r="U92" i="15"/>
  <c r="T92" i="15"/>
  <c r="S92" i="15"/>
  <c r="R92" i="15"/>
  <c r="X91" i="15"/>
  <c r="W91" i="15"/>
  <c r="V91" i="15"/>
  <c r="U91" i="15"/>
  <c r="T91" i="15"/>
  <c r="AC91" i="15" s="1"/>
  <c r="S91" i="15"/>
  <c r="R91" i="15"/>
  <c r="X90" i="15"/>
  <c r="W90" i="15"/>
  <c r="V90" i="15"/>
  <c r="U90" i="15"/>
  <c r="T90" i="15"/>
  <c r="S90" i="15"/>
  <c r="R90" i="15"/>
  <c r="X89" i="15"/>
  <c r="W89" i="15"/>
  <c r="V89" i="15"/>
  <c r="U89" i="15"/>
  <c r="T89" i="15"/>
  <c r="X88" i="15"/>
  <c r="W88" i="15"/>
  <c r="V88" i="15"/>
  <c r="U88" i="15"/>
  <c r="T88" i="15"/>
  <c r="S88" i="15"/>
  <c r="R88" i="15"/>
  <c r="X87" i="15"/>
  <c r="W87" i="15"/>
  <c r="V87" i="15"/>
  <c r="U87" i="15"/>
  <c r="T87" i="15"/>
  <c r="S87" i="15"/>
  <c r="R87" i="15"/>
  <c r="X86" i="15"/>
  <c r="W86" i="15"/>
  <c r="V86" i="15"/>
  <c r="U86" i="15"/>
  <c r="T86" i="15"/>
  <c r="S86" i="15"/>
  <c r="R86" i="15"/>
  <c r="X85" i="15"/>
  <c r="W85" i="15"/>
  <c r="V85" i="15"/>
  <c r="U85" i="15"/>
  <c r="T85" i="15"/>
  <c r="AC85" i="15" s="1"/>
  <c r="S85" i="15"/>
  <c r="R85" i="15"/>
  <c r="X84" i="15"/>
  <c r="W84" i="15"/>
  <c r="V84" i="15"/>
  <c r="U84" i="15"/>
  <c r="T84" i="15"/>
  <c r="S84" i="15"/>
  <c r="R84" i="15"/>
  <c r="X83" i="15"/>
  <c r="W83" i="15"/>
  <c r="V83" i="15"/>
  <c r="U83" i="15"/>
  <c r="T83" i="15"/>
  <c r="AC83" i="15" s="1"/>
  <c r="S83" i="15"/>
  <c r="X82" i="15"/>
  <c r="W82" i="15"/>
  <c r="V82" i="15"/>
  <c r="U82" i="15"/>
  <c r="T82" i="15"/>
  <c r="AC82" i="15" s="1"/>
  <c r="S82" i="15"/>
  <c r="X81" i="15"/>
  <c r="W81" i="15"/>
  <c r="V81" i="15"/>
  <c r="U81" i="15"/>
  <c r="T81" i="15"/>
  <c r="X80" i="15"/>
  <c r="W80" i="15"/>
  <c r="V80" i="15"/>
  <c r="U80" i="15"/>
  <c r="T80" i="15"/>
  <c r="S80" i="15"/>
  <c r="R80" i="15"/>
  <c r="X79" i="15"/>
  <c r="W79" i="15"/>
  <c r="V79" i="15"/>
  <c r="U79" i="15"/>
  <c r="T79" i="15"/>
  <c r="S79" i="15"/>
  <c r="R79" i="15"/>
  <c r="X78" i="15"/>
  <c r="W78" i="15"/>
  <c r="V78" i="15"/>
  <c r="U78" i="15"/>
  <c r="T78" i="15"/>
  <c r="S78" i="15"/>
  <c r="R78" i="15"/>
  <c r="X77" i="15"/>
  <c r="W77" i="15"/>
  <c r="V77" i="15"/>
  <c r="U77" i="15"/>
  <c r="T77" i="15"/>
  <c r="AC77" i="15" s="1"/>
  <c r="S77" i="15"/>
  <c r="R77" i="15"/>
  <c r="X76" i="15"/>
  <c r="W76" i="15"/>
  <c r="V76" i="15"/>
  <c r="U76" i="15"/>
  <c r="T76" i="15"/>
  <c r="S76" i="15"/>
  <c r="R76" i="15"/>
  <c r="X75" i="15"/>
  <c r="W75" i="15"/>
  <c r="V75" i="15"/>
  <c r="U75" i="15"/>
  <c r="T75" i="15"/>
  <c r="S75" i="15"/>
  <c r="R75" i="15"/>
  <c r="X74" i="15"/>
  <c r="W74" i="15"/>
  <c r="V74" i="15"/>
  <c r="U74" i="15"/>
  <c r="T74" i="15"/>
  <c r="X73" i="15"/>
  <c r="W73" i="15"/>
  <c r="V73" i="15"/>
  <c r="U73" i="15"/>
  <c r="T73" i="15"/>
  <c r="S73" i="15"/>
  <c r="R73" i="15"/>
  <c r="X72" i="15"/>
  <c r="W72" i="15"/>
  <c r="V72" i="15"/>
  <c r="U72" i="15"/>
  <c r="T72" i="15"/>
  <c r="S72" i="15"/>
  <c r="R72" i="15"/>
  <c r="X71" i="15"/>
  <c r="W71" i="15"/>
  <c r="V71" i="15"/>
  <c r="U71" i="15"/>
  <c r="T71" i="15"/>
  <c r="S71" i="15"/>
  <c r="R71" i="15"/>
  <c r="X70" i="15"/>
  <c r="W70" i="15"/>
  <c r="V70" i="15"/>
  <c r="U70" i="15"/>
  <c r="T70" i="15"/>
  <c r="S70" i="15"/>
  <c r="R70" i="15"/>
  <c r="X69" i="15"/>
  <c r="W69" i="15"/>
  <c r="V69" i="15"/>
  <c r="U69" i="15"/>
  <c r="T69" i="15"/>
  <c r="S69" i="15"/>
  <c r="R69" i="15"/>
  <c r="X68" i="15"/>
  <c r="W68" i="15"/>
  <c r="V68" i="15"/>
  <c r="U68" i="15"/>
  <c r="T68" i="15"/>
  <c r="S68" i="15"/>
  <c r="R68" i="15"/>
  <c r="X67" i="15"/>
  <c r="W67" i="15"/>
  <c r="V67" i="15"/>
  <c r="U67" i="15"/>
  <c r="T67" i="15"/>
  <c r="S67" i="15"/>
  <c r="R67" i="15"/>
  <c r="X66" i="15"/>
  <c r="W66" i="15"/>
  <c r="V66" i="15"/>
  <c r="U66" i="15"/>
  <c r="T66" i="15"/>
  <c r="S66" i="15"/>
  <c r="R66" i="15"/>
  <c r="X65" i="15"/>
  <c r="W65" i="15"/>
  <c r="V65" i="15"/>
  <c r="U65" i="15"/>
  <c r="T65" i="15"/>
  <c r="X64" i="15"/>
  <c r="W64" i="15"/>
  <c r="V64" i="15"/>
  <c r="U64" i="15"/>
  <c r="T64" i="15"/>
  <c r="S64" i="15"/>
  <c r="R64" i="15"/>
  <c r="X63" i="15"/>
  <c r="W63" i="15"/>
  <c r="V63" i="15"/>
  <c r="U63" i="15"/>
  <c r="T63" i="15"/>
  <c r="S63" i="15"/>
  <c r="L420" i="20"/>
  <c r="N420" i="20" s="1"/>
  <c r="X62" i="15"/>
  <c r="W62" i="15"/>
  <c r="V62" i="15"/>
  <c r="U62" i="15"/>
  <c r="T62" i="15"/>
  <c r="S62" i="15"/>
  <c r="X61" i="15"/>
  <c r="W61" i="15"/>
  <c r="V61" i="15"/>
  <c r="U61" i="15"/>
  <c r="T61" i="15"/>
  <c r="AC61" i="15" s="1"/>
  <c r="S61" i="15"/>
  <c r="R61" i="15"/>
  <c r="X60" i="15"/>
  <c r="W60" i="15"/>
  <c r="V60" i="15"/>
  <c r="U60" i="15"/>
  <c r="T60" i="15"/>
  <c r="V59" i="15"/>
  <c r="U59" i="15"/>
  <c r="T59" i="15"/>
  <c r="S59" i="15"/>
  <c r="V58" i="15"/>
  <c r="U58" i="15"/>
  <c r="T58" i="15"/>
  <c r="S58" i="15"/>
  <c r="V57" i="15"/>
  <c r="U57" i="15"/>
  <c r="T57" i="15"/>
  <c r="S57" i="15"/>
  <c r="V56" i="15"/>
  <c r="U56" i="15"/>
  <c r="T56" i="15"/>
  <c r="S56" i="15"/>
  <c r="X55" i="15"/>
  <c r="W55" i="15"/>
  <c r="V55" i="15"/>
  <c r="U55" i="15"/>
  <c r="T55" i="15"/>
  <c r="AC55" i="15" s="1"/>
  <c r="X54" i="15"/>
  <c r="W54" i="15"/>
  <c r="V54" i="15"/>
  <c r="U54" i="15"/>
  <c r="T54" i="15"/>
  <c r="S54" i="15"/>
  <c r="X53" i="15"/>
  <c r="W53" i="15"/>
  <c r="V53" i="15"/>
  <c r="U53" i="15"/>
  <c r="T53" i="15"/>
  <c r="S53" i="15"/>
  <c r="V52" i="15"/>
  <c r="U52" i="15"/>
  <c r="T52" i="15"/>
  <c r="S52" i="15"/>
  <c r="V51" i="15"/>
  <c r="U51" i="15"/>
  <c r="T51" i="15"/>
  <c r="S51" i="15"/>
  <c r="X50" i="15"/>
  <c r="W50" i="15"/>
  <c r="V50" i="15"/>
  <c r="U50" i="15"/>
  <c r="T50" i="15"/>
  <c r="S50" i="15"/>
  <c r="X49" i="15"/>
  <c r="W49" i="15"/>
  <c r="V49" i="15"/>
  <c r="U49" i="15"/>
  <c r="T49" i="15"/>
  <c r="S49" i="15"/>
  <c r="X48" i="15"/>
  <c r="W48" i="15"/>
  <c r="V48" i="15"/>
  <c r="U48" i="15"/>
  <c r="T48" i="15"/>
  <c r="S48" i="15"/>
  <c r="V47" i="15"/>
  <c r="U47" i="15"/>
  <c r="T47" i="15"/>
  <c r="S47" i="15"/>
  <c r="V46" i="15"/>
  <c r="U46" i="15"/>
  <c r="T46" i="15"/>
  <c r="S46" i="15"/>
  <c r="W45" i="15"/>
  <c r="V45" i="15"/>
  <c r="U45" i="15"/>
  <c r="T45" i="15"/>
  <c r="S45" i="15"/>
  <c r="W44" i="15"/>
  <c r="V44" i="15"/>
  <c r="U44" i="15"/>
  <c r="T44" i="15"/>
  <c r="S44" i="15"/>
  <c r="V43" i="15"/>
  <c r="U43" i="15"/>
  <c r="T43" i="15"/>
  <c r="S43" i="15"/>
  <c r="X42" i="15"/>
  <c r="W42" i="15"/>
  <c r="V42" i="15"/>
  <c r="U42" i="15"/>
  <c r="T42" i="15"/>
  <c r="AC42" i="15" s="1"/>
  <c r="S42" i="15"/>
  <c r="X41" i="15"/>
  <c r="W41" i="15"/>
  <c r="V41" i="15"/>
  <c r="U41" i="15"/>
  <c r="T41" i="15"/>
  <c r="S41" i="15"/>
  <c r="V40" i="15"/>
  <c r="U40" i="15"/>
  <c r="T40" i="15"/>
  <c r="S40" i="15"/>
  <c r="X39" i="15"/>
  <c r="W39" i="15"/>
  <c r="V39" i="15"/>
  <c r="U39" i="15"/>
  <c r="T39" i="15"/>
  <c r="X38" i="15"/>
  <c r="V38" i="15"/>
  <c r="U38" i="15"/>
  <c r="T38" i="15"/>
  <c r="S38" i="15"/>
  <c r="X37" i="15"/>
  <c r="W37" i="15"/>
  <c r="T37" i="15"/>
  <c r="S37" i="15"/>
  <c r="X36" i="15"/>
  <c r="W36" i="15"/>
  <c r="T36" i="15"/>
  <c r="S36" i="15"/>
  <c r="X35" i="15"/>
  <c r="W35" i="15"/>
  <c r="V35" i="15"/>
  <c r="U35" i="15"/>
  <c r="T35" i="15"/>
  <c r="S35" i="15"/>
  <c r="R35" i="15"/>
  <c r="X34" i="15"/>
  <c r="W34" i="15"/>
  <c r="V34" i="15"/>
  <c r="T34" i="15"/>
  <c r="S34" i="15"/>
  <c r="X33" i="15"/>
  <c r="W33" i="15"/>
  <c r="T33" i="15"/>
  <c r="S33" i="15"/>
  <c r="X32" i="15"/>
  <c r="W32" i="15"/>
  <c r="V32" i="15"/>
  <c r="T32" i="15"/>
  <c r="S32" i="15"/>
  <c r="X31" i="15"/>
  <c r="W31" i="15"/>
  <c r="V31" i="15"/>
  <c r="U31" i="15"/>
  <c r="T31" i="15"/>
  <c r="AC31" i="15" s="1"/>
  <c r="S31" i="15"/>
  <c r="R31" i="15"/>
  <c r="X30" i="15"/>
  <c r="W30" i="15"/>
  <c r="V30" i="15"/>
  <c r="T30" i="15"/>
  <c r="S30" i="15"/>
  <c r="X29" i="15"/>
  <c r="W29" i="15"/>
  <c r="V29" i="15"/>
  <c r="T29" i="15"/>
  <c r="S29" i="15"/>
  <c r="X28" i="15"/>
  <c r="W28" i="15"/>
  <c r="V28" i="15"/>
  <c r="U28" i="15"/>
  <c r="T28" i="15"/>
  <c r="S28" i="15"/>
  <c r="R28" i="15"/>
  <c r="X27" i="15"/>
  <c r="W27" i="15"/>
  <c r="V27" i="15"/>
  <c r="U27" i="15"/>
  <c r="T27" i="15"/>
  <c r="AC27" i="15" s="1"/>
  <c r="S27" i="15"/>
  <c r="R27" i="15"/>
  <c r="X26" i="15"/>
  <c r="W26" i="15"/>
  <c r="V26" i="15"/>
  <c r="T26" i="15"/>
  <c r="S26" i="15"/>
  <c r="X25" i="15"/>
  <c r="W25" i="15"/>
  <c r="V25" i="15"/>
  <c r="U25" i="15"/>
  <c r="T25" i="15"/>
  <c r="AC25" i="15" s="1"/>
  <c r="X24" i="15"/>
  <c r="W24" i="15"/>
  <c r="V24" i="15"/>
  <c r="U24" i="15"/>
  <c r="T24" i="15"/>
  <c r="S24" i="15"/>
  <c r="R24" i="15"/>
  <c r="X23" i="15"/>
  <c r="W23" i="15"/>
  <c r="U23" i="15"/>
  <c r="T23" i="15"/>
  <c r="S23" i="15"/>
  <c r="X22" i="15"/>
  <c r="W22" i="15"/>
  <c r="S22" i="15"/>
  <c r="X21" i="15"/>
  <c r="W21" i="15"/>
  <c r="V21" i="15"/>
  <c r="U21" i="15"/>
  <c r="S21" i="15"/>
  <c r="X20" i="15"/>
  <c r="W20" i="15"/>
  <c r="V20" i="15"/>
  <c r="U20" i="15"/>
  <c r="T20" i="15"/>
  <c r="X19" i="15"/>
  <c r="W19" i="15"/>
  <c r="V19" i="15"/>
  <c r="U19" i="15"/>
  <c r="T19" i="15"/>
  <c r="S19" i="15"/>
  <c r="R19" i="15"/>
  <c r="X18" i="15"/>
  <c r="W18" i="15"/>
  <c r="V18" i="15"/>
  <c r="U18" i="15"/>
  <c r="T18" i="15"/>
  <c r="S18" i="15"/>
  <c r="R18" i="15"/>
  <c r="X17" i="15"/>
  <c r="W17" i="15"/>
  <c r="V17" i="15"/>
  <c r="T17" i="15"/>
  <c r="S17" i="15"/>
  <c r="X16" i="15"/>
  <c r="W16" i="15"/>
  <c r="V16" i="15"/>
  <c r="T16" i="15"/>
  <c r="S16" i="15"/>
  <c r="X15" i="15"/>
  <c r="W15" i="15"/>
  <c r="V15" i="15"/>
  <c r="T15" i="15"/>
  <c r="S15" i="15"/>
  <c r="X14" i="15"/>
  <c r="W14" i="15"/>
  <c r="V14" i="15"/>
  <c r="U14" i="15"/>
  <c r="S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X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X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AC35" i="15" l="1"/>
  <c r="AC60" i="15"/>
  <c r="AC64" i="15"/>
  <c r="AD64" i="15" s="1"/>
  <c r="AC66" i="15"/>
  <c r="AC70" i="15"/>
  <c r="AC76" i="15"/>
  <c r="AC80" i="15"/>
  <c r="AD80" i="15" s="1"/>
  <c r="AC84" i="15"/>
  <c r="AC88" i="15"/>
  <c r="AC90" i="15"/>
  <c r="AC94" i="15"/>
  <c r="AD94" i="15" s="1"/>
  <c r="AC98" i="15"/>
  <c r="AC102" i="15"/>
  <c r="AC106" i="15"/>
  <c r="AC113" i="15"/>
  <c r="AC117" i="15"/>
  <c r="AC123" i="15"/>
  <c r="AC129" i="15"/>
  <c r="AC133" i="15"/>
  <c r="AD133" i="15" s="1"/>
  <c r="AC139" i="15"/>
  <c r="AC158" i="15"/>
  <c r="AC160" i="15"/>
  <c r="AC164" i="15"/>
  <c r="AC168" i="15"/>
  <c r="AC172" i="15"/>
  <c r="AC192" i="15"/>
  <c r="AC194" i="15"/>
  <c r="L410" i="16"/>
  <c r="M62" i="15"/>
  <c r="AC67" i="15"/>
  <c r="AC71" i="15"/>
  <c r="AC130" i="15"/>
  <c r="AC142" i="15"/>
  <c r="AD142" i="15" s="1"/>
  <c r="AC169" i="15"/>
  <c r="AC19" i="15"/>
  <c r="AC63" i="15"/>
  <c r="AC65" i="15"/>
  <c r="AC69" i="15"/>
  <c r="AC73" i="15"/>
  <c r="AC75" i="15"/>
  <c r="AC79" i="15"/>
  <c r="AC81" i="15"/>
  <c r="AD81" i="15" s="1"/>
  <c r="AC87" i="15"/>
  <c r="AC89" i="15"/>
  <c r="AC93" i="15"/>
  <c r="AC97" i="15"/>
  <c r="AC101" i="15"/>
  <c r="AC105" i="15"/>
  <c r="AC112" i="15"/>
  <c r="AC116" i="15"/>
  <c r="AD116" i="15" s="1"/>
  <c r="AC118" i="15"/>
  <c r="AC122" i="15"/>
  <c r="AC126" i="15"/>
  <c r="AC128" i="15"/>
  <c r="AD128" i="15" s="1"/>
  <c r="AC132" i="15"/>
  <c r="AC136" i="15"/>
  <c r="AC138" i="15"/>
  <c r="AC141" i="15"/>
  <c r="AD141" i="15" s="1"/>
  <c r="AC144" i="15"/>
  <c r="AC146" i="15"/>
  <c r="AC148" i="15"/>
  <c r="AC150" i="15"/>
  <c r="AC152" i="15"/>
  <c r="AC163" i="15"/>
  <c r="AC167" i="15"/>
  <c r="AC171" i="15"/>
  <c r="AC173" i="15"/>
  <c r="AC175" i="15"/>
  <c r="AC182" i="15"/>
  <c r="AC191" i="15"/>
  <c r="AD191" i="15" s="1"/>
  <c r="AC193" i="15"/>
  <c r="AC18" i="15"/>
  <c r="AD18" i="15" s="1"/>
  <c r="AC20" i="15"/>
  <c r="AC24" i="15"/>
  <c r="AC28" i="15"/>
  <c r="AC39" i="15"/>
  <c r="AC48" i="15"/>
  <c r="AC68" i="15"/>
  <c r="AC72" i="15"/>
  <c r="AC74" i="15"/>
  <c r="AC78" i="15"/>
  <c r="AC86" i="15"/>
  <c r="AD86" i="15" s="1"/>
  <c r="AC92" i="15"/>
  <c r="AC96" i="15"/>
  <c r="AC100" i="15"/>
  <c r="AC104" i="15"/>
  <c r="AC111" i="15"/>
  <c r="AC115" i="15"/>
  <c r="AC121" i="15"/>
  <c r="AC125" i="15"/>
  <c r="AC127" i="15"/>
  <c r="AC131" i="15"/>
  <c r="AC135" i="15"/>
  <c r="AC137" i="15"/>
  <c r="AC143" i="15"/>
  <c r="AC162" i="15"/>
  <c r="AC166" i="15"/>
  <c r="AC170" i="15"/>
  <c r="R83" i="15"/>
  <c r="J427" i="20"/>
  <c r="O52" i="15"/>
  <c r="AD139" i="15"/>
  <c r="AD138" i="15"/>
  <c r="AD159" i="15"/>
  <c r="AD63" i="15"/>
  <c r="AD155" i="15"/>
  <c r="AD182" i="15"/>
  <c r="AD144" i="15"/>
  <c r="AD42" i="15"/>
  <c r="AD150" i="15"/>
  <c r="AD158" i="15"/>
  <c r="AD136" i="15"/>
  <c r="AD149" i="15"/>
  <c r="AD157" i="15"/>
  <c r="AD82" i="15"/>
  <c r="AD106" i="15"/>
  <c r="AD113" i="15"/>
  <c r="AD119" i="15"/>
  <c r="AD83" i="15"/>
  <c r="AD95" i="15"/>
  <c r="AD105" i="15"/>
  <c r="AD112" i="15"/>
  <c r="AD135" i="15"/>
  <c r="R156" i="15"/>
  <c r="L504" i="20"/>
  <c r="N504" i="20" s="1"/>
  <c r="J503" i="18"/>
  <c r="L503" i="18" s="1"/>
  <c r="AD35" i="15"/>
  <c r="AD67" i="15"/>
  <c r="AD87" i="15"/>
  <c r="AD93" i="15"/>
  <c r="AD110" i="15"/>
  <c r="AD125" i="15"/>
  <c r="AD126" i="15"/>
  <c r="AD147" i="15"/>
  <c r="AD156" i="15"/>
  <c r="AD170" i="15"/>
  <c r="AD192" i="15"/>
  <c r="AD19" i="15"/>
  <c r="J386" i="18"/>
  <c r="J386" i="20"/>
  <c r="L386" i="20" s="1"/>
  <c r="N386" i="20" s="1"/>
  <c r="AD66" i="15"/>
  <c r="AD102" i="15"/>
  <c r="AD109" i="15"/>
  <c r="AD124" i="15"/>
  <c r="R153" i="15"/>
  <c r="J494" i="18"/>
  <c r="L494" i="18" s="1"/>
  <c r="L495" i="20"/>
  <c r="N495" i="20" s="1"/>
  <c r="AD169" i="15"/>
  <c r="AD24" i="15"/>
  <c r="AD28" i="15"/>
  <c r="AD39" i="15"/>
  <c r="AD85" i="15"/>
  <c r="AD91" i="15"/>
  <c r="AD130" i="15"/>
  <c r="L489" i="20"/>
  <c r="N489" i="20" s="1"/>
  <c r="J488" i="18"/>
  <c r="L488" i="18" s="1"/>
  <c r="R152" i="15"/>
  <c r="L492" i="20"/>
  <c r="N492" i="20" s="1"/>
  <c r="J491" i="18"/>
  <c r="L491" i="18" s="1"/>
  <c r="AD160" i="15"/>
  <c r="AD168" i="15"/>
  <c r="R148" i="15"/>
  <c r="J479" i="18"/>
  <c r="L479" i="18" s="1"/>
  <c r="L480" i="20"/>
  <c r="N480" i="20" s="1"/>
  <c r="AD117" i="15"/>
  <c r="AD132" i="15"/>
  <c r="AD27" i="15"/>
  <c r="AD72" i="15"/>
  <c r="J421" i="18"/>
  <c r="L421" i="18" s="1"/>
  <c r="N421" i="18" s="1"/>
  <c r="L424" i="20"/>
  <c r="N424" i="20" s="1"/>
  <c r="AD84" i="15"/>
  <c r="AD90" i="15"/>
  <c r="AD99" i="15"/>
  <c r="AD115" i="15"/>
  <c r="AD121" i="15"/>
  <c r="AD122" i="15"/>
  <c r="AD129" i="15"/>
  <c r="R150" i="15"/>
  <c r="L486" i="20"/>
  <c r="N486" i="20" s="1"/>
  <c r="J485" i="18"/>
  <c r="L485" i="18" s="1"/>
  <c r="R151" i="15"/>
  <c r="AD153" i="15"/>
  <c r="AD167" i="15"/>
  <c r="AD71" i="15"/>
  <c r="AD77" i="15"/>
  <c r="AD89" i="15"/>
  <c r="AD98" i="15"/>
  <c r="AD107" i="15"/>
  <c r="AD120" i="15"/>
  <c r="R149" i="15"/>
  <c r="L483" i="20"/>
  <c r="N483" i="20" s="1"/>
  <c r="J482" i="18"/>
  <c r="L482" i="18" s="1"/>
  <c r="AD152" i="15"/>
  <c r="R158" i="15"/>
  <c r="J510" i="20"/>
  <c r="L510" i="20" s="1"/>
  <c r="J509" i="18"/>
  <c r="L509" i="18" s="1"/>
  <c r="AD166" i="15"/>
  <c r="AD173" i="15"/>
  <c r="AD195" i="15"/>
  <c r="J476" i="18"/>
  <c r="L476" i="18" s="1"/>
  <c r="L477" i="20"/>
  <c r="N477" i="20" s="1"/>
  <c r="AD194" i="15"/>
  <c r="AD69" i="15"/>
  <c r="R147" i="15"/>
  <c r="AD193" i="15"/>
  <c r="AD118" i="15"/>
  <c r="R146" i="15"/>
  <c r="L474" i="20"/>
  <c r="N474" i="20" s="1"/>
  <c r="J473" i="18"/>
  <c r="L473" i="18" s="1"/>
  <c r="AD25" i="15"/>
  <c r="AD68" i="15"/>
  <c r="AD74" i="15"/>
  <c r="AD88" i="15"/>
  <c r="AD104" i="15"/>
  <c r="AD111" i="15"/>
  <c r="AD134" i="15"/>
  <c r="R145" i="15"/>
  <c r="J470" i="18"/>
  <c r="L470" i="18" s="1"/>
  <c r="L471" i="20"/>
  <c r="N471" i="20" s="1"/>
  <c r="AD148" i="15"/>
  <c r="AD163" i="15"/>
  <c r="AD171" i="15"/>
  <c r="AD172" i="15"/>
  <c r="R48" i="15"/>
  <c r="J396" i="20"/>
  <c r="L396" i="20" s="1"/>
  <c r="N396" i="20" s="1"/>
  <c r="J458" i="18"/>
  <c r="L458" i="18" s="1"/>
  <c r="N458" i="18" s="1"/>
  <c r="L459" i="20"/>
  <c r="N459" i="20" s="1"/>
  <c r="R159" i="15"/>
  <c r="J512" i="18"/>
  <c r="L512" i="18" s="1"/>
  <c r="R157" i="15"/>
  <c r="J506" i="18"/>
  <c r="L506" i="18" s="1"/>
  <c r="R155" i="15"/>
  <c r="J500" i="18"/>
  <c r="L500" i="18" s="1"/>
  <c r="R154" i="15"/>
  <c r="J497" i="18"/>
  <c r="L497" i="18" s="1"/>
  <c r="R144" i="15"/>
  <c r="J467" i="18"/>
  <c r="L467" i="18" s="1"/>
  <c r="N467" i="18" s="1"/>
  <c r="R143" i="15"/>
  <c r="J464" i="18"/>
  <c r="L464" i="18" s="1"/>
  <c r="N464" i="18" s="1"/>
  <c r="R142" i="15"/>
  <c r="J461" i="18"/>
  <c r="L461" i="18" s="1"/>
  <c r="N461" i="18" s="1"/>
  <c r="R141" i="15"/>
  <c r="R140" i="15"/>
  <c r="J455" i="18"/>
  <c r="L455" i="18" s="1"/>
  <c r="N455" i="18" s="1"/>
  <c r="R139" i="15"/>
  <c r="J452" i="18"/>
  <c r="L452" i="18" s="1"/>
  <c r="N452" i="18" s="1"/>
  <c r="R138" i="15"/>
  <c r="J449" i="18"/>
  <c r="L449" i="18" s="1"/>
  <c r="N449" i="18" s="1"/>
  <c r="R119" i="15"/>
  <c r="J432" i="18"/>
  <c r="L432" i="18" s="1"/>
  <c r="N432" i="18" s="1"/>
  <c r="R82" i="15"/>
  <c r="J397" i="18"/>
  <c r="L397" i="18" s="1"/>
  <c r="N397" i="18" s="1"/>
  <c r="R63" i="15"/>
  <c r="J417" i="18"/>
  <c r="L417" i="18" s="1"/>
  <c r="N417" i="18" s="1"/>
  <c r="R42" i="15"/>
  <c r="G408" i="18"/>
  <c r="K407" i="18" s="1"/>
  <c r="K72" i="18"/>
  <c r="L72" i="18" s="1"/>
  <c r="N72" i="18" s="1"/>
  <c r="L184" i="15"/>
  <c r="X184" i="15" s="1"/>
  <c r="L181" i="2"/>
  <c r="V181" i="2" s="1"/>
  <c r="M49" i="15"/>
  <c r="Q49" i="15" s="1"/>
  <c r="L396" i="16"/>
  <c r="N396" i="16" s="1"/>
  <c r="L413" i="16"/>
  <c r="M108" i="15"/>
  <c r="Q108" i="15" s="1"/>
  <c r="J434" i="20" s="1"/>
  <c r="L434" i="20" s="1"/>
  <c r="N434" i="20" s="1"/>
  <c r="L398" i="16"/>
  <c r="N398" i="16" s="1"/>
  <c r="M50" i="15"/>
  <c r="Q50" i="15" s="1"/>
  <c r="AD137" i="15"/>
  <c r="L190" i="15"/>
  <c r="S196" i="15"/>
  <c r="L47" i="15"/>
  <c r="X47" i="15" s="1"/>
  <c r="AD55" i="15"/>
  <c r="AD127" i="15"/>
  <c r="M53" i="15"/>
  <c r="Q53" i="15" s="1"/>
  <c r="M190" i="15"/>
  <c r="Y190" i="15" s="1"/>
  <c r="AD145" i="15"/>
  <c r="M54" i="15"/>
  <c r="Q54" i="15" s="1"/>
  <c r="J410" i="20" s="1"/>
  <c r="L410" i="20" s="1"/>
  <c r="N410" i="20" s="1"/>
  <c r="AD101" i="15"/>
  <c r="L52" i="15"/>
  <c r="X52" i="15" s="1"/>
  <c r="AD97" i="15"/>
  <c r="L189" i="15"/>
  <c r="X189" i="15" s="1"/>
  <c r="K705" i="11"/>
  <c r="L45" i="15"/>
  <c r="L51" i="15"/>
  <c r="X51" i="15" s="1"/>
  <c r="AD73" i="15"/>
  <c r="L186" i="15"/>
  <c r="X186" i="15" s="1"/>
  <c r="Y48" i="15"/>
  <c r="L185" i="15"/>
  <c r="X185" i="15" s="1"/>
  <c r="K397" i="13"/>
  <c r="L46" i="15" s="1"/>
  <c r="X46" i="15" s="1"/>
  <c r="L44" i="15"/>
  <c r="AD78" i="15"/>
  <c r="AD79" i="15"/>
  <c r="AD96" i="15"/>
  <c r="AD165" i="15"/>
  <c r="L188" i="15"/>
  <c r="X188" i="15" s="1"/>
  <c r="M45" i="15"/>
  <c r="Y43" i="15"/>
  <c r="AD100" i="15"/>
  <c r="AD20" i="15"/>
  <c r="AD76" i="15"/>
  <c r="AD92" i="15"/>
  <c r="AD131" i="15"/>
  <c r="AD140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N41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AD175" i="15"/>
  <c r="AD123" i="15"/>
  <c r="AD154" i="15"/>
  <c r="AD70" i="15"/>
  <c r="AD75" i="15"/>
  <c r="AD103" i="15"/>
  <c r="AD151" i="15"/>
  <c r="AD162" i="15"/>
  <c r="AD164" i="15"/>
  <c r="AD146" i="15"/>
  <c r="AD161" i="15"/>
  <c r="AD31" i="15"/>
  <c r="AD61" i="15"/>
  <c r="AD114" i="15"/>
  <c r="AD143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Q62" i="15" l="1"/>
  <c r="R62" i="15" s="1"/>
  <c r="Y62" i="15"/>
  <c r="AC62" i="15" s="1"/>
  <c r="AD62" i="15" s="1"/>
  <c r="X45" i="15"/>
  <c r="Q45" i="15"/>
  <c r="R45" i="15" s="1"/>
  <c r="X44" i="15"/>
  <c r="Q44" i="15"/>
  <c r="X190" i="15"/>
  <c r="AC190" i="15" s="1"/>
  <c r="Q190" i="15"/>
  <c r="R190" i="15" s="1"/>
  <c r="AA52" i="15"/>
  <c r="AD48" i="15"/>
  <c r="N52" i="15"/>
  <c r="Z52" i="15" s="1"/>
  <c r="L386" i="18"/>
  <c r="N386" i="18" s="1"/>
  <c r="K408" i="18"/>
  <c r="Y108" i="15"/>
  <c r="AC108" i="15" s="1"/>
  <c r="R108" i="15"/>
  <c r="Y49" i="15"/>
  <c r="AC49" i="15" s="1"/>
  <c r="J398" i="20"/>
  <c r="L398" i="20" s="1"/>
  <c r="N398" i="20" s="1"/>
  <c r="L59" i="2"/>
  <c r="V59" i="2" s="1"/>
  <c r="L59" i="15"/>
  <c r="X59" i="15" s="1"/>
  <c r="Y53" i="15"/>
  <c r="AC53" i="15" s="1"/>
  <c r="J408" i="20"/>
  <c r="L408" i="20" s="1"/>
  <c r="N408" i="20" s="1"/>
  <c r="L56" i="2"/>
  <c r="V56" i="2" s="1"/>
  <c r="L56" i="15"/>
  <c r="X56" i="15" s="1"/>
  <c r="AD190" i="15"/>
  <c r="L57" i="2"/>
  <c r="V57" i="2" s="1"/>
  <c r="L57" i="15"/>
  <c r="X57" i="15" s="1"/>
  <c r="Y54" i="15"/>
  <c r="AC54" i="15" s="1"/>
  <c r="R54" i="15"/>
  <c r="Y50" i="15"/>
  <c r="AC50" i="15" s="1"/>
  <c r="J400" i="20"/>
  <c r="L400" i="20" s="1"/>
  <c r="N400" i="20" s="1"/>
  <c r="L43" i="2"/>
  <c r="V43" i="2" s="1"/>
  <c r="L43" i="15"/>
  <c r="X43" i="15" s="1"/>
  <c r="L58" i="2"/>
  <c r="V58" i="2" s="1"/>
  <c r="L58" i="15"/>
  <c r="X58" i="15" s="1"/>
  <c r="K189" i="2"/>
  <c r="U189" i="2" s="1"/>
  <c r="K189" i="15"/>
  <c r="Q189" i="15" s="1"/>
  <c r="L40" i="2"/>
  <c r="V40" i="2" s="1"/>
  <c r="L40" i="15"/>
  <c r="X40" i="15" s="1"/>
  <c r="Y45" i="15"/>
  <c r="R44" i="15"/>
  <c r="Y44" i="15"/>
  <c r="L384" i="20"/>
  <c r="N384" i="20" s="1"/>
  <c r="Y41" i="15"/>
  <c r="AC41" i="15" s="1"/>
  <c r="K72" i="16"/>
  <c r="L72" i="16" s="1"/>
  <c r="N72" i="16" s="1"/>
  <c r="K404" i="16"/>
  <c r="K403" i="16"/>
  <c r="M52" i="15" s="1"/>
  <c r="Y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AC45" i="15" l="1"/>
  <c r="AC44" i="15"/>
  <c r="AA196" i="15"/>
  <c r="E8" i="15" s="1"/>
  <c r="AD53" i="15"/>
  <c r="AD49" i="15"/>
  <c r="AD45" i="15"/>
  <c r="AD54" i="15"/>
  <c r="AD50" i="15"/>
  <c r="AD108" i="15"/>
  <c r="AD44" i="15"/>
  <c r="R53" i="15"/>
  <c r="J409" i="18"/>
  <c r="L409" i="18" s="1"/>
  <c r="N409" i="18" s="1"/>
  <c r="R50" i="15"/>
  <c r="J401" i="18"/>
  <c r="L401" i="18" s="1"/>
  <c r="N401" i="18" s="1"/>
  <c r="R49" i="15"/>
  <c r="J399" i="18"/>
  <c r="L399" i="18" s="1"/>
  <c r="N399" i="18" s="1"/>
  <c r="Z196" i="15"/>
  <c r="R41" i="15"/>
  <c r="J384" i="18"/>
  <c r="L384" i="18" s="1"/>
  <c r="N384" i="18" s="1"/>
  <c r="L183" i="2"/>
  <c r="V183" i="2" s="1"/>
  <c r="V196" i="2" s="1"/>
  <c r="E8" i="2" s="1"/>
  <c r="L183" i="15"/>
  <c r="X183" i="15" s="1"/>
  <c r="X196" i="15" s="1"/>
  <c r="R189" i="15"/>
  <c r="W189" i="15"/>
  <c r="AC189" i="15" s="1"/>
  <c r="K177" i="2"/>
  <c r="U177" i="2" s="1"/>
  <c r="K177" i="15"/>
  <c r="K46" i="2"/>
  <c r="U46" i="2" s="1"/>
  <c r="K46" i="15"/>
  <c r="Q46" i="15" s="1"/>
  <c r="K47" i="2"/>
  <c r="U47" i="2" s="1"/>
  <c r="K47" i="15"/>
  <c r="Q47" i="15" s="1"/>
  <c r="K184" i="2"/>
  <c r="U184" i="2" s="1"/>
  <c r="K184" i="15"/>
  <c r="W184" i="15" s="1"/>
  <c r="G406" i="11"/>
  <c r="K405" i="11" s="1"/>
  <c r="K51" i="15"/>
  <c r="Q51" i="15" s="1"/>
  <c r="Y196" i="15"/>
  <c r="AD41" i="15"/>
  <c r="K410" i="11"/>
  <c r="K56" i="15" s="1"/>
  <c r="Q56" i="15" s="1"/>
  <c r="J414" i="20" s="1"/>
  <c r="K624" i="11"/>
  <c r="K181" i="15" s="1"/>
  <c r="W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AD189" i="15"/>
  <c r="E8" i="20"/>
  <c r="E8" i="18"/>
  <c r="E8" i="21"/>
  <c r="E8" i="19"/>
  <c r="K58" i="2"/>
  <c r="U58" i="2" s="1"/>
  <c r="K58" i="15"/>
  <c r="Q58" i="15" s="1"/>
  <c r="K52" i="2"/>
  <c r="U52" i="2" s="1"/>
  <c r="K52" i="15"/>
  <c r="Q52" i="15" s="1"/>
  <c r="W177" i="15"/>
  <c r="K59" i="2"/>
  <c r="U59" i="2" s="1"/>
  <c r="K59" i="15"/>
  <c r="Q59" i="15" s="1"/>
  <c r="K38" i="2"/>
  <c r="U38" i="2" s="1"/>
  <c r="K38" i="15"/>
  <c r="Q38" i="15" s="1"/>
  <c r="K40" i="2"/>
  <c r="U40" i="2" s="1"/>
  <c r="K40" i="15"/>
  <c r="Q40" i="15" s="1"/>
  <c r="W56" i="15"/>
  <c r="AC56" i="15" s="1"/>
  <c r="R56" i="15"/>
  <c r="G106" i="9"/>
  <c r="K106" i="9" s="1"/>
  <c r="K43" i="2"/>
  <c r="U43" i="2" s="1"/>
  <c r="K43" i="15"/>
  <c r="Q43" i="15" s="1"/>
  <c r="R47" i="15"/>
  <c r="W47" i="15"/>
  <c r="AC47" i="15" s="1"/>
  <c r="W51" i="15"/>
  <c r="AC51" i="15" s="1"/>
  <c r="J402" i="20"/>
  <c r="L402" i="20" s="1"/>
  <c r="N402" i="20" s="1"/>
  <c r="K57" i="2"/>
  <c r="U57" i="2" s="1"/>
  <c r="K57" i="15"/>
  <c r="Q57" i="15" s="1"/>
  <c r="W46" i="15"/>
  <c r="AC46" i="15" s="1"/>
  <c r="R46" i="15"/>
  <c r="E8" i="16"/>
  <c r="E8" i="17"/>
  <c r="K76" i="9"/>
  <c r="K94" i="9"/>
  <c r="K682" i="11"/>
  <c r="K611" i="11"/>
  <c r="K94" i="11"/>
  <c r="K703" i="11"/>
  <c r="K188" i="15" s="1"/>
  <c r="W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AD47" i="15" l="1"/>
  <c r="AD46" i="15"/>
  <c r="AD56" i="15"/>
  <c r="AD51" i="15"/>
  <c r="R51" i="15"/>
  <c r="J403" i="18"/>
  <c r="L403" i="18" s="1"/>
  <c r="N403" i="18" s="1"/>
  <c r="W57" i="15"/>
  <c r="AC57" i="15" s="1"/>
  <c r="R57" i="15"/>
  <c r="W40" i="15"/>
  <c r="AC40" i="15" s="1"/>
  <c r="R40" i="15"/>
  <c r="W52" i="15"/>
  <c r="AC52" i="15" s="1"/>
  <c r="R52" i="15"/>
  <c r="K186" i="2"/>
  <c r="U186" i="2" s="1"/>
  <c r="K186" i="15"/>
  <c r="W186" i="15" s="1"/>
  <c r="W59" i="15"/>
  <c r="AC59" i="15" s="1"/>
  <c r="R59" i="15"/>
  <c r="K185" i="2"/>
  <c r="U185" i="2" s="1"/>
  <c r="K185" i="15"/>
  <c r="W185" i="15" s="1"/>
  <c r="R38" i="15"/>
  <c r="W38" i="15"/>
  <c r="AC38" i="15" s="1"/>
  <c r="W58" i="15"/>
  <c r="AC58" i="15" s="1"/>
  <c r="R58" i="15"/>
  <c r="W43" i="15"/>
  <c r="AC43" i="15" s="1"/>
  <c r="R43" i="15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AD52" i="15" l="1"/>
  <c r="AD43" i="15"/>
  <c r="AD59" i="15"/>
  <c r="AD57" i="15"/>
  <c r="AD40" i="15"/>
  <c r="AD58" i="15"/>
  <c r="K183" i="2"/>
  <c r="U183" i="2" s="1"/>
  <c r="K183" i="15"/>
  <c r="W183" i="15" s="1"/>
  <c r="W196" i="15" s="1"/>
  <c r="AD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Q187" i="15" s="1"/>
  <c r="K581" i="9"/>
  <c r="K530" i="9"/>
  <c r="K567" i="9"/>
  <c r="G261" i="9"/>
  <c r="K260" i="9" s="1"/>
  <c r="T32" i="2" s="1"/>
  <c r="K340" i="9"/>
  <c r="K330" i="9"/>
  <c r="G70" i="9"/>
  <c r="K68" i="9" s="1"/>
  <c r="J23" i="15" s="1"/>
  <c r="Q23" i="15" s="1"/>
  <c r="K262" i="9"/>
  <c r="T29" i="2"/>
  <c r="J36" i="2" l="1"/>
  <c r="T36" i="2" s="1"/>
  <c r="J36" i="15"/>
  <c r="V36" i="15" s="1"/>
  <c r="J37" i="2"/>
  <c r="T37" i="2" s="1"/>
  <c r="J37" i="15"/>
  <c r="V37" i="15" s="1"/>
  <c r="J186" i="2"/>
  <c r="T186" i="2" s="1"/>
  <c r="J186" i="15"/>
  <c r="V186" i="15" s="1"/>
  <c r="J181" i="2"/>
  <c r="T181" i="2" s="1"/>
  <c r="J181" i="15"/>
  <c r="V181" i="15" s="1"/>
  <c r="J188" i="2"/>
  <c r="T188" i="2" s="1"/>
  <c r="J188" i="15"/>
  <c r="Q188" i="15" s="1"/>
  <c r="V187" i="15"/>
  <c r="AC187" i="15" s="1"/>
  <c r="R187" i="15"/>
  <c r="J33" i="2"/>
  <c r="T33" i="2" s="1"/>
  <c r="J33" i="15"/>
  <c r="V33" i="15" s="1"/>
  <c r="R23" i="15"/>
  <c r="V23" i="15"/>
  <c r="AC23" i="15" s="1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D23" i="15" l="1"/>
  <c r="AD187" i="15"/>
  <c r="J22" i="2"/>
  <c r="T22" i="2" s="1"/>
  <c r="J22" i="15"/>
  <c r="V22" i="15" s="1"/>
  <c r="J177" i="2"/>
  <c r="T177" i="2" s="1"/>
  <c r="J177" i="15"/>
  <c r="Q177" i="15" s="1"/>
  <c r="R188" i="15"/>
  <c r="V188" i="15"/>
  <c r="AC188" i="15" s="1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Q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D188" i="15" l="1"/>
  <c r="R34" i="15"/>
  <c r="U34" i="15"/>
  <c r="AC34" i="15" s="1"/>
  <c r="I178" i="2"/>
  <c r="I178" i="15"/>
  <c r="U178" i="15" s="1"/>
  <c r="J184" i="2"/>
  <c r="T184" i="2" s="1"/>
  <c r="J184" i="15"/>
  <c r="V184" i="15" s="1"/>
  <c r="I179" i="2"/>
  <c r="I179" i="15"/>
  <c r="U179" i="15" s="1"/>
  <c r="V177" i="15"/>
  <c r="AC177" i="15" s="1"/>
  <c r="R177" i="15"/>
  <c r="I176" i="2"/>
  <c r="I176" i="15"/>
  <c r="Q176" i="15" s="1"/>
  <c r="J185" i="2"/>
  <c r="T185" i="2" s="1"/>
  <c r="J185" i="15"/>
  <c r="V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Q36" i="15" s="1"/>
  <c r="K195" i="5"/>
  <c r="K153" i="5"/>
  <c r="I33" i="15" s="1"/>
  <c r="Q33" i="15" s="1"/>
  <c r="K54" i="5"/>
  <c r="I26" i="15" s="1"/>
  <c r="Q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6" i="2"/>
  <c r="S177" i="2"/>
  <c r="S178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AD34" i="15" l="1"/>
  <c r="AD177" i="15"/>
  <c r="I16" i="2"/>
  <c r="I16" i="15"/>
  <c r="Q16" i="15" s="1"/>
  <c r="I17" i="2"/>
  <c r="S17" i="2" s="1"/>
  <c r="I17" i="15"/>
  <c r="Q17" i="15" s="1"/>
  <c r="U26" i="15"/>
  <c r="AC26" i="15" s="1"/>
  <c r="R26" i="15"/>
  <c r="U33" i="15"/>
  <c r="AC33" i="15" s="1"/>
  <c r="R33" i="15"/>
  <c r="I184" i="2"/>
  <c r="S184" i="2" s="1"/>
  <c r="I184" i="15"/>
  <c r="U184" i="15" s="1"/>
  <c r="R176" i="15"/>
  <c r="U176" i="15"/>
  <c r="AC176" i="15" s="1"/>
  <c r="I180" i="2"/>
  <c r="S180" i="2" s="1"/>
  <c r="I180" i="15"/>
  <c r="U180" i="15" s="1"/>
  <c r="R36" i="15"/>
  <c r="U36" i="15"/>
  <c r="AC36" i="15" s="1"/>
  <c r="J183" i="2"/>
  <c r="J183" i="15"/>
  <c r="V183" i="15" s="1"/>
  <c r="V196" i="15" s="1"/>
  <c r="I15" i="2"/>
  <c r="I15" i="15"/>
  <c r="Q15" i="15" s="1"/>
  <c r="I185" i="2"/>
  <c r="S185" i="2" s="1"/>
  <c r="I185" i="15"/>
  <c r="U185" i="15" s="1"/>
  <c r="I37" i="2"/>
  <c r="I37" i="15"/>
  <c r="Q37" i="15" s="1"/>
  <c r="S34" i="2"/>
  <c r="S16" i="2"/>
  <c r="S15" i="2"/>
  <c r="T183" i="2"/>
  <c r="T196" i="2" s="1"/>
  <c r="J340" i="9"/>
  <c r="L340" i="9" s="1"/>
  <c r="N340" i="9" s="1"/>
  <c r="K99" i="5"/>
  <c r="I30" i="15" s="1"/>
  <c r="Q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U181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Y16" i="2" s="1"/>
  <c r="K15" i="3"/>
  <c r="R15" i="2" s="1"/>
  <c r="Y15" i="2" s="1"/>
  <c r="K14" i="3"/>
  <c r="J330" i="20" l="1"/>
  <c r="L330" i="20" s="1"/>
  <c r="N330" i="20" s="1"/>
  <c r="J330" i="18"/>
  <c r="L330" i="18" s="1"/>
  <c r="N330" i="18" s="1"/>
  <c r="J262" i="20"/>
  <c r="L262" i="20" s="1"/>
  <c r="N262" i="20" s="1"/>
  <c r="J262" i="18"/>
  <c r="L262" i="18" s="1"/>
  <c r="N262" i="18" s="1"/>
  <c r="J340" i="11"/>
  <c r="L340" i="11" s="1"/>
  <c r="N340" i="11" s="1"/>
  <c r="J340" i="20"/>
  <c r="L340" i="20" s="1"/>
  <c r="N340" i="20" s="1"/>
  <c r="J340" i="18"/>
  <c r="L340" i="18" s="1"/>
  <c r="N340" i="18" s="1"/>
  <c r="AD176" i="15"/>
  <c r="AD36" i="15"/>
  <c r="AD33" i="15"/>
  <c r="AD26" i="15"/>
  <c r="H21" i="2"/>
  <c r="R21" i="2" s="1"/>
  <c r="Y21" i="2" s="1"/>
  <c r="H21" i="15"/>
  <c r="Q21" i="15" s="1"/>
  <c r="H185" i="2"/>
  <c r="R185" i="2" s="1"/>
  <c r="Y185" i="2" s="1"/>
  <c r="H185" i="15"/>
  <c r="Q185" i="15" s="1"/>
  <c r="I29" i="2"/>
  <c r="I29" i="15"/>
  <c r="Q29" i="15" s="1"/>
  <c r="H184" i="2"/>
  <c r="R184" i="2" s="1"/>
  <c r="Y184" i="2" s="1"/>
  <c r="H184" i="15"/>
  <c r="Q184" i="15" s="1"/>
  <c r="H174" i="2"/>
  <c r="R174" i="2" s="1"/>
  <c r="Y174" i="2" s="1"/>
  <c r="H174" i="15"/>
  <c r="Q174" i="15" s="1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U15" i="15"/>
  <c r="AC15" i="15" s="1"/>
  <c r="R15" i="15"/>
  <c r="R17" i="15"/>
  <c r="U17" i="15"/>
  <c r="AC17" i="15" s="1"/>
  <c r="H180" i="2"/>
  <c r="R180" i="2" s="1"/>
  <c r="Y180" i="2" s="1"/>
  <c r="H180" i="15"/>
  <c r="Q180" i="15" s="1"/>
  <c r="I186" i="2"/>
  <c r="S186" i="2" s="1"/>
  <c r="I186" i="15"/>
  <c r="U186" i="15" s="1"/>
  <c r="J340" i="13"/>
  <c r="L340" i="13" s="1"/>
  <c r="N340" i="13" s="1"/>
  <c r="J340" i="16"/>
  <c r="L340" i="16" s="1"/>
  <c r="N340" i="16" s="1"/>
  <c r="H14" i="2"/>
  <c r="H14" i="15"/>
  <c r="Q14" i="15" s="1"/>
  <c r="H178" i="2"/>
  <c r="R178" i="2" s="1"/>
  <c r="Y178" i="2" s="1"/>
  <c r="H178" i="15"/>
  <c r="Q178" i="15" s="1"/>
  <c r="I22" i="2"/>
  <c r="I22" i="15"/>
  <c r="U22" i="15" s="1"/>
  <c r="R16" i="15"/>
  <c r="U16" i="15"/>
  <c r="AC16" i="15" s="1"/>
  <c r="R37" i="15"/>
  <c r="U37" i="15"/>
  <c r="AC37" i="15" s="1"/>
  <c r="S37" i="2"/>
  <c r="Y37" i="2" s="1"/>
  <c r="H179" i="2"/>
  <c r="R179" i="2" s="1"/>
  <c r="Y179" i="2" s="1"/>
  <c r="H179" i="15"/>
  <c r="Q179" i="15" s="1"/>
  <c r="R30" i="15"/>
  <c r="U30" i="15"/>
  <c r="AC30" i="15" s="1"/>
  <c r="K206" i="3"/>
  <c r="S26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Q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0" l="1"/>
  <c r="L68" i="20" s="1"/>
  <c r="N68" i="20" s="1"/>
  <c r="J68" i="18"/>
  <c r="L68" i="18" s="1"/>
  <c r="N68" i="18" s="1"/>
  <c r="AD15" i="15"/>
  <c r="AD30" i="15"/>
  <c r="AD37" i="15"/>
  <c r="AD17" i="15"/>
  <c r="T181" i="15"/>
  <c r="AC181" i="15" s="1"/>
  <c r="R181" i="15"/>
  <c r="H186" i="2"/>
  <c r="R186" i="2" s="1"/>
  <c r="Y186" i="2" s="1"/>
  <c r="H186" i="15"/>
  <c r="Q186" i="15" s="1"/>
  <c r="AD16" i="15"/>
  <c r="T184" i="15"/>
  <c r="AC184" i="15" s="1"/>
  <c r="R184" i="15"/>
  <c r="R29" i="15"/>
  <c r="U29" i="15"/>
  <c r="AC29" i="15" s="1"/>
  <c r="I32" i="2"/>
  <c r="I32" i="15"/>
  <c r="Q32" i="15" s="1"/>
  <c r="R179" i="15"/>
  <c r="T179" i="15"/>
  <c r="AC179" i="15" s="1"/>
  <c r="J68" i="13"/>
  <c r="L68" i="13" s="1"/>
  <c r="N68" i="13" s="1"/>
  <c r="J68" i="16"/>
  <c r="L68" i="16" s="1"/>
  <c r="N68" i="16" s="1"/>
  <c r="T178" i="15"/>
  <c r="AC178" i="15" s="1"/>
  <c r="R178" i="15"/>
  <c r="T180" i="15"/>
  <c r="AC180" i="15" s="1"/>
  <c r="R180" i="15"/>
  <c r="T185" i="15"/>
  <c r="AC185" i="15" s="1"/>
  <c r="R185" i="15"/>
  <c r="H22" i="2"/>
  <c r="R22" i="2" s="1"/>
  <c r="Y22" i="2" s="1"/>
  <c r="H22" i="15"/>
  <c r="Q22" i="15" s="1"/>
  <c r="I183" i="2"/>
  <c r="S183" i="2" s="1"/>
  <c r="I183" i="15"/>
  <c r="U183" i="15" s="1"/>
  <c r="J68" i="11"/>
  <c r="L68" i="11" s="1"/>
  <c r="N68" i="11" s="1"/>
  <c r="R14" i="15"/>
  <c r="T14" i="15"/>
  <c r="AC14" i="15" s="1"/>
  <c r="T174" i="15"/>
  <c r="AC174" i="15" s="1"/>
  <c r="R174" i="15"/>
  <c r="T21" i="15"/>
  <c r="AC21" i="15" s="1"/>
  <c r="R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0" l="1"/>
  <c r="L260" i="20" s="1"/>
  <c r="N260" i="20" s="1"/>
  <c r="J260" i="18"/>
  <c r="L260" i="18" s="1"/>
  <c r="N260" i="18" s="1"/>
  <c r="AD184" i="15"/>
  <c r="AD174" i="15"/>
  <c r="AD179" i="15"/>
  <c r="AD21" i="15"/>
  <c r="AD185" i="15"/>
  <c r="AD178" i="15"/>
  <c r="AD180" i="15"/>
  <c r="AD29" i="15"/>
  <c r="AD181" i="15"/>
  <c r="T22" i="15"/>
  <c r="AC22" i="15" s="1"/>
  <c r="R22" i="15"/>
  <c r="R32" i="15"/>
  <c r="U32" i="15"/>
  <c r="AC32" i="15" s="1"/>
  <c r="R186" i="15"/>
  <c r="T186" i="15"/>
  <c r="AC186" i="15" s="1"/>
  <c r="J260" i="13"/>
  <c r="L260" i="13" s="1"/>
  <c r="N260" i="13" s="1"/>
  <c r="J260" i="16"/>
  <c r="L260" i="16" s="1"/>
  <c r="N260" i="16" s="1"/>
  <c r="H183" i="2"/>
  <c r="R183" i="2" s="1"/>
  <c r="Y183" i="2" s="1"/>
  <c r="H183" i="15"/>
  <c r="Q183" i="15" s="1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390" i="16" l="1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57" i="20"/>
  <c r="L257" i="20" s="1"/>
  <c r="N257" i="20" s="1"/>
  <c r="J257" i="18"/>
  <c r="L257" i="18" s="1"/>
  <c r="N257" i="18" s="1"/>
  <c r="J154" i="16"/>
  <c r="L154" i="16" s="1"/>
  <c r="N154" i="16" s="1"/>
  <c r="J154" i="20"/>
  <c r="L154" i="20" s="1"/>
  <c r="N154" i="20" s="1"/>
  <c r="J154" i="18"/>
  <c r="L154" i="18" s="1"/>
  <c r="N154" i="18" s="1"/>
  <c r="J25" i="16"/>
  <c r="L25" i="16" s="1"/>
  <c r="N25" i="16" s="1"/>
  <c r="J25" i="20"/>
  <c r="L25" i="20" s="1"/>
  <c r="N25" i="20" s="1"/>
  <c r="J25" i="18"/>
  <c r="L25" i="18" s="1"/>
  <c r="N25" i="18" s="1"/>
  <c r="J17" i="16"/>
  <c r="L17" i="16" s="1"/>
  <c r="N17" i="16" s="1"/>
  <c r="J17" i="20"/>
  <c r="L17" i="20" s="1"/>
  <c r="N17" i="20" s="1"/>
  <c r="J17" i="18"/>
  <c r="L17" i="18" s="1"/>
  <c r="N17" i="18" s="1"/>
  <c r="J415" i="16"/>
  <c r="L415" i="16" s="1"/>
  <c r="N415" i="16" s="1"/>
  <c r="J427" i="18"/>
  <c r="L427" i="18" s="1"/>
  <c r="N427" i="18" s="1"/>
  <c r="J14" i="16"/>
  <c r="L14" i="16" s="1"/>
  <c r="N14" i="16" s="1"/>
  <c r="J14" i="20"/>
  <c r="L14" i="20" s="1"/>
  <c r="N14" i="20" s="1"/>
  <c r="J14" i="18"/>
  <c r="L14" i="18" s="1"/>
  <c r="N14" i="18" s="1"/>
  <c r="J390" i="20"/>
  <c r="L390" i="20" s="1"/>
  <c r="N390" i="20" s="1"/>
  <c r="J391" i="18"/>
  <c r="L391" i="18" s="1"/>
  <c r="N391" i="18" s="1"/>
  <c r="J302" i="16"/>
  <c r="L302" i="16" s="1"/>
  <c r="N302" i="16" s="1"/>
  <c r="J302" i="20"/>
  <c r="L302" i="20" s="1"/>
  <c r="N302" i="20" s="1"/>
  <c r="J302" i="18"/>
  <c r="L302" i="18" s="1"/>
  <c r="N302" i="18" s="1"/>
  <c r="J24" i="16"/>
  <c r="L24" i="16" s="1"/>
  <c r="N24" i="16" s="1"/>
  <c r="J24" i="20"/>
  <c r="L24" i="20" s="1"/>
  <c r="N24" i="20" s="1"/>
  <c r="J24" i="18"/>
  <c r="L24" i="18" s="1"/>
  <c r="N24" i="18" s="1"/>
  <c r="J16" i="20"/>
  <c r="L16" i="20" s="1"/>
  <c r="N16" i="20" s="1"/>
  <c r="J16" i="18"/>
  <c r="L16" i="18" s="1"/>
  <c r="N16" i="18" s="1"/>
  <c r="J420" i="16"/>
  <c r="L420" i="16" s="1"/>
  <c r="N420" i="16" s="1"/>
  <c r="J545" i="20"/>
  <c r="L545" i="20" s="1"/>
  <c r="N545" i="20" s="1"/>
  <c r="J544" i="18"/>
  <c r="L544" i="18" s="1"/>
  <c r="N544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63" i="20"/>
  <c r="L163" i="20" s="1"/>
  <c r="N163" i="20" s="1"/>
  <c r="J163" i="18"/>
  <c r="L163" i="18" s="1"/>
  <c r="N163" i="18" s="1"/>
  <c r="J19" i="16"/>
  <c r="L19" i="16" s="1"/>
  <c r="N19" i="16" s="1"/>
  <c r="J19" i="20"/>
  <c r="L19" i="20" s="1"/>
  <c r="N19" i="20" s="1"/>
  <c r="J19" i="18"/>
  <c r="L19" i="18" s="1"/>
  <c r="N19" i="18" s="1"/>
  <c r="R196" i="2"/>
  <c r="O183" i="2"/>
  <c r="J644" i="11" s="1"/>
  <c r="L644" i="11" s="1"/>
  <c r="N644" i="11" s="1"/>
  <c r="J417" i="16"/>
  <c r="L417" i="16" s="1"/>
  <c r="N417" i="16" s="1"/>
  <c r="J429" i="18"/>
  <c r="L429" i="18" s="1"/>
  <c r="N429" i="18" s="1"/>
  <c r="J403" i="16"/>
  <c r="L403" i="16" s="1"/>
  <c r="N403" i="16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381" i="16"/>
  <c r="L381" i="16" s="1"/>
  <c r="N381" i="16" s="1"/>
  <c r="J381" i="20"/>
  <c r="L381" i="20" s="1"/>
  <c r="N381" i="20" s="1"/>
  <c r="J381" i="18"/>
  <c r="L381" i="18" s="1"/>
  <c r="N381" i="18" s="1"/>
  <c r="J172" i="16"/>
  <c r="L172" i="16" s="1"/>
  <c r="N172" i="16" s="1"/>
  <c r="J172" i="20"/>
  <c r="L172" i="20" s="1"/>
  <c r="N172" i="20" s="1"/>
  <c r="J172" i="18"/>
  <c r="L172" i="18" s="1"/>
  <c r="N172" i="18" s="1"/>
  <c r="J21" i="16"/>
  <c r="L21" i="16" s="1"/>
  <c r="N21" i="16" s="1"/>
  <c r="J21" i="20"/>
  <c r="L21" i="20" s="1"/>
  <c r="N21" i="20" s="1"/>
  <c r="J21" i="18"/>
  <c r="L21" i="18" s="1"/>
  <c r="N21" i="18" s="1"/>
  <c r="J15" i="16"/>
  <c r="L15" i="16" s="1"/>
  <c r="N15" i="16" s="1"/>
  <c r="J15" i="20"/>
  <c r="L15" i="20" s="1"/>
  <c r="N15" i="20" s="1"/>
  <c r="J15" i="18"/>
  <c r="L15" i="18" s="1"/>
  <c r="N15" i="18" s="1"/>
  <c r="AD186" i="15"/>
  <c r="AD22" i="15"/>
  <c r="Z183" i="2"/>
  <c r="J393" i="13"/>
  <c r="L393" i="13" s="1"/>
  <c r="N393" i="13" s="1"/>
  <c r="J388" i="16"/>
  <c r="L388" i="16" s="1"/>
  <c r="N388" i="16" s="1"/>
  <c r="AD32" i="15"/>
  <c r="U196" i="15"/>
  <c r="T183" i="15"/>
  <c r="R183" i="15"/>
  <c r="AD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T196" i="15" l="1"/>
  <c r="AC183" i="15"/>
  <c r="AD183" i="15" s="1"/>
  <c r="AC196" i="15"/>
  <c r="L413" i="13"/>
  <c r="N413" i="13" s="1"/>
  <c r="G501" i="13"/>
  <c r="K502" i="13" s="1"/>
  <c r="N25" i="5"/>
  <c r="G50" i="5"/>
  <c r="N25" i="9"/>
  <c r="Z14" i="2"/>
  <c r="Y196" i="2"/>
  <c r="J8" i="2" s="1"/>
  <c r="AD196" i="15" l="1"/>
  <c r="J8" i="15"/>
  <c r="H8" i="15"/>
  <c r="H8" i="2"/>
  <c r="Z196" i="2"/>
  <c r="H8" i="21" l="1"/>
  <c r="H8" i="20"/>
  <c r="H8" i="18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<sst xmlns="http://schemas.openxmlformats.org/spreadsheetml/2006/main" count="9305" uniqueCount="1008">
  <si>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</si>
  <si>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</si>
  <si>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</si>
  <si>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</si>
  <si>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</si>
  <si>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</si>
  <si>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</si>
  <si>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</si>
  <si>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</si>
  <si>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</si>
  <si>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</si>
  <si>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</si>
  <si>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</si>
  <si>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</si>
  <si>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</si>
  <si>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</si>
  <si>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</si>
  <si>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</si>
  <si>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</si>
  <si>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</si>
  <si>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</si>
  <si>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</si>
  <si>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</si>
  <si>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</si>
  <si>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</si>
  <si>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</si>
  <si>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</si>
  <si>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</si>
  <si>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</si>
  <si>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</si>
  <si>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</si>
  <si>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</si>
  <si>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</si>
  <si>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</si>
  <si>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</si>
  <si>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</si>
  <si>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</si>
  <si>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</si>
  <si>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</si>
  <si>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</si>
  <si>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</si>
  <si>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</si>
  <si>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</si>
  <si>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</si>
  <si>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</si>
  <si>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</si>
  <si>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</si>
  <si>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</si>
  <si>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</si>
  <si>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</si>
  <si>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</si>
  <si>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</si>
  <si>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</si>
  <si>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</si>
  <si>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</si>
  <si>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</si>
  <si>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</si>
  <si>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</si>
  <si>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</si>
  <si>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</si>
  <si>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</si>
  <si>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</si>
  <si>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</si>
  <si>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</si>
  <si>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</si>
  <si>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</si>
  <si>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</si>
  <si>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</si>
  <si>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</si>
  <si>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</si>
  <si>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</si>
  <si>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</si>
  <si>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</si>
  <si>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</si>
  <si>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</si>
  <si>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</si>
  <si>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</si>
  <si>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</si>
  <si>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</si>
  <si>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</si>
  <si>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</si>
  <si>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</si>
  <si>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</si>
  <si>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</si>
  <si>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</si>
  <si>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</si>
  <si>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</si>
  <si>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</si>
  <si>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</si>
  <si>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</si>
  <si>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</si>
  <si>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</si>
  <si>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</si>
  <si>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</si>
  <si>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</si>
  <si>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</si>
  <si>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</si>
  <si>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</si>
  <si>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</si>
  <si>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</si>
  <si>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</si>
  <si>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</si>
  <si>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</si>
  <si>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</si>
  <si>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</si>
  <si>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</si>
  <si>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</si>
  <si>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</si>
  <si>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</si>
  <si>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</si>
  <si>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</si>
  <si>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</si>
  <si>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</si>
  <si>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</si>
  <si>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</si>
  <si>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</si>
  <si>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</si>
  <si>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</si>
  <si>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</si>
  <si>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</si>
  <si>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</si>
  <si>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</si>
  <si>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</si>
  <si>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</si>
  <si>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</si>
  <si>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</si>
  <si>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</si>
  <si>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</si>
  <si>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</si>
  <si>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</si>
  <si>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</si>
  <si>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</si>
  <si>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</si>
  <si>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</si>
  <si>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</si>
  <si>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</si>
  <si>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</si>
  <si>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</si>
  <si>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</si>
  <si>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</si>
  <si>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</si>
  <si>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</si>
  <si>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</si>
  <si>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</si>
  <si>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</si>
  <si>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</si>
  <si>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</si>
  <si>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</si>
  <si>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</si>
  <si>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</si>
  <si>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</si>
  <si>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</si>
  <si>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</si>
  <si>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</si>
  <si>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</si>
  <si>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</si>
  <si>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</si>
  <si>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</si>
  <si>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</si>
  <si>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</si>
  <si>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</si>
  <si>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</si>
  <si>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</si>
  <si>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</si>
  <si>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</si>
  <si>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</si>
  <si>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</si>
  <si>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</si>
  <si>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</si>
  <si>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</si>
  <si>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</si>
  <si>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</si>
  <si>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</si>
  <si>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</si>
  <si>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</si>
  <si>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</si>
  <si>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</si>
  <si>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</si>
  <si>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</si>
  <si>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</si>
  <si>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</si>
  <si>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</si>
  <si>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</si>
  <si>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</si>
  <si>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</si>
  <si>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</si>
  <si>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</si>
  <si>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</si>
  <si>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</si>
  <si>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</si>
  <si>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</si>
  <si>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</si>
  <si>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</si>
  <si>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</si>
  <si>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</si>
  <si>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</si>
  <si>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</si>
  <si>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</si>
  <si>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</si>
  <si>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</si>
  <si>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</si>
  <si>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</si>
  <si>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</si>
  <si>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</si>
  <si>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</si>
  <si>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</si>
  <si>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</si>
  <si>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</si>
  <si>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</si>
  <si>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</si>
  <si>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</si>
  <si>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</si>
  <si>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</si>
  <si>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</si>
  <si>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</si>
  <si>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</si>
  <si>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</si>
  <si>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</si>
  <si>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</si>
  <si>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</si>
  <si>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</si>
  <si>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</si>
  <si>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</si>
  <si>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</si>
  <si>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</si>
  <si>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</si>
  <si>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</si>
  <si>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</si>
  <si>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</si>
  <si>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</si>
  <si>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</si>
  <si>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</si>
  <si>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</si>
  <si>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</si>
  <si>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</si>
  <si>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</si>
  <si>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</si>
  <si>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</si>
  <si>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</si>
  <si>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</si>
  <si>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</si>
  <si>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</si>
  <si>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</si>
  <si>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</si>
  <si>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</si>
  <si>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</si>
  <si>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</si>
  <si>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</si>
  <si>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</si>
  <si>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</si>
  <si>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</si>
  <si>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</si>
  <si>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</si>
  <si>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</si>
  <si>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</si>
  <si>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</si>
  <si>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</si>
  <si>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</si>
  <si>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</si>
  <si>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</si>
  <si>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</si>
  <si>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</si>
  <si>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</si>
  <si>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</si>
  <si>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</si>
  <si>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</si>
  <si>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</si>
  <si>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</si>
  <si>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</si>
  <si>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</si>
  <si>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</si>
  <si>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</si>
  <si>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</si>
  <si>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</si>
  <si>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</si>
  <si>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</si>
  <si>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</si>
  <si>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</si>
  <si>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</si>
  <si>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</si>
  <si>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</si>
  <si>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</si>
  <si>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</si>
  <si>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</si>
  <si>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</si>
  <si>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</si>
  <si>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</si>
  <si>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</si>
  <si>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</si>
  <si>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</si>
  <si>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</si>
  <si>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</si>
  <si>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</si>
  <si>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</si>
  <si>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</si>
  <si>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</si>
  <si>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</si>
  <si>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</si>
  <si>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</si>
  <si>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</si>
  <si>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</si>
  <si>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</si>
  <si>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</si>
  <si>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</si>
  <si>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</si>
  <si>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</si>
  <si>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</si>
  <si>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</si>
  <si>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</si>
  <si>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</si>
  <si>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</si>
  <si>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</si>
  <si>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</si>
  <si>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</si>
  <si>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</si>
  <si>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</si>
  <si>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</si>
  <si>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</si>
  <si>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</si>
  <si>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</si>
  <si>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</si>
  <si>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</si>
  <si>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</si>
  <si>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</si>
  <si>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</si>
  <si>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</si>
  <si>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</si>
  <si>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</si>
  <si>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</si>
  <si>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</si>
  <si>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</si>
  <si>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</si>
  <si>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</si>
  <si>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</si>
  <si>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</si>
  <si>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</si>
  <si>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</si>
  <si>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</si>
  <si>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</si>
  <si>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</si>
  <si>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</si>
  <si>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</si>
  <si>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</si>
  <si>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</si>
  <si>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</si>
  <si>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</si>
  <si>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</si>
  <si>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</si>
  <si>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</si>
  <si>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</si>
  <si>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</si>
  <si>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</si>
  <si>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</si>
  <si>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</si>
  <si>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</si>
  <si>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</si>
  <si>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</si>
  <si>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</si>
  <si>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</si>
  <si>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</si>
  <si>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</si>
  <si>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</si>
  <si>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</si>
  <si>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</si>
  <si>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</si>
  <si>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</si>
  <si>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</si>
  <si>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</si>
  <si>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</si>
  <si>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</si>
  <si>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</si>
  <si>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</si>
  <si>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</si>
  <si>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</si>
  <si>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</si>
  <si>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</si>
  <si>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</si>
  <si>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</si>
  <si>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</si>
  <si>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</si>
  <si>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</si>
  <si>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</si>
  <si>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</si>
  <si>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</si>
  <si>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</si>
  <si>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</si>
  <si>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</si>
  <si>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</si>
  <si>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</si>
  <si>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</si>
  <si>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</si>
  <si>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</si>
  <si>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</si>
  <si>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</si>
  <si>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</si>
  <si>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</si>
  <si>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</si>
  <si>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</si>
  <si>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</si>
  <si>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</si>
  <si>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</si>
  <si>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</si>
  <si>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</si>
  <si>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</si>
  <si>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</si>
  <si>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</si>
  <si>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</si>
  <si>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</si>
  <si>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</si>
  <si>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</si>
  <si>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</si>
  <si>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</si>
  <si>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</si>
  <si>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</si>
  <si>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</si>
  <si>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</si>
  <si>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</si>
  <si>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</si>
  <si>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</si>
  <si>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</si>
  <si>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</si>
  <si>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</si>
  <si>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</si>
  <si>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</si>
  <si>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</si>
  <si>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</si>
  <si>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</si>
  <si>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</si>
  <si>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</si>
  <si>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</si>
  <si>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</si>
  <si>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</si>
  <si>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</si>
  <si>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</si>
  <si>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</si>
  <si>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</si>
  <si>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</si>
  <si>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</si>
  <si>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</si>
  <si>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</si>
  <si>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</si>
  <si>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</si>
  <si>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</si>
  <si>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</si>
  <si>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</si>
  <si>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</si>
  <si>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</si>
  <si>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</si>
  <si>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</si>
  <si>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</si>
  <si>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</si>
  <si>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</si>
  <si>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</si>
  <si>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</si>
  <si>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</si>
  <si>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</si>
  <si>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</si>
  <si>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</si>
  <si>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</si>
  <si>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</si>
  <si>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</si>
  <si>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</si>
  <si>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</si>
  <si>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</si>
  <si>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</si>
  <si>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</si>
  <si>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</si>
  <si>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</si>
  <si>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</si>
  <si>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</si>
  <si>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</si>
  <si>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</si>
  <si>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</si>
  <si>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</si>
  <si>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</si>
  <si>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</si>
  <si>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</si>
  <si>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</si>
  <si>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</si>
  <si>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</si>
  <si>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</si>
  <si>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</si>
  <si>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</si>
  <si>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</si>
  <si>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</si>
  <si>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</si>
  <si>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</si>
  <si>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</si>
  <si>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</si>
  <si>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</si>
  <si>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</si>
  <si>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</si>
  <si>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</si>
  <si>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</si>
  <si>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</si>
  <si>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</si>
  <si>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</si>
  <si>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</si>
  <si>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</si>
  <si>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</si>
  <si>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</si>
  <si>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</si>
  <si>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</si>
  <si>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</si>
  <si>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</si>
  <si>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</si>
  <si>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</si>
  <si>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</si>
  <si>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</si>
  <si>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</si>
  <si>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</si>
  <si>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</si>
  <si>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</si>
  <si>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</si>
  <si>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</si>
  <si>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</si>
  <si>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</si>
  <si>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</si>
  <si>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</si>
  <si>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</si>
  <si>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</si>
  <si>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</si>
  <si>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</si>
  <si>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</si>
  <si>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</si>
  <si>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</si>
  <si>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</si>
  <si>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</si>
  <si>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</si>
  <si>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</si>
  <si>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</si>
  <si>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</si>
  <si>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</si>
  <si>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</si>
  <si>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</si>
  <si>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</si>
  <si>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</si>
  <si>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</si>
  <si>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</si>
  <si>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</si>
  <si>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</si>
  <si>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</si>
  <si>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</si>
  <si>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</si>
  <si>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</si>
  <si>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</si>
  <si>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</si>
  <si>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</si>
  <si>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</si>
  <si>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</si>
  <si>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</si>
  <si>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</si>
  <si>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</si>
  <si>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</si>
  <si>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</si>
  <si>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</si>
  <si>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</si>
  <si>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</si>
  <si>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</si>
  <si>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</si>
  <si>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</si>
  <si>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</si>
  <si>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</si>
  <si>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</si>
  <si>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</si>
  <si>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</si>
  <si>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</si>
  <si>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</si>
  <si>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</si>
  <si>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</si>
  <si>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</si>
  <si>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</si>
  <si>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</si>
  <si>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</si>
  <si>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</si>
  <si>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</si>
  <si>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</si>
  <si>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</si>
  <si>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</si>
  <si>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</si>
  <si>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</si>
  <si>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</si>
  <si>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</si>
  <si>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</si>
  <si>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</si>
  <si>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</si>
  <si>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</si>
  <si>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</si>
  <si>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</si>
  <si>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</si>
  <si>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</si>
  <si>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</si>
  <si>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</si>
  <si>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</si>
  <si>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</si>
  <si>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</si>
  <si>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</si>
  <si>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</si>
  <si>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</si>
  <si>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</si>
  <si>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</si>
  <si>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</si>
  <si>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</si>
  <si>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</si>
  <si>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</si>
  <si>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</si>
  <si>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</si>
  <si>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</si>
  <si>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</si>
  <si>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</si>
  <si>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</si>
  <si>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</si>
  <si>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</si>
  <si>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</si>
  <si>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</si>
  <si>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</si>
  <si>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</si>
  <si>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</si>
  <si>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</si>
  <si>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</si>
  <si>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</si>
  <si>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</si>
  <si>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</si>
  <si>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</si>
  <si>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</si>
  <si>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</si>
  <si>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</si>
  <si>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</si>
  <si>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</si>
  <si>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</si>
  <si>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</si>
  <si>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</si>
  <si>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</si>
  <si>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</si>
  <si>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</si>
  <si>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</si>
  <si>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</si>
  <si>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</si>
  <si>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</si>
  <si>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</si>
  <si>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</si>
  <si>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</si>
  <si>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</si>
  <si>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</si>
  <si>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</si>
  <si>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</si>
  <si>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</si>
  <si>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</si>
  <si>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</si>
  <si>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</si>
  <si>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</si>
  <si>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</si>
  <si>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</si>
  <si>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</si>
  <si>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</si>
  <si>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</si>
  <si>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</si>
  <si>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</si>
  <si>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</si>
  <si>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</si>
  <si>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</si>
  <si>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</si>
  <si>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</si>
  <si>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</si>
  <si>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</si>
  <si>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</si>
  <si>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</si>
  <si>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</si>
  <si>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</si>
  <si>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</si>
  <si>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</si>
  <si>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</si>
  <si>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</si>
  <si>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</si>
  <si>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</si>
  <si>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</si>
  <si>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</si>
  <si>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</si>
  <si>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</si>
  <si>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</si>
  <si>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</si>
  <si>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</si>
  <si>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</si>
  <si>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</si>
  <si>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</si>
  <si>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</si>
  <si>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</si>
  <si>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</si>
  <si>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</si>
  <si>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</si>
  <si>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</si>
  <si>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</si>
  <si>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</si>
  <si>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</si>
  <si>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</si>
  <si>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</si>
  <si>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</si>
  <si>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</si>
  <si>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</si>
  <si>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</si>
  <si>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</si>
  <si>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</si>
  <si>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</si>
  <si>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</si>
  <si>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</si>
  <si>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</si>
  <si>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</si>
  <si>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</si>
  <si>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</si>
  <si>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</si>
  <si>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</si>
  <si>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</si>
  <si>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</si>
  <si>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</si>
  <si>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</si>
  <si>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</si>
  <si>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</si>
  <si>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</si>
  <si>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</si>
  <si>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</si>
  <si>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</si>
  <si>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</si>
  <si>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</si>
  <si>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</si>
  <si>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</si>
  <si>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</si>
  <si>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</si>
  <si>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</si>
  <si>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</si>
  <si>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</si>
  <si>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</si>
  <si>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</si>
  <si>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</si>
  <si>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</si>
  <si>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</si>
  <si>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</si>
  <si>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</si>
  <si>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</si>
  <si>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</si>
  <si>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</si>
  <si>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</si>
  <si>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</si>
  <si>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</si>
  <si>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</si>
  <si>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</si>
  <si>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</si>
  <si>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</si>
  <si>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</si>
  <si>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</si>
  <si>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</si>
  <si>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</si>
  <si>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</si>
  <si>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</si>
  <si>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</si>
  <si>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</si>
  <si>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</si>
  <si>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</si>
  <si>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</si>
  <si>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</si>
  <si>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</si>
  <si>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</si>
  <si>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</si>
  <si>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</si>
  <si>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</si>
  <si>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</si>
  <si>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</si>
  <si>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</si>
  <si>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</si>
  <si>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</si>
  <si>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</si>
  <si>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</si>
  <si>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</si>
  <si>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</si>
  <si>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</si>
  <si>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</si>
  <si>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</si>
  <si>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</si>
  <si>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</si>
  <si>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</si>
  <si>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</si>
  <si>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</si>
  <si>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</si>
  <si>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</si>
  <si>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</si>
  <si>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</si>
  <si>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</si>
  <si>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</si>
  <si>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</si>
  <si>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</si>
  <si>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</si>
  <si>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</si>
  <si>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</si>
  <si>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</si>
  <si>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</si>
  <si>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</si>
  <si>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</si>
  <si>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</si>
  <si>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</si>
  <si>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</si>
  <si>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</si>
  <si>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</si>
  <si>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</si>
  <si>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</si>
  <si>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</si>
  <si>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</si>
  <si>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</si>
  <si>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</si>
  <si>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</si>
  <si>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</si>
  <si>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</si>
  <si>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</si>
  <si>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</si>
  <si>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</si>
  <si>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</si>
  <si>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</si>
  <si>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</si>
  <si>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</si>
  <si>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</si>
  <si>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</si>
  <si>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</si>
  <si>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</si>
  <si>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</si>
  <si>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</si>
  <si>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</si>
  <si>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</si>
  <si>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</si>
  <si>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</si>
  <si>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</si>
  <si>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</si>
  <si>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</si>
  <si>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</si>
  <si>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</si>
  <si>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</si>
  <si>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</si>
  <si>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</si>
  <si>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</si>
  <si>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</si>
  <si>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</si>
  <si>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</si>
  <si>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</si>
  <si>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</si>
  <si>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</si>
  <si>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</si>
  <si>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</si>
  <si>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</si>
  <si>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</si>
  <si>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</si>
  <si>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</si>
  <si>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</si>
  <si>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</si>
  <si>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</si>
  <si>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</si>
  <si>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</si>
  <si>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</si>
  <si>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</si>
  <si>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</si>
  <si>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</si>
  <si>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</si>
  <si>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</si>
  <si>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</si>
  <si>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</si>
  <si>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</si>
  <si>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</si>
  <si>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</si>
  <si>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</si>
  <si>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</si>
  <si>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</si>
  <si>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</si>
  <si>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</si>
  <si>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</si>
  <si>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</si>
  <si>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</si>
  <si>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</si>
  <si>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</si>
  <si>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</si>
  <si>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</si>
  <si>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</si>
  <si>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</si>
  <si>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</si>
  <si>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</si>
  <si>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</si>
  <si>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</si>
  <si>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</si>
  <si>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</si>
  <si>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</si>
  <si>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</si>
  <si>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</si>
  <si>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</si>
  <si>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</si>
  <si>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</si>
  <si>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</si>
  <si>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</si>
  <si>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</si>
  <si>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</si>
  <si>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</si>
  <si>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</si>
  <si>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</si>
  <si>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</si>
  <si>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</si>
  <si>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</si>
  <si>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</si>
  <si>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</si>
  <si>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</si>
  <si>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</si>
  <si>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</si>
  <si>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</si>
  <si>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</si>
  <si>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</si>
  <si>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</si>
  <si>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</si>
  <si>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</si>
  <si>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</si>
  <si>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</si>
  <si>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</si>
  <si>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</si>
  <si>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</si>
  <si>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</si>
  <si>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</si>
  <si>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</si>
  <si>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</si>
  <si>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</si>
  <si>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</si>
  <si>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</si>
  <si>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</si>
  <si>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</si>
  <si>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</si>
  <si>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</si>
  <si>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</si>
  <si>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</si>
  <si>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</si>
  <si>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</si>
  <si>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</si>
  <si>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</si>
  <si>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</si>
  <si>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</si>
  <si>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</si>
  <si>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</si>
  <si>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</si>
  <si>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</si>
  <si>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</si>
  <si>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</si>
  <si>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</si>
  <si>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</si>
  <si>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</si>
  <si>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</si>
  <si>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</si>
  <si>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</si>
  <si>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</si>
  <si>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</si>
  <si>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</si>
  <si>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</si>
  <si>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</si>
  <si>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</si>
  <si>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</si>
  <si>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</si>
  <si>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</si>
  <si>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</si>
  <si>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</si>
  <si>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</si>
  <si>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</si>
  <si>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</si>
  <si>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</si>
  <si>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</si>
  <si>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</si>
  <si>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</si>
  <si>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</si>
  <si>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</si>
  <si>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</si>
  <si>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</si>
  <si>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</si>
  <si>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</si>
  <si>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</si>
  <si>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</si>
  <si>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</si>
  <si>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</si>
  <si>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</si>
  <si>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</si>
  <si>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</si>
  <si>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</si>
  <si>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</si>
  <si>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</si>
  <si>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</si>
  <si>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</si>
  <si>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</si>
  <si>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</si>
  <si>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</si>
  <si>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</si>
  <si>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BOLETIM DE MEDIÇÃO 08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</si>
  <si>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</si>
  <si>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</si>
  <si>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</si>
  <si>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</si>
  <si>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</si>
  <si>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</si>
  <si>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</si>
  <si>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</si>
  <si>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</si>
  <si>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</si>
  <si>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</si>
  <si>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</si>
  <si>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</si>
  <si>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</si>
  <si>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</si>
  <si>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</si>
  <si>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</si>
  <si>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19/08/2024 a 20/09/2024</t>
  </si>
  <si>
    <t>Referente ao executado (100%)</t>
  </si>
  <si>
    <t>Laje Marquise (60%)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</si>
</sst>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</numFmts>
  <fonts count="37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1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9" fontId="18" fillId="0" borderId="42" xfId="2" applyNumberFormat="1" applyFont="1" applyFill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2" fontId="23" fillId="20" borderId="31" xfId="0" applyNumberFormat="1" applyFont="1" applyFill="1" applyBorder="1" applyAlignment="1">
      <alignment horizontal="center" vertical="center"/>
    </xf>
    <xf numFmtId="169" fontId="18" fillId="17" borderId="42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3" applyFont="1" applyAlignment="1">
      <alignment horizontal="center" vertical="center"/>
    </xf>
    <xf numFmtId="9" fontId="6" fillId="17" borderId="0" xfId="3" applyFont="1" applyFill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4" fontId="32" fillId="0" borderId="42" xfId="0" applyNumberFormat="1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 wrapText="1"/>
    </xf>
    <xf numFmtId="4" fontId="17" fillId="0" borderId="56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4" fontId="17" fillId="0" borderId="48" xfId="0" applyNumberFormat="1" applyFont="1" applyBorder="1" applyAlignment="1">
      <alignment horizontal="center" vertical="center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 vertical="center" wrapText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jpeg"/><Relationship Id="rId3" Type="http://schemas.openxmlformats.org/officeDocument/2006/relationships/image" Target="../media/image93.jpeg"/><Relationship Id="rId7" Type="http://schemas.openxmlformats.org/officeDocument/2006/relationships/image" Target="../media/image97.jpeg"/><Relationship Id="rId2" Type="http://schemas.openxmlformats.org/officeDocument/2006/relationships/image" Target="../media/image92.jpeg"/><Relationship Id="rId1" Type="http://schemas.openxmlformats.org/officeDocument/2006/relationships/image" Target="../media/image3.jpeg"/><Relationship Id="rId6" Type="http://schemas.openxmlformats.org/officeDocument/2006/relationships/image" Target="../media/image96.jpeg"/><Relationship Id="rId5" Type="http://schemas.openxmlformats.org/officeDocument/2006/relationships/image" Target="../media/image95.jpeg"/><Relationship Id="rId4" Type="http://schemas.openxmlformats.org/officeDocument/2006/relationships/image" Target="../media/image94.jpe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eg"/><Relationship Id="rId13" Type="http://schemas.openxmlformats.org/officeDocument/2006/relationships/image" Target="../media/image111.jpeg"/><Relationship Id="rId3" Type="http://schemas.openxmlformats.org/officeDocument/2006/relationships/image" Target="../media/image101.jpeg"/><Relationship Id="rId7" Type="http://schemas.openxmlformats.org/officeDocument/2006/relationships/image" Target="../media/image105.jpeg"/><Relationship Id="rId12" Type="http://schemas.openxmlformats.org/officeDocument/2006/relationships/image" Target="../media/image110.jpeg"/><Relationship Id="rId2" Type="http://schemas.openxmlformats.org/officeDocument/2006/relationships/image" Target="../media/image100.jpeg"/><Relationship Id="rId1" Type="http://schemas.openxmlformats.org/officeDocument/2006/relationships/image" Target="../media/image99.jpeg"/><Relationship Id="rId6" Type="http://schemas.openxmlformats.org/officeDocument/2006/relationships/image" Target="../media/image104.jpeg"/><Relationship Id="rId11" Type="http://schemas.openxmlformats.org/officeDocument/2006/relationships/image" Target="../media/image109.jpeg"/><Relationship Id="rId5" Type="http://schemas.openxmlformats.org/officeDocument/2006/relationships/image" Target="../media/image103.jpeg"/><Relationship Id="rId10" Type="http://schemas.openxmlformats.org/officeDocument/2006/relationships/image" Target="../media/image108.jpeg"/><Relationship Id="rId4" Type="http://schemas.openxmlformats.org/officeDocument/2006/relationships/image" Target="../media/image102.jpeg"/><Relationship Id="rId9" Type="http://schemas.openxmlformats.org/officeDocument/2006/relationships/image" Target="../media/image107.jpe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8.jpeg"/><Relationship Id="rId3" Type="http://schemas.openxmlformats.org/officeDocument/2006/relationships/image" Target="../media/image113.jpeg"/><Relationship Id="rId7" Type="http://schemas.openxmlformats.org/officeDocument/2006/relationships/image" Target="../media/image117.jpeg"/><Relationship Id="rId12" Type="http://schemas.openxmlformats.org/officeDocument/2006/relationships/image" Target="../media/image122.jpeg"/><Relationship Id="rId2" Type="http://schemas.openxmlformats.org/officeDocument/2006/relationships/image" Target="../media/image112.jpeg"/><Relationship Id="rId1" Type="http://schemas.openxmlformats.org/officeDocument/2006/relationships/image" Target="../media/image3.jpeg"/><Relationship Id="rId6" Type="http://schemas.openxmlformats.org/officeDocument/2006/relationships/image" Target="../media/image116.jpeg"/><Relationship Id="rId11" Type="http://schemas.openxmlformats.org/officeDocument/2006/relationships/image" Target="../media/image121.jpeg"/><Relationship Id="rId5" Type="http://schemas.openxmlformats.org/officeDocument/2006/relationships/image" Target="../media/image115.jpeg"/><Relationship Id="rId10" Type="http://schemas.openxmlformats.org/officeDocument/2006/relationships/image" Target="../media/image120.jpeg"/><Relationship Id="rId4" Type="http://schemas.openxmlformats.org/officeDocument/2006/relationships/image" Target="../media/image114.jpeg"/><Relationship Id="rId9" Type="http://schemas.openxmlformats.org/officeDocument/2006/relationships/image" Target="../media/image11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6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7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4" t="s">
        <v>566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v>45281</v>
      </c>
      <c r="C8" s="449"/>
      <c r="D8" s="23" t="s">
        <v>595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5" t="s">
        <v>545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419">
        <f>K195</f>
        <v>4.5500000000000007</v>
      </c>
      <c r="H201" s="420"/>
      <c r="I201" s="421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419" t="s">
        <v>586</v>
      </c>
      <c r="H204" s="422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419">
        <v>4</v>
      </c>
      <c r="H205" s="422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201:I201"/>
    <mergeCell ref="G204:H204"/>
    <mergeCell ref="G205:H205"/>
    <mergeCell ref="G10:I10"/>
    <mergeCell ref="J10:N10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4" t="s">
        <v>598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v>45291</v>
      </c>
      <c r="C8" s="449"/>
      <c r="D8" s="23" t="s">
        <v>710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5" t="s">
        <v>596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419">
        <f>L25</f>
        <v>85.184619999999995</v>
      </c>
      <c r="H50" s="420"/>
      <c r="I50" s="421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419"/>
      <c r="H51" s="420"/>
      <c r="I51" s="421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460" t="s">
        <v>652</v>
      </c>
      <c r="H54" s="463"/>
      <c r="I54" s="464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460" t="s">
        <v>612</v>
      </c>
      <c r="H91" s="461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457">
        <f xml:space="preserve"> (2*1.31) + (2*1.51) + (2*4.98)</f>
        <v>15.600000000000001</v>
      </c>
      <c r="H92" s="462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457">
        <f xml:space="preserve"> (3*3.37) + (1.37) + (2*3.47)</f>
        <v>18.420000000000002</v>
      </c>
      <c r="H93" s="462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457">
        <f xml:space="preserve"> (1.87) + (2*3.62)</f>
        <v>9.11</v>
      </c>
      <c r="H94" s="462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457">
        <f xml:space="preserve"> (4*0.88) + (2*3.36) + (2*5.03)</f>
        <v>20.3</v>
      </c>
      <c r="H95" s="462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457">
        <f xml:space="preserve"> (2*3.18) + (2*3.18)</f>
        <v>12.72</v>
      </c>
      <c r="H96" s="462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457">
        <f xml:space="preserve"> (4*2.15)</f>
        <v>8.6</v>
      </c>
      <c r="H97" s="462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457">
        <f xml:space="preserve"> (4*6.99)</f>
        <v>27.96</v>
      </c>
      <c r="H98" s="462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457"/>
      <c r="H100" s="458"/>
      <c r="I100" s="459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460" t="s">
        <v>679</v>
      </c>
      <c r="H108" s="461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457" t="s">
        <v>680</v>
      </c>
      <c r="H109" s="462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457" t="s">
        <v>681</v>
      </c>
      <c r="H110" s="462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457" t="s">
        <v>682</v>
      </c>
      <c r="H111" s="462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457" t="s">
        <v>684</v>
      </c>
      <c r="H112" s="462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457" t="s">
        <v>683</v>
      </c>
      <c r="H113" s="462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457" t="s">
        <v>685</v>
      </c>
      <c r="H114" s="462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460" t="s">
        <v>686</v>
      </c>
      <c r="H115" s="461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457" t="s">
        <v>687</v>
      </c>
      <c r="H116" s="462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457" t="s">
        <v>688</v>
      </c>
      <c r="H117" s="462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460" t="s">
        <v>689</v>
      </c>
      <c r="H118" s="461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457" t="s">
        <v>690</v>
      </c>
      <c r="H119" s="462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460" t="s">
        <v>691</v>
      </c>
      <c r="H120" s="461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457" t="s">
        <v>692</v>
      </c>
      <c r="H121" s="462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457" t="s">
        <v>693</v>
      </c>
      <c r="H122" s="462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460" t="s">
        <v>694</v>
      </c>
      <c r="H123" s="461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457" t="s">
        <v>695</v>
      </c>
      <c r="H124" s="462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457" t="s">
        <v>696</v>
      </c>
      <c r="H125" s="462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457" t="s">
        <v>697</v>
      </c>
      <c r="H126" s="462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457" t="s">
        <v>698</v>
      </c>
      <c r="H127" s="462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457" t="s">
        <v>699</v>
      </c>
      <c r="H128" s="462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457" t="s">
        <v>700</v>
      </c>
      <c r="H129" s="462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457" t="s">
        <v>701</v>
      </c>
      <c r="H130" s="462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460" t="s">
        <v>702</v>
      </c>
      <c r="H131" s="461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457" t="s">
        <v>704</v>
      </c>
      <c r="H132" s="462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457" t="s">
        <v>703</v>
      </c>
      <c r="H133" s="462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457" t="s">
        <v>703</v>
      </c>
      <c r="H134" s="462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457" t="s">
        <v>705</v>
      </c>
      <c r="H135" s="462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457" t="s">
        <v>704</v>
      </c>
      <c r="H136" s="462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457" t="s">
        <v>705</v>
      </c>
      <c r="H137" s="462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457" t="s">
        <v>704</v>
      </c>
      <c r="H138" s="462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457">
        <v>9.6</v>
      </c>
      <c r="H139" s="458"/>
      <c r="I139" s="459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457"/>
      <c r="H149" s="458"/>
      <c r="I149" s="459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457">
        <v>9.6</v>
      </c>
      <c r="H150" s="458"/>
      <c r="I150" s="459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457">
        <f>K148</f>
        <v>9.6</v>
      </c>
      <c r="H152" s="458"/>
      <c r="I152" s="459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460" t="s">
        <v>647</v>
      </c>
      <c r="H154" s="461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457">
        <f xml:space="preserve"> ((0.59*(1.85/0.1)) * 2)</f>
        <v>21.83</v>
      </c>
      <c r="H155" s="462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457">
        <f>(0.69*(1.87/0.1)) + (0.79*(1.87/0.1))</f>
        <v>27.675999999999998</v>
      </c>
      <c r="H156" s="462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457">
        <f>((0.69*(1.9/0.1))*3) + ((0.59*(1.87/0.1))*2)</f>
        <v>61.395999999999987</v>
      </c>
      <c r="H157" s="462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457">
        <f>((0.69*(1.92/0.1))*1) + ((0.59*(1.92/0.1))*2)</f>
        <v>35.903999999999996</v>
      </c>
      <c r="H158" s="462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457">
        <f>((0.79*(1.94/0.1))*3)</f>
        <v>45.977999999999994</v>
      </c>
      <c r="H159" s="462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457">
        <f>((0.69*(1.96/0.1))*3) + ((0.59*(1.96/0.1))*2)</f>
        <v>63.699999999999989</v>
      </c>
      <c r="H160" s="462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457">
        <f>((0.59*(1.95/0.1))*2) + ((0.69*(1.95/0.1))*3) +((0.79*(1.95/0.1))*1)</f>
        <v>78.78</v>
      </c>
      <c r="H161" s="462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457">
        <f>((0.59*(1.97/0.1))*1)  +((0.79*(1.97/0.1))*2)</f>
        <v>42.749000000000002</v>
      </c>
      <c r="H162" s="462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457">
        <f>((0.59*(1.9/0.1))*3)</f>
        <v>33.629999999999995</v>
      </c>
      <c r="H163" s="462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457">
        <f>((0.69*(1.86/0.1))*1) + ((0.69*(1.86/0.1))*1) + ((0.89*(1.86/0.1))*1)</f>
        <v>42.222000000000001</v>
      </c>
      <c r="H164" s="462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457">
        <f>((0.69*(1.87/0.1))*3)</f>
        <v>38.708999999999996</v>
      </c>
      <c r="H165" s="462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457">
        <f>((0.69*(1.9/0.1))*1) + ((0.79*(1.9/0.1))*2) + ((0.59*(1.9/0.1))*1)</f>
        <v>54.339999999999989</v>
      </c>
      <c r="H166" s="462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457">
        <f>((0.79*(1.91/0.1))*1) +((0.59*(1.91/0.1))*1)</f>
        <v>26.357999999999997</v>
      </c>
      <c r="H167" s="462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457">
        <f>((0.79*(1.94/0.1))*1) +((0.59*(1.94/0.1))*5)</f>
        <v>72.555999999999983</v>
      </c>
      <c r="H168" s="462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457">
        <f>((0.69*(1.92/0.1))*2) + ((0.69*(1.92/0.1))*1)</f>
        <v>39.744</v>
      </c>
      <c r="H169" s="462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457">
        <f>((0.59*(1.93/0.1))*2) + ((0.79*(1.93/0.1))*1)</f>
        <v>38.020999999999994</v>
      </c>
      <c r="H170" s="462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457">
        <f>((0.59*(1.87/0.1))*2) + ((0.69*(1.87/0.1))*2)</f>
        <v>47.872</v>
      </c>
      <c r="H171" s="462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457">
        <f>((0.59*(1.88/0.1))*3) + ((0.69*(1.88/0.1))*1)</f>
        <v>46.24799999999999</v>
      </c>
      <c r="H172" s="462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457">
        <f>((0.79*(1.9/0.1))*1) + ((0.69*(1.9/0.1))*3)</f>
        <v>54.339999999999982</v>
      </c>
      <c r="H173" s="462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457">
        <f>((0.59*(1.9/0.1))*1)</f>
        <v>11.209999999999997</v>
      </c>
      <c r="H174" s="462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457">
        <f>((0.69*(1.87/0.1))*1) + ((0.59*(1.87/0.1))*1)</f>
        <v>23.936</v>
      </c>
      <c r="H175" s="462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457">
        <f>((0.69*(2/0.1))*1) + ((0.59*(2/0.1))*2)</f>
        <v>37.4</v>
      </c>
      <c r="H176" s="462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457">
        <f>((0.69*(2.01/0.1))*1) + ((0.59*(2.01/0.1))*5) + ((0.79*(2.01/0.1))*1)</f>
        <v>89.042999999999992</v>
      </c>
      <c r="H177" s="462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457">
        <f>(((1.39+0.47+0.47))*(1.86/0.15))</f>
        <v>28.892000000000003</v>
      </c>
      <c r="H178" s="462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457">
        <f>(((1.09+0.022))*(1.87/0.15))</f>
        <v>13.862933333333336</v>
      </c>
      <c r="H179" s="462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457">
        <f>(((1.09+0.022))*(1.89/0.15))</f>
        <v>14.011200000000001</v>
      </c>
      <c r="H180" s="462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457">
        <f>(((0.59))*(1.9/0.15))</f>
        <v>7.4733333333333327</v>
      </c>
      <c r="H181" s="462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457">
        <f>(((0.59))*(1.92/0.15))</f>
        <v>7.5519999999999996</v>
      </c>
      <c r="H182" s="462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457">
        <f>(((0.59))*(1.9/0.15))</f>
        <v>7.4733333333333327</v>
      </c>
      <c r="H183" s="462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457">
        <f>(((0.69))*(1.98/0.15))</f>
        <v>9.1080000000000005</v>
      </c>
      <c r="H184" s="462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460" t="s">
        <v>612</v>
      </c>
      <c r="H185" s="461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457">
        <f xml:space="preserve"> (2*2.51) + (40*0.59)</f>
        <v>28.619999999999997</v>
      </c>
      <c r="H186" s="462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457">
        <f xml:space="preserve"> (19*0.79)</f>
        <v>15.010000000000002</v>
      </c>
      <c r="H187" s="462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457">
        <f xml:space="preserve"> (21*0.79)</f>
        <v>16.59</v>
      </c>
      <c r="H188" s="462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457">
        <f xml:space="preserve"> (2*3.86) + (29*0.79)</f>
        <v>30.63</v>
      </c>
      <c r="H189" s="462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457">
        <f xml:space="preserve"> (22*0.59)</f>
        <v>12.979999999999999</v>
      </c>
      <c r="H190" s="462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457">
        <f xml:space="preserve"> (14*0.059)</f>
        <v>0.82599999999999996</v>
      </c>
      <c r="H191" s="462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457">
        <f xml:space="preserve"> (59*0.59)</f>
        <v>34.809999999999995</v>
      </c>
      <c r="H192" s="462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457">
        <v>295</v>
      </c>
      <c r="H194" s="458"/>
      <c r="I194" s="459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460" t="s">
        <v>628</v>
      </c>
      <c r="H197" s="461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457">
        <f xml:space="preserve"> (4*(0.2+0.25+1.85+0.33)) * 2</f>
        <v>21.040000000000003</v>
      </c>
      <c r="H198" s="462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457">
        <f xml:space="preserve"> ((4*(0.2+0.25+1.87+0.33)) * 2)</f>
        <v>21.200000000000003</v>
      </c>
      <c r="H199" s="462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457">
        <f xml:space="preserve"> (4*(0.2+0.25+1.9+0.33)) * 5</f>
        <v>53.6</v>
      </c>
      <c r="H200" s="462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457">
        <f xml:space="preserve"> (4*(0.2+0.25+1.92+0.33)) *3</f>
        <v>32.400000000000006</v>
      </c>
      <c r="H201" s="462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457">
        <f xml:space="preserve"> (4*(0.2+0.25+1.94+0.33)) * 3</f>
        <v>32.64</v>
      </c>
      <c r="H202" s="462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457">
        <f xml:space="preserve"> (4*(0.2+0.25+1.96+0.33)) * 5</f>
        <v>54.800000000000004</v>
      </c>
      <c r="H203" s="462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457">
        <f xml:space="preserve"> (4*(0.2+0.25+1.95+0.33)) * 6</f>
        <v>65.52</v>
      </c>
      <c r="H204" s="462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457">
        <f xml:space="preserve"> (4*(0.2+0.25+1.97+0.33)) * 3</f>
        <v>33</v>
      </c>
      <c r="H205" s="462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457">
        <f xml:space="preserve"> (4*(0.2+0.25+1.9+0.33)) * 3</f>
        <v>32.160000000000004</v>
      </c>
      <c r="H206" s="462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457">
        <f xml:space="preserve"> ((4*(0.2+0.25+1.86+0.33)) * 3)</f>
        <v>31.68</v>
      </c>
      <c r="H207" s="462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457">
        <f xml:space="preserve"> ((4*(0.2+0.25+1.87+0.33)) * 3)</f>
        <v>31.800000000000004</v>
      </c>
      <c r="H208" s="462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457">
        <f xml:space="preserve"> ((4*(0.2+0.25+1.9+0.33)) * 4)</f>
        <v>42.88</v>
      </c>
      <c r="H209" s="462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457">
        <f xml:space="preserve"> ((4*(0.2+0.25+1.91+0.33)) * 2)</f>
        <v>21.52</v>
      </c>
      <c r="H210" s="462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457">
        <f xml:space="preserve"> ((4*(0.2+0.25+1.94+0.33)) * 6)</f>
        <v>65.28</v>
      </c>
      <c r="H211" s="462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457">
        <f xml:space="preserve"> ((4*(0.2+0.25+1.92+0.33)) *3)</f>
        <v>32.400000000000006</v>
      </c>
      <c r="H212" s="462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457">
        <f xml:space="preserve"> ((4*(0.2+0.25+1.93+0.33)) *3)</f>
        <v>32.519999999999996</v>
      </c>
      <c r="H213" s="462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457">
        <f xml:space="preserve"> ((4*(0.2+0.25+1.87+0.33)) *4)</f>
        <v>42.400000000000006</v>
      </c>
      <c r="H214" s="462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457">
        <f xml:space="preserve"> ((4*(0.2+0.25+1.88+0.33)) *4)</f>
        <v>42.56</v>
      </c>
      <c r="H215" s="462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457">
        <f xml:space="preserve"> ((4*(0.2+0.25+1.9+0.33)) *4)</f>
        <v>42.88</v>
      </c>
      <c r="H216" s="462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457">
        <f>((4*(0.2+0.25+1.9+0.33))) + ((8*(0.2+0.25+1.9)))</f>
        <v>29.520000000000003</v>
      </c>
      <c r="H217" s="462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457">
        <f xml:space="preserve"> ((4*(0.2+0.25+1.97+0.33)) *2)</f>
        <v>22</v>
      </c>
      <c r="H218" s="462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457">
        <f xml:space="preserve"> ((4*(0.2+0.25+2+0.33)) *3)</f>
        <v>33.36</v>
      </c>
      <c r="H219" s="462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457">
        <f xml:space="preserve"> ((4*(0.2+0.25+2.01+0.33)) *7)</f>
        <v>78.12</v>
      </c>
      <c r="H220" s="462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460" t="s">
        <v>628</v>
      </c>
      <c r="H222" s="461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457">
        <f>((8*(0.2+0.25+1.86+0.42)))</f>
        <v>21.84</v>
      </c>
      <c r="H223" s="462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457">
        <f>((6*(0.2+0.25+1.87+0.42)))</f>
        <v>16.440000000000001</v>
      </c>
      <c r="H224" s="462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457">
        <f>((6*(0.2+0.25+1.89+0.42)))</f>
        <v>16.559999999999999</v>
      </c>
      <c r="H225" s="462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457">
        <f>((4*(0.2+0.25+1.9+0.42)))</f>
        <v>11.08</v>
      </c>
      <c r="H226" s="462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457">
        <f>((4*(0.2+0.25+1.92+0.42)))</f>
        <v>11.16</v>
      </c>
      <c r="H227" s="462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457">
        <f>((4*(0.2+0.25+1.9+0.42)))</f>
        <v>11.08</v>
      </c>
      <c r="H228" s="462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457">
        <f>((4*(0.2+0.25+1.98+0.42)))+(2*(0.2+0.25+1.98))</f>
        <v>16.260000000000002</v>
      </c>
      <c r="H229" s="462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460" t="s">
        <v>612</v>
      </c>
      <c r="H230" s="461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457"/>
      <c r="H231" s="462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457"/>
      <c r="H232" s="462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457"/>
      <c r="H233" s="462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457"/>
      <c r="H234" s="462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457"/>
      <c r="H235" s="462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457"/>
      <c r="H236" s="462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457"/>
      <c r="H237" s="462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460" t="s">
        <v>706</v>
      </c>
      <c r="H247" s="461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457">
        <f xml:space="preserve"> ((0.15+0.25)*2) *2</f>
        <v>1.6</v>
      </c>
      <c r="H248" s="462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457">
        <f xml:space="preserve"> ((0.2+0.25)*2) + ((0.2+0.3)*2)</f>
        <v>1.9</v>
      </c>
      <c r="H249" s="462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457">
        <f xml:space="preserve"> ((0.2+0.25)*2*3) + ((0.2+0.2)*2*1) + ((0.15+0.2)*2*1)</f>
        <v>4.2</v>
      </c>
      <c r="H250" s="462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457">
        <f xml:space="preserve"> ((0.2+0.25)*2*1) + ((0.15+0.25)*2*2)</f>
        <v>2.5</v>
      </c>
      <c r="H251" s="462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457">
        <f xml:space="preserve"> ((0.15+0.3)*2*3)</f>
        <v>2.6999999999999997</v>
      </c>
      <c r="H252" s="462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457">
        <f xml:space="preserve"> ((0.2+0.25)*2*3) + ((0.15+0.25)*2*2)</f>
        <v>4.3000000000000007</v>
      </c>
      <c r="H253" s="462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457">
        <f xml:space="preserve"> ((0.2+0.25)*2*3) + ((0.15+0.25)*2*2) +  ((0.2+0.3)*2*1)</f>
        <v>5.3000000000000007</v>
      </c>
      <c r="H254" s="462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457">
        <f xml:space="preserve"> ((0.2+0.25)*2*2) + ((0.15+0.25)*2*1)</f>
        <v>2.6</v>
      </c>
      <c r="H255" s="462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457">
        <f>((0.15+0.25)*2*3)</f>
        <v>2.4000000000000004</v>
      </c>
      <c r="H256" s="462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457">
        <f xml:space="preserve"> ((0.2+0.25)*2*1) + ((0.15+0.25)*2*1) +  ((0.2+0.35)*2*1)</f>
        <v>2.8000000000000003</v>
      </c>
      <c r="H257" s="462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457">
        <f xml:space="preserve"> ((0.2+0.25)*2*1) + ((0.15+0.3)*2*2)</f>
        <v>2.6999999999999997</v>
      </c>
      <c r="H258" s="462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457">
        <f xml:space="preserve"> ((0.2+0.3)*2*1) + ((0.15+0.3)*2*1) +  ((0.15+0.25)*2*1) + ((0.15+0.35)*2*1)</f>
        <v>3.7</v>
      </c>
      <c r="H259" s="462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457">
        <f xml:space="preserve"> ((0.15+0.25)*2*1) + ((0.2+0.3)*2*1)</f>
        <v>1.8</v>
      </c>
      <c r="H260" s="462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457">
        <f xml:space="preserve"> ((0.15+0.25)*2*5) + ((0.25+0.25)*2*1)</f>
        <v>5</v>
      </c>
      <c r="H261" s="462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457">
        <f xml:space="preserve"> ((0.2+0.25)*2*1) + ((0.15+0.25)*2*1) +  ((0.25+0.25)*2*1)</f>
        <v>2.7</v>
      </c>
      <c r="H262" s="462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457">
        <f xml:space="preserve"> ((0.15+0.25)*2*2) + ((0.25+0.25)*2*1)</f>
        <v>2.6</v>
      </c>
      <c r="H263" s="462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457">
        <f xml:space="preserve"> ((0.15+0.25)*2*2) + ((0.2+0.25)*2*2)</f>
        <v>3.4000000000000004</v>
      </c>
      <c r="H264" s="462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457">
        <f xml:space="preserve"> ((0.15+0.25)*2*3) + ((0.2+0.25)*2*1)</f>
        <v>3.3000000000000003</v>
      </c>
      <c r="H265" s="462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457">
        <f>((0.2+0.25)*2*3) + ((0.25+0.25)*2*1)</f>
        <v>3.7</v>
      </c>
      <c r="H266" s="462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457">
        <f>((0.2+0.2)*2*1)</f>
        <v>0.8</v>
      </c>
      <c r="H267" s="462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457">
        <f>((0.2+0.25)*2*1) + ((0.15+0.25)*2*1)</f>
        <v>1.7000000000000002</v>
      </c>
      <c r="H268" s="462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457">
        <f>((0.2+0.25)*2*1) + ((0.15+0.25)*2*2)</f>
        <v>2.5</v>
      </c>
      <c r="H269" s="462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457">
        <f xml:space="preserve"> ((0.2+0.3)*2*1) + ((0.15+0.25)*2*5) +  ((0.25+0.25)*2*1)</f>
        <v>6</v>
      </c>
      <c r="H270" s="462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457">
        <f>((0.15+0.3)*2*1)</f>
        <v>0.89999999999999991</v>
      </c>
      <c r="H271" s="462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457">
        <f>((0.15+0.5)*2*1)</f>
        <v>1.3</v>
      </c>
      <c r="H272" s="462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457">
        <f>((0.15+0.5)*2*1)</f>
        <v>1.3</v>
      </c>
      <c r="H273" s="462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457">
        <f>((0.15+0.25)*2*1)</f>
        <v>0.8</v>
      </c>
      <c r="H274" s="462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457">
        <f t="shared" ref="G275" si="17">((0.15+0.3)*2*1)</f>
        <v>0.89999999999999991</v>
      </c>
      <c r="H275" s="462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457">
        <f>((0.15+0.25)*2*1)</f>
        <v>0.8</v>
      </c>
      <c r="H276" s="462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457">
        <f>((0.15+0.3)*2*1)</f>
        <v>0.89999999999999991</v>
      </c>
      <c r="H277" s="462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419">
        <v>11.01</v>
      </c>
      <c r="H419" s="420"/>
      <c r="I419" s="421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419">
        <f>K426</f>
        <v>1.04</v>
      </c>
      <c r="H432" s="420"/>
      <c r="I432" s="421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419" t="s">
        <v>586</v>
      </c>
      <c r="H435" s="422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419">
        <v>4</v>
      </c>
      <c r="H436" s="422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567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45281</v>
      </c>
      <c r="C8" s="449"/>
      <c r="D8" s="23" t="s">
        <v>595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545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597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45291</v>
      </c>
      <c r="C8" s="449"/>
      <c r="D8" s="23" t="s">
        <v>710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596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4" t="s">
        <v>713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v>45352</v>
      </c>
      <c r="C8" s="449"/>
      <c r="D8" s="23" t="s">
        <v>712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5" t="s">
        <v>711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491">
        <v>1</v>
      </c>
      <c r="G70" s="476">
        <f>43.05</f>
        <v>43.05</v>
      </c>
      <c r="H70" s="477"/>
      <c r="I70" s="478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492"/>
      <c r="G71" s="479"/>
      <c r="H71" s="480"/>
      <c r="I71" s="481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73" t="s">
        <v>883</v>
      </c>
      <c r="H72" s="474"/>
      <c r="I72" s="47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71" t="s">
        <v>838</v>
      </c>
      <c r="H73" s="472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71">
        <v>9</v>
      </c>
      <c r="H74" s="47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71">
        <v>5</v>
      </c>
      <c r="H75" s="47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71">
        <f xml:space="preserve"> (13.03 * 2.7)</f>
        <v>35.180999999999997</v>
      </c>
      <c r="H76" s="47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71">
        <v>3</v>
      </c>
      <c r="H77" s="472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71">
        <v>7</v>
      </c>
      <c r="H78" s="472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71">
        <v>21</v>
      </c>
      <c r="H79" s="472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71">
        <v>27</v>
      </c>
      <c r="H80" s="472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71">
        <v>26</v>
      </c>
      <c r="H81" s="472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71">
        <v>1.6</v>
      </c>
      <c r="H82" s="472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71">
        <v>1.6</v>
      </c>
      <c r="H83" s="472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71">
        <v>45</v>
      </c>
      <c r="H84" s="472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71">
        <v>19</v>
      </c>
      <c r="H85" s="472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71">
        <v>19</v>
      </c>
      <c r="H86" s="472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71">
        <v>5</v>
      </c>
      <c r="H87" s="472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71">
        <v>14</v>
      </c>
      <c r="H88" s="472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82">
        <v>36</v>
      </c>
      <c r="H89" s="48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82">
        <v>46</v>
      </c>
      <c r="H90" s="483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71">
        <v>41</v>
      </c>
      <c r="H91" s="472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71">
        <v>27</v>
      </c>
      <c r="H92" s="472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71">
        <v>53</v>
      </c>
      <c r="H93" s="472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71">
        <f xml:space="preserve"> (2.65*1.8)</f>
        <v>4.7699999999999996</v>
      </c>
      <c r="H94" s="472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71">
        <v>30</v>
      </c>
      <c r="H95" s="472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71">
        <v>30</v>
      </c>
      <c r="H96" s="472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71">
        <v>14</v>
      </c>
      <c r="H97" s="472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71">
        <v>14</v>
      </c>
      <c r="H98" s="472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71">
        <v>20</v>
      </c>
      <c r="H99" s="472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71">
        <v>3</v>
      </c>
      <c r="H100" s="472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71">
        <v>4</v>
      </c>
      <c r="H101" s="472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71">
        <v>12</v>
      </c>
      <c r="H102" s="472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71">
        <v>20</v>
      </c>
      <c r="H103" s="472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71">
        <v>4</v>
      </c>
      <c r="H104" s="472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71">
        <v>5</v>
      </c>
      <c r="H105" s="472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71">
        <f>1184.23-SUM(G74:H105)</f>
        <v>582.07900000000006</v>
      </c>
      <c r="H106" s="472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71"/>
      <c r="H107" s="472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60" t="s">
        <v>652</v>
      </c>
      <c r="H108" s="463"/>
      <c r="I108" s="464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57" t="s">
        <v>831</v>
      </c>
      <c r="H172" s="458"/>
      <c r="I172" s="459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460">
        <v>492.78</v>
      </c>
      <c r="H173" s="463"/>
      <c r="I173" s="464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60">
        <f>(2*12)+(2*3.79)+(2*8.94)+(2*6.27)+ 1.39+0.99 +(2*1.85)+(2*1.7)+ (2*1.35)</f>
        <v>74.180000000000007</v>
      </c>
      <c r="H174" s="46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60">
        <f>(2*10.92)+(2*10.92)+ 1.3 + 1.1</f>
        <v>46.08</v>
      </c>
      <c r="H175" s="46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60">
        <f>(2*1.87)+(2*1.87)</f>
        <v>7.48</v>
      </c>
      <c r="H176" s="46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60">
        <f>(2*6.55)+(2*6.3)+1.75+1.35+1.19</f>
        <v>29.990000000000002</v>
      </c>
      <c r="H177" s="46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60">
        <f>(2*8.39)+(2*1.7)+ 1.1+ 3.13 + (2*5.24)+ (2*3.11)</f>
        <v>41.11</v>
      </c>
      <c r="H178" s="46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60"/>
      <c r="H179" s="46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60"/>
      <c r="H180" s="46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60"/>
      <c r="H181" s="46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60"/>
      <c r="H182" s="46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60"/>
      <c r="H183" s="46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60"/>
      <c r="H184" s="46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60"/>
      <c r="H185" s="46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60"/>
      <c r="H186" s="46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60"/>
      <c r="H187" s="46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60"/>
      <c r="H188" s="46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60"/>
      <c r="H189" s="46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60"/>
      <c r="H190" s="46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60"/>
      <c r="H191" s="46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60"/>
      <c r="H192" s="46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60"/>
      <c r="H193" s="46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60"/>
      <c r="H194" s="46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60"/>
      <c r="H195" s="46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60"/>
      <c r="H196" s="46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60"/>
      <c r="H197" s="46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60"/>
      <c r="H198" s="46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60"/>
      <c r="H199" s="46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57">
        <f xml:space="preserve"> (2*1.31) + (2*1.51) + (2*4.98)</f>
        <v>15.600000000000001</v>
      </c>
      <c r="H201" s="46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57">
        <f xml:space="preserve"> (3*3.37) + (1.37) + (2*3.47)</f>
        <v>18.420000000000002</v>
      </c>
      <c r="H202" s="462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57">
        <f xml:space="preserve"> (1.87) + (2*3.62)</f>
        <v>9.11</v>
      </c>
      <c r="H203" s="462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57">
        <f xml:space="preserve"> (4*0.88) + (2*3.36) + (2*5.03)</f>
        <v>20.3</v>
      </c>
      <c r="H204" s="462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57">
        <f xml:space="preserve"> (2*3.18) + (2*3.18)</f>
        <v>12.72</v>
      </c>
      <c r="H205" s="462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57">
        <f xml:space="preserve"> (4*2.15)</f>
        <v>8.6</v>
      </c>
      <c r="H206" s="462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57">
        <f xml:space="preserve"> (4*6.99)</f>
        <v>27.96</v>
      </c>
      <c r="H207" s="462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57" t="s">
        <v>831</v>
      </c>
      <c r="H208" s="458"/>
      <c r="I208" s="45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57"/>
      <c r="H209" s="458"/>
      <c r="I209" s="45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60" t="s">
        <v>679</v>
      </c>
      <c r="H217" s="46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57" t="s">
        <v>680</v>
      </c>
      <c r="H218" s="46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57" t="s">
        <v>681</v>
      </c>
      <c r="H219" s="46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57" t="s">
        <v>682</v>
      </c>
      <c r="H220" s="46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57" t="s">
        <v>684</v>
      </c>
      <c r="H221" s="46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57" t="s">
        <v>683</v>
      </c>
      <c r="H222" s="46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57" t="s">
        <v>685</v>
      </c>
      <c r="H223" s="46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60" t="s">
        <v>686</v>
      </c>
      <c r="H224" s="46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57" t="s">
        <v>687</v>
      </c>
      <c r="H225" s="46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57" t="s">
        <v>688</v>
      </c>
      <c r="H226" s="46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60" t="s">
        <v>689</v>
      </c>
      <c r="H227" s="46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57" t="s">
        <v>690</v>
      </c>
      <c r="H228" s="46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60" t="s">
        <v>691</v>
      </c>
      <c r="H229" s="46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57" t="s">
        <v>692</v>
      </c>
      <c r="H230" s="46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57" t="s">
        <v>693</v>
      </c>
      <c r="H231" s="46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60" t="s">
        <v>694</v>
      </c>
      <c r="H232" s="46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57" t="s">
        <v>695</v>
      </c>
      <c r="H233" s="46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57" t="s">
        <v>696</v>
      </c>
      <c r="H234" s="46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57" t="s">
        <v>697</v>
      </c>
      <c r="H235" s="46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57" t="s">
        <v>698</v>
      </c>
      <c r="H236" s="46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57" t="s">
        <v>699</v>
      </c>
      <c r="H237" s="46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57" t="s">
        <v>700</v>
      </c>
      <c r="H238" s="46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57" t="s">
        <v>701</v>
      </c>
      <c r="H239" s="46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60" t="s">
        <v>702</v>
      </c>
      <c r="H240" s="46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57" t="s">
        <v>704</v>
      </c>
      <c r="H241" s="46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57" t="s">
        <v>703</v>
      </c>
      <c r="H242" s="46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57" t="s">
        <v>703</v>
      </c>
      <c r="H243" s="46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57" t="s">
        <v>705</v>
      </c>
      <c r="H244" s="46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57" t="s">
        <v>704</v>
      </c>
      <c r="H245" s="462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57" t="s">
        <v>705</v>
      </c>
      <c r="H246" s="46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57" t="s">
        <v>704</v>
      </c>
      <c r="H247" s="462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57">
        <v>9.6</v>
      </c>
      <c r="H248" s="458"/>
      <c r="I248" s="459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457">
        <v>12.75</v>
      </c>
      <c r="H249" s="458"/>
      <c r="I249" s="45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7" t="s">
        <v>874</v>
      </c>
      <c r="H257" s="488"/>
      <c r="I257" s="489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457"/>
      <c r="H258" s="458"/>
      <c r="I258" s="459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457">
        <v>9.6</v>
      </c>
      <c r="H259" s="458"/>
      <c r="I259" s="459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57" t="s">
        <v>831</v>
      </c>
      <c r="H260" s="458"/>
      <c r="I260" s="45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457">
        <f>G249</f>
        <v>12.75</v>
      </c>
      <c r="H261" s="458"/>
      <c r="I261" s="459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57" t="s">
        <v>831</v>
      </c>
      <c r="H262" s="458"/>
      <c r="I262" s="45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60" t="s">
        <v>647</v>
      </c>
      <c r="H263" s="46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57">
        <f xml:space="preserve"> ((0.59*(1.85/0.1)) * 2)</f>
        <v>21.83</v>
      </c>
      <c r="H264" s="46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57">
        <f>(0.69*(1.87/0.1)) + (0.79*(1.87/0.1))</f>
        <v>27.675999999999998</v>
      </c>
      <c r="H265" s="462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57">
        <f>((0.69*(1.9/0.1))*3) + ((0.59*(1.87/0.1))*2)</f>
        <v>61.395999999999987</v>
      </c>
      <c r="H266" s="462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57">
        <f>((0.69*(1.92/0.1))*1) + ((0.59*(1.92/0.1))*2)</f>
        <v>35.903999999999996</v>
      </c>
      <c r="H267" s="462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57">
        <f>((0.79*(1.94/0.1))*3)</f>
        <v>45.977999999999994</v>
      </c>
      <c r="H268" s="462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57">
        <f>((0.69*(1.96/0.1))*3) + ((0.59*(1.96/0.1))*2)</f>
        <v>63.699999999999989</v>
      </c>
      <c r="H269" s="462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57">
        <f>((0.59*(1.95/0.1))*2) + ((0.69*(1.95/0.1))*3) +((0.79*(1.95/0.1))*1)</f>
        <v>78.78</v>
      </c>
      <c r="H270" s="462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57">
        <f>((0.59*(1.97/0.1))*1)  +((0.79*(1.97/0.1))*2)</f>
        <v>42.749000000000002</v>
      </c>
      <c r="H271" s="462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57">
        <f>((0.59*(1.9/0.1))*3)</f>
        <v>33.629999999999995</v>
      </c>
      <c r="H272" s="462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57">
        <f>((0.69*(1.86/0.1))*1) + ((0.69*(1.86/0.1))*1) + ((0.89*(1.86/0.1))*1)</f>
        <v>42.222000000000001</v>
      </c>
      <c r="H273" s="462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57">
        <f>((0.69*(1.87/0.1))*3)</f>
        <v>38.708999999999996</v>
      </c>
      <c r="H274" s="462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57">
        <f>((0.69*(1.9/0.1))*1) + ((0.79*(1.9/0.1))*2) + ((0.59*(1.9/0.1))*1)</f>
        <v>54.339999999999989</v>
      </c>
      <c r="H275" s="462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57">
        <f>((0.79*(1.91/0.1))*1) +((0.59*(1.91/0.1))*1)</f>
        <v>26.357999999999997</v>
      </c>
      <c r="H276" s="462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57">
        <f>((0.79*(1.94/0.1))*1) +((0.59*(1.94/0.1))*5)</f>
        <v>72.555999999999983</v>
      </c>
      <c r="H277" s="462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57">
        <f>((0.69*(1.92/0.1))*2) + ((0.69*(1.92/0.1))*1)</f>
        <v>39.744</v>
      </c>
      <c r="H278" s="462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57">
        <f>((0.59*(1.93/0.1))*2) + ((0.79*(1.93/0.1))*1)</f>
        <v>38.020999999999994</v>
      </c>
      <c r="H279" s="462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57">
        <f>((0.59*(1.87/0.1))*2) + ((0.69*(1.87/0.1))*2)</f>
        <v>47.872</v>
      </c>
      <c r="H280" s="462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57">
        <f>((0.59*(1.88/0.1))*3) + ((0.69*(1.88/0.1))*1)</f>
        <v>46.24799999999999</v>
      </c>
      <c r="H281" s="462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57">
        <f>((0.79*(1.9/0.1))*1) + ((0.69*(1.9/0.1))*3)</f>
        <v>54.339999999999982</v>
      </c>
      <c r="H282" s="462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57">
        <f>((0.59*(1.9/0.1))*1)</f>
        <v>11.209999999999997</v>
      </c>
      <c r="H283" s="462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57">
        <f>((0.69*(1.87/0.1))*1) + ((0.59*(1.87/0.1))*1)</f>
        <v>23.936</v>
      </c>
      <c r="H284" s="462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57">
        <f>((0.69*(2/0.1))*1) + ((0.59*(2/0.1))*2)</f>
        <v>37.4</v>
      </c>
      <c r="H285" s="462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57">
        <f>((0.69*(2.01/0.1))*1) + ((0.59*(2.01/0.1))*5) + ((0.79*(2.01/0.1))*1)</f>
        <v>89.042999999999992</v>
      </c>
      <c r="H286" s="462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57">
        <f>(((1.39+0.47+0.47))*(1.86/0.15))</f>
        <v>28.892000000000003</v>
      </c>
      <c r="H287" s="46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57">
        <f>(((1.09+0.022))*(1.87/0.15))</f>
        <v>13.862933333333336</v>
      </c>
      <c r="H288" s="46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57">
        <f>(((1.09+0.022))*(1.89/0.15))</f>
        <v>14.011200000000001</v>
      </c>
      <c r="H289" s="462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57">
        <f>(((0.59))*(1.9/0.15))</f>
        <v>7.4733333333333327</v>
      </c>
      <c r="H290" s="462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57">
        <f>(((0.59))*(1.92/0.15))</f>
        <v>7.5519999999999996</v>
      </c>
      <c r="H291" s="462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57">
        <f>(((0.59))*(1.9/0.15))</f>
        <v>7.4733333333333327</v>
      </c>
      <c r="H292" s="462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57">
        <f>(((0.69))*(1.98/0.15))</f>
        <v>9.1080000000000005</v>
      </c>
      <c r="H293" s="462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460">
        <v>210.13</v>
      </c>
      <c r="H294" s="463"/>
      <c r="I294" s="464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57">
        <f xml:space="preserve"> (2*2.51) + (40*0.59)</f>
        <v>28.619999999999997</v>
      </c>
      <c r="H295" s="46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57">
        <f xml:space="preserve"> (19*0.79)</f>
        <v>15.010000000000002</v>
      </c>
      <c r="H296" s="462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57">
        <f xml:space="preserve"> (21*0.79)</f>
        <v>16.59</v>
      </c>
      <c r="H297" s="462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57">
        <f xml:space="preserve"> (2*3.86) + (29*0.79)</f>
        <v>30.63</v>
      </c>
      <c r="H298" s="462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57">
        <f xml:space="preserve"> (22*0.59)</f>
        <v>12.979999999999999</v>
      </c>
      <c r="H299" s="462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57">
        <f xml:space="preserve"> (14*0.059)</f>
        <v>0.82599999999999996</v>
      </c>
      <c r="H300" s="462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57">
        <f xml:space="preserve"> (59*0.59)</f>
        <v>34.809999999999995</v>
      </c>
      <c r="H301" s="462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57">
        <v>295</v>
      </c>
      <c r="H303" s="458"/>
      <c r="I303" s="45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60" t="s">
        <v>628</v>
      </c>
      <c r="H306" s="46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57">
        <f xml:space="preserve"> (4*(0.2+0.25+1.85+0.33)) * 2</f>
        <v>21.040000000000003</v>
      </c>
      <c r="H307" s="46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57">
        <f xml:space="preserve"> ((4*(0.2+0.25+1.87+0.33)) * 2)</f>
        <v>21.200000000000003</v>
      </c>
      <c r="H308" s="462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57">
        <f xml:space="preserve"> (4*(0.2+0.25+1.9+0.33)) * 5</f>
        <v>53.6</v>
      </c>
      <c r="H309" s="462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57">
        <f xml:space="preserve"> (4*(0.2+0.25+1.92+0.33)) *3</f>
        <v>32.400000000000006</v>
      </c>
      <c r="H310" s="462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57">
        <f xml:space="preserve"> (4*(0.2+0.25+1.94+0.33)) * 3</f>
        <v>32.64</v>
      </c>
      <c r="H311" s="462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57">
        <f xml:space="preserve"> (4*(0.2+0.25+1.96+0.33)) * 5</f>
        <v>54.800000000000004</v>
      </c>
      <c r="H312" s="462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57">
        <f xml:space="preserve"> (4*(0.2+0.25+1.95+0.33)) * 6</f>
        <v>65.52</v>
      </c>
      <c r="H313" s="462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57">
        <f xml:space="preserve"> (4*(0.2+0.25+1.97+0.33)) * 3</f>
        <v>33</v>
      </c>
      <c r="H314" s="462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57">
        <f xml:space="preserve"> (4*(0.2+0.25+1.9+0.33)) * 3</f>
        <v>32.160000000000004</v>
      </c>
      <c r="H315" s="462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57">
        <f xml:space="preserve"> ((4*(0.2+0.25+1.86+0.33)) * 3)</f>
        <v>31.68</v>
      </c>
      <c r="H316" s="462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57">
        <f xml:space="preserve"> ((4*(0.2+0.25+1.87+0.33)) * 3)</f>
        <v>31.800000000000004</v>
      </c>
      <c r="H317" s="462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57">
        <f xml:space="preserve"> ((4*(0.2+0.25+1.9+0.33)) * 4)</f>
        <v>42.88</v>
      </c>
      <c r="H318" s="462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57">
        <f xml:space="preserve"> ((4*(0.2+0.25+1.91+0.33)) * 2)</f>
        <v>21.52</v>
      </c>
      <c r="H319" s="462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57">
        <f xml:space="preserve"> ((4*(0.2+0.25+1.94+0.33)) * 6)</f>
        <v>65.28</v>
      </c>
      <c r="H320" s="462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57">
        <f xml:space="preserve"> ((4*(0.2+0.25+1.92+0.33)) *3)</f>
        <v>32.400000000000006</v>
      </c>
      <c r="H321" s="462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57">
        <f xml:space="preserve"> ((4*(0.2+0.25+1.93+0.33)) *3)</f>
        <v>32.519999999999996</v>
      </c>
      <c r="H322" s="462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57">
        <f xml:space="preserve"> ((4*(0.2+0.25+1.87+0.33)) *4)</f>
        <v>42.400000000000006</v>
      </c>
      <c r="H323" s="462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57">
        <f xml:space="preserve"> ((4*(0.2+0.25+1.88+0.33)) *4)</f>
        <v>42.56</v>
      </c>
      <c r="H324" s="462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57">
        <f xml:space="preserve"> ((4*(0.2+0.25+1.9+0.33)) *4)</f>
        <v>42.88</v>
      </c>
      <c r="H325" s="462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57">
        <f>((4*(0.2+0.25+1.9+0.33))) + ((8*(0.2+0.25+1.9)))</f>
        <v>29.520000000000003</v>
      </c>
      <c r="H326" s="462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57">
        <f xml:space="preserve"> ((4*(0.2+0.25+1.97+0.33)) *2)</f>
        <v>22</v>
      </c>
      <c r="H327" s="462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57">
        <f xml:space="preserve"> ((4*(0.2+0.25+2+0.33)) *3)</f>
        <v>33.36</v>
      </c>
      <c r="H328" s="462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57">
        <f xml:space="preserve"> ((4*(0.2+0.25+2.01+0.33)) *7)</f>
        <v>78.12</v>
      </c>
      <c r="H329" s="462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57" t="s">
        <v>831</v>
      </c>
      <c r="H330" s="458"/>
      <c r="I330" s="45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60" t="s">
        <v>628</v>
      </c>
      <c r="H331" s="46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57">
        <f>((8*(0.2+0.25+1.86+0.42)))</f>
        <v>21.84</v>
      </c>
      <c r="H332" s="462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57">
        <f>((6*(0.2+0.25+1.87+0.42)))</f>
        <v>16.440000000000001</v>
      </c>
      <c r="H333" s="462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57">
        <f>((6*(0.2+0.25+1.89+0.42)))</f>
        <v>16.559999999999999</v>
      </c>
      <c r="H334" s="462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57">
        <f>((4*(0.2+0.25+1.9+0.42)))</f>
        <v>11.08</v>
      </c>
      <c r="H335" s="462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57">
        <f>((4*(0.2+0.25+1.92+0.42)))</f>
        <v>11.16</v>
      </c>
      <c r="H336" s="462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57">
        <f>((4*(0.2+0.25+1.9+0.42)))</f>
        <v>11.08</v>
      </c>
      <c r="H337" s="462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57">
        <f>((4*(0.2+0.25+1.98+0.42)))+(2*(0.2+0.25+1.98))</f>
        <v>16.260000000000002</v>
      </c>
      <c r="H338" s="462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460">
        <v>52.34</v>
      </c>
      <c r="H339" s="463"/>
      <c r="I339" s="464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57"/>
      <c r="H340" s="458"/>
      <c r="I340" s="45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457">
        <v>223.49</v>
      </c>
      <c r="H341" s="458"/>
      <c r="I341" s="45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60" t="s">
        <v>706</v>
      </c>
      <c r="H350" s="46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57">
        <f xml:space="preserve"> ((0.15+0.25)*2) *2</f>
        <v>1.6</v>
      </c>
      <c r="H351" s="46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57">
        <f xml:space="preserve"> ((0.2+0.25)*2) + ((0.2+0.3)*2)</f>
        <v>1.9</v>
      </c>
      <c r="H352" s="462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57">
        <f xml:space="preserve"> ((0.2+0.25)*2*3) + ((0.2+0.2)*2*1) + ((0.15+0.2)*2*1)</f>
        <v>4.2</v>
      </c>
      <c r="H353" s="462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57">
        <f xml:space="preserve"> ((0.2+0.25)*2*1) + ((0.15+0.25)*2*2)</f>
        <v>2.5</v>
      </c>
      <c r="H354" s="462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57">
        <f xml:space="preserve"> ((0.15+0.3)*2*3)</f>
        <v>2.6999999999999997</v>
      </c>
      <c r="H355" s="462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57">
        <f xml:space="preserve"> ((0.2+0.25)*2*3) + ((0.15+0.25)*2*2)</f>
        <v>4.3000000000000007</v>
      </c>
      <c r="H356" s="462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57">
        <f xml:space="preserve"> ((0.2+0.25)*2*3) + ((0.15+0.25)*2*2) +  ((0.2+0.3)*2*1)</f>
        <v>5.3000000000000007</v>
      </c>
      <c r="H357" s="462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57">
        <f xml:space="preserve"> ((0.2+0.25)*2*2) + ((0.15+0.25)*2*1)</f>
        <v>2.6</v>
      </c>
      <c r="H358" s="462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57">
        <f>((0.15+0.25)*2*3)</f>
        <v>2.4000000000000004</v>
      </c>
      <c r="H359" s="462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57">
        <f xml:space="preserve"> ((0.2+0.25)*2*1) + ((0.15+0.25)*2*1) +  ((0.2+0.35)*2*1)</f>
        <v>2.8000000000000003</v>
      </c>
      <c r="H360" s="462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57">
        <f xml:space="preserve"> ((0.2+0.25)*2*1) + ((0.15+0.3)*2*2)</f>
        <v>2.6999999999999997</v>
      </c>
      <c r="H361" s="462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57">
        <f xml:space="preserve"> ((0.2+0.3)*2*1) + ((0.15+0.3)*2*1) +  ((0.15+0.25)*2*1) + ((0.15+0.35)*2*1)</f>
        <v>3.7</v>
      </c>
      <c r="H362" s="462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57">
        <f xml:space="preserve"> ((0.15+0.25)*2*1) + ((0.2+0.3)*2*1)</f>
        <v>1.8</v>
      </c>
      <c r="H363" s="462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57">
        <f xml:space="preserve"> ((0.15+0.25)*2*5) + ((0.25+0.25)*2*1)</f>
        <v>5</v>
      </c>
      <c r="H364" s="462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57">
        <f xml:space="preserve"> ((0.2+0.25)*2*1) + ((0.15+0.25)*2*1) +  ((0.25+0.25)*2*1)</f>
        <v>2.7</v>
      </c>
      <c r="H365" s="462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57">
        <f xml:space="preserve"> ((0.15+0.25)*2*2) + ((0.25+0.25)*2*1)</f>
        <v>2.6</v>
      </c>
      <c r="H366" s="462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57">
        <f xml:space="preserve"> ((0.15+0.25)*2*2) + ((0.2+0.25)*2*2)</f>
        <v>3.4000000000000004</v>
      </c>
      <c r="H367" s="462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57">
        <f xml:space="preserve"> ((0.15+0.25)*2*3) + ((0.2+0.25)*2*1)</f>
        <v>3.3000000000000003</v>
      </c>
      <c r="H368" s="462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57">
        <f>((0.2+0.25)*2*3) + ((0.25+0.25)*2*1)</f>
        <v>3.7</v>
      </c>
      <c r="H369" s="462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57">
        <f>((0.2+0.2)*2*1)</f>
        <v>0.8</v>
      </c>
      <c r="H370" s="462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57">
        <f>((0.2+0.25)*2*1) + ((0.15+0.25)*2*1)</f>
        <v>1.7000000000000002</v>
      </c>
      <c r="H371" s="462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57">
        <f>((0.2+0.25)*2*1) + ((0.15+0.25)*2*2)</f>
        <v>2.5</v>
      </c>
      <c r="H372" s="462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57">
        <f xml:space="preserve"> ((0.2+0.3)*2*1) + ((0.15+0.25)*2*5) +  ((0.25+0.25)*2*1)</f>
        <v>6</v>
      </c>
      <c r="H373" s="462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57">
        <f>((0.15+0.3)*2*1)</f>
        <v>0.89999999999999991</v>
      </c>
      <c r="H374" s="462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57">
        <f>((0.15+0.5)*2*1)</f>
        <v>1.3</v>
      </c>
      <c r="H375" s="462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57">
        <f>((0.15+0.5)*2*1)</f>
        <v>1.3</v>
      </c>
      <c r="H376" s="462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57">
        <f>((0.15+0.25)*2*1)</f>
        <v>0.8</v>
      </c>
      <c r="H377" s="462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57">
        <f t="shared" ref="G378" si="19">((0.15+0.3)*2*1)</f>
        <v>0.89999999999999991</v>
      </c>
      <c r="H378" s="462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57">
        <f>((0.15+0.25)*2*1)</f>
        <v>0.8</v>
      </c>
      <c r="H379" s="462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57">
        <f>((0.15+0.3)*2*1)</f>
        <v>0.89999999999999991</v>
      </c>
      <c r="H380" s="462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419"/>
      <c r="H516" s="420"/>
      <c r="I516" s="421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419">
        <v>11.01</v>
      </c>
      <c r="H522" s="420"/>
      <c r="I522" s="421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419"/>
      <c r="H524" s="420"/>
      <c r="I524" s="421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419">
        <v>67.27</v>
      </c>
      <c r="H525" s="420"/>
      <c r="I525" s="421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419">
        <f>K530</f>
        <v>1.5192000000000005</v>
      </c>
      <c r="H544" s="420"/>
      <c r="I544" s="421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419" t="s">
        <v>586</v>
      </c>
      <c r="H556" s="422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419">
        <v>4</v>
      </c>
      <c r="H557" s="422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419">
        <v>4</v>
      </c>
      <c r="H558" s="422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419">
        <v>4</v>
      </c>
      <c r="H559" s="422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419">
        <v>4</v>
      </c>
      <c r="H560" s="422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419">
        <v>4</v>
      </c>
      <c r="H561" s="422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419">
        <v>4</v>
      </c>
      <c r="H562" s="422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419">
        <v>4</v>
      </c>
      <c r="H563" s="422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419">
        <v>4</v>
      </c>
      <c r="H564" s="422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419">
        <v>4</v>
      </c>
      <c r="H565" s="422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419">
        <v>4</v>
      </c>
      <c r="H566" s="422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419"/>
      <c r="H567" s="420"/>
      <c r="I567" s="421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484"/>
      <c r="H579" s="485"/>
      <c r="I579" s="486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419"/>
      <c r="H581" s="420"/>
      <c r="I581" s="421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490" t="s">
        <v>836</v>
      </c>
      <c r="H595" s="490"/>
      <c r="I595" s="490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714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45352</v>
      </c>
      <c r="C8" s="449"/>
      <c r="D8" s="23" t="s">
        <v>712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711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4" t="s">
        <v>884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v>45386</v>
      </c>
      <c r="C8" s="449"/>
      <c r="D8" s="23" t="s">
        <v>886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5" t="s">
        <v>887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1">
        <v>1</v>
      </c>
      <c r="G70" s="476">
        <f>43.05</f>
        <v>43.05</v>
      </c>
      <c r="H70" s="477"/>
      <c r="I70" s="47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2"/>
      <c r="G71" s="479"/>
      <c r="H71" s="480"/>
      <c r="I71" s="481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73" t="s">
        <v>883</v>
      </c>
      <c r="H72" s="474"/>
      <c r="I72" s="47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471" t="s">
        <v>838</v>
      </c>
      <c r="H73" s="472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471">
        <v>9</v>
      </c>
      <c r="H74" s="47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471">
        <v>5</v>
      </c>
      <c r="H75" s="47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471">
        <f xml:space="preserve"> (13.03 * 2.7)</f>
        <v>35.180999999999997</v>
      </c>
      <c r="H76" s="47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471">
        <v>3</v>
      </c>
      <c r="H77" s="47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471">
        <v>7</v>
      </c>
      <c r="H78" s="47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471">
        <v>21</v>
      </c>
      <c r="H79" s="47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471">
        <v>27</v>
      </c>
      <c r="H80" s="47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471">
        <v>26</v>
      </c>
      <c r="H81" s="47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471">
        <v>1.6</v>
      </c>
      <c r="H82" s="47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471">
        <v>1.6</v>
      </c>
      <c r="H83" s="47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471">
        <v>45</v>
      </c>
      <c r="H84" s="47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471">
        <v>19</v>
      </c>
      <c r="H85" s="47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471">
        <v>19</v>
      </c>
      <c r="H86" s="47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471">
        <v>5</v>
      </c>
      <c r="H87" s="47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471">
        <v>14</v>
      </c>
      <c r="H88" s="47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482">
        <v>36</v>
      </c>
      <c r="H89" s="48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482">
        <v>46</v>
      </c>
      <c r="H90" s="48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471">
        <v>41</v>
      </c>
      <c r="H91" s="47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471">
        <v>27</v>
      </c>
      <c r="H92" s="47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471">
        <v>53</v>
      </c>
      <c r="H93" s="47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471">
        <f xml:space="preserve"> (2.65*1.8)</f>
        <v>4.7699999999999996</v>
      </c>
      <c r="H94" s="47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471">
        <v>30</v>
      </c>
      <c r="H95" s="47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471">
        <v>30</v>
      </c>
      <c r="H96" s="47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471">
        <v>14</v>
      </c>
      <c r="H97" s="47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471">
        <v>14</v>
      </c>
      <c r="H98" s="47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471">
        <v>20</v>
      </c>
      <c r="H99" s="47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471">
        <v>3</v>
      </c>
      <c r="H100" s="47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471">
        <v>4</v>
      </c>
      <c r="H101" s="47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471">
        <v>12</v>
      </c>
      <c r="H102" s="47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471">
        <v>20</v>
      </c>
      <c r="H103" s="47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471">
        <v>4</v>
      </c>
      <c r="H104" s="47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471">
        <v>5</v>
      </c>
      <c r="H105" s="47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471">
        <f>1184.23-SUM(G74:H105)</f>
        <v>582.07900000000006</v>
      </c>
      <c r="H106" s="47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471"/>
      <c r="H107" s="47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60" t="s">
        <v>652</v>
      </c>
      <c r="H108" s="463"/>
      <c r="I108" s="464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57" t="s">
        <v>831</v>
      </c>
      <c r="H172" s="458"/>
      <c r="I172" s="459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60">
        <v>492.78</v>
      </c>
      <c r="H173" s="463"/>
      <c r="I173" s="464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60">
        <f>(2*12)+(2*3.79)+(2*8.94)+(2*6.27)+ 1.39+0.99 +(2*1.85)+(2*1.7)+ (2*1.35)</f>
        <v>74.180000000000007</v>
      </c>
      <c r="H174" s="46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60">
        <f>(2*10.92)+(2*10.92)+ 1.3 + 1.1</f>
        <v>46.08</v>
      </c>
      <c r="H175" s="46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60">
        <f>(2*1.87)+(2*1.87)</f>
        <v>7.48</v>
      </c>
      <c r="H176" s="46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60">
        <f>(2*6.55)+(2*6.3)+1.75+1.35+1.19</f>
        <v>29.990000000000002</v>
      </c>
      <c r="H177" s="46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60">
        <f>(2*8.39)+(2*1.7)+ 1.1+ 3.13 + (2*5.24)+ (2*3.11)</f>
        <v>41.11</v>
      </c>
      <c r="H178" s="46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60"/>
      <c r="H179" s="46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60"/>
      <c r="H180" s="46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60"/>
      <c r="H181" s="46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60"/>
      <c r="H182" s="46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60"/>
      <c r="H183" s="46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60"/>
      <c r="H184" s="46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60"/>
      <c r="H185" s="46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60"/>
      <c r="H186" s="46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60"/>
      <c r="H187" s="46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60"/>
      <c r="H188" s="46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60"/>
      <c r="H189" s="46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60"/>
      <c r="H190" s="46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60"/>
      <c r="H191" s="46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60"/>
      <c r="H192" s="46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60"/>
      <c r="H193" s="46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60"/>
      <c r="H194" s="46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60"/>
      <c r="H195" s="46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60"/>
      <c r="H196" s="46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60"/>
      <c r="H197" s="46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60"/>
      <c r="H198" s="46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60"/>
      <c r="H199" s="46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57">
        <f xml:space="preserve"> (2*1.31) + (2*1.51) + (2*4.98)</f>
        <v>15.600000000000001</v>
      </c>
      <c r="H201" s="46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57">
        <f xml:space="preserve"> (3*3.37) + (1.37) + (2*3.47)</f>
        <v>18.420000000000002</v>
      </c>
      <c r="H202" s="46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57">
        <f xml:space="preserve"> (1.87) + (2*3.62)</f>
        <v>9.11</v>
      </c>
      <c r="H203" s="46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57">
        <f xml:space="preserve"> (4*0.88) + (2*3.36) + (2*5.03)</f>
        <v>20.3</v>
      </c>
      <c r="H204" s="46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57">
        <f xml:space="preserve"> (2*3.18) + (2*3.18)</f>
        <v>12.72</v>
      </c>
      <c r="H205" s="46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57">
        <f xml:space="preserve"> (4*2.15)</f>
        <v>8.6</v>
      </c>
      <c r="H206" s="46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57">
        <f xml:space="preserve"> (4*6.99)</f>
        <v>27.96</v>
      </c>
      <c r="H207" s="46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57" t="s">
        <v>831</v>
      </c>
      <c r="H208" s="458"/>
      <c r="I208" s="45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57"/>
      <c r="H209" s="458"/>
      <c r="I209" s="45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60" t="s">
        <v>679</v>
      </c>
      <c r="H217" s="46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57" t="s">
        <v>680</v>
      </c>
      <c r="H218" s="46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57" t="s">
        <v>681</v>
      </c>
      <c r="H219" s="46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57" t="s">
        <v>682</v>
      </c>
      <c r="H220" s="46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57" t="s">
        <v>684</v>
      </c>
      <c r="H221" s="46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57" t="s">
        <v>683</v>
      </c>
      <c r="H222" s="46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57" t="s">
        <v>685</v>
      </c>
      <c r="H223" s="46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60" t="s">
        <v>686</v>
      </c>
      <c r="H224" s="46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57" t="s">
        <v>687</v>
      </c>
      <c r="H225" s="46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57" t="s">
        <v>688</v>
      </c>
      <c r="H226" s="46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60" t="s">
        <v>689</v>
      </c>
      <c r="H227" s="46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57" t="s">
        <v>690</v>
      </c>
      <c r="H228" s="46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60" t="s">
        <v>691</v>
      </c>
      <c r="H229" s="46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57" t="s">
        <v>692</v>
      </c>
      <c r="H230" s="46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57" t="s">
        <v>693</v>
      </c>
      <c r="H231" s="46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60" t="s">
        <v>694</v>
      </c>
      <c r="H232" s="46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57" t="s">
        <v>695</v>
      </c>
      <c r="H233" s="46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57" t="s">
        <v>696</v>
      </c>
      <c r="H234" s="46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57" t="s">
        <v>697</v>
      </c>
      <c r="H235" s="46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57" t="s">
        <v>698</v>
      </c>
      <c r="H236" s="46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57" t="s">
        <v>699</v>
      </c>
      <c r="H237" s="46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57" t="s">
        <v>700</v>
      </c>
      <c r="H238" s="46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57" t="s">
        <v>701</v>
      </c>
      <c r="H239" s="46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60" t="s">
        <v>702</v>
      </c>
      <c r="H240" s="46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57" t="s">
        <v>704</v>
      </c>
      <c r="H241" s="46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57" t="s">
        <v>703</v>
      </c>
      <c r="H242" s="46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57" t="s">
        <v>703</v>
      </c>
      <c r="H243" s="46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57" t="s">
        <v>705</v>
      </c>
      <c r="H244" s="46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57" t="s">
        <v>704</v>
      </c>
      <c r="H245" s="46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57" t="s">
        <v>705</v>
      </c>
      <c r="H246" s="46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57" t="s">
        <v>704</v>
      </c>
      <c r="H247" s="46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57">
        <v>9.6</v>
      </c>
      <c r="H248" s="458"/>
      <c r="I248" s="45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57">
        <v>12.75</v>
      </c>
      <c r="H249" s="458"/>
      <c r="I249" s="45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7" t="s">
        <v>874</v>
      </c>
      <c r="H257" s="488"/>
      <c r="I257" s="489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57"/>
      <c r="H258" s="458"/>
      <c r="I258" s="45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57">
        <v>9.6</v>
      </c>
      <c r="H259" s="458"/>
      <c r="I259" s="45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57" t="s">
        <v>831</v>
      </c>
      <c r="H260" s="458"/>
      <c r="I260" s="45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57">
        <f>G249</f>
        <v>12.75</v>
      </c>
      <c r="H261" s="458"/>
      <c r="I261" s="45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57" t="s">
        <v>831</v>
      </c>
      <c r="H262" s="458"/>
      <c r="I262" s="45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60" t="s">
        <v>647</v>
      </c>
      <c r="H263" s="46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57">
        <f xml:space="preserve"> ((0.59*(1.85/0.1)) * 2)</f>
        <v>21.83</v>
      </c>
      <c r="H264" s="46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57">
        <f>(0.69*(1.87/0.1)) + (0.79*(1.87/0.1))</f>
        <v>27.675999999999998</v>
      </c>
      <c r="H265" s="46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57">
        <f>((0.69*(1.9/0.1))*3) + ((0.59*(1.87/0.1))*2)</f>
        <v>61.395999999999987</v>
      </c>
      <c r="H266" s="46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57">
        <f>((0.69*(1.92/0.1))*1) + ((0.59*(1.92/0.1))*2)</f>
        <v>35.903999999999996</v>
      </c>
      <c r="H267" s="46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57">
        <f>((0.79*(1.94/0.1))*3)</f>
        <v>45.977999999999994</v>
      </c>
      <c r="H268" s="46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57">
        <f>((0.69*(1.96/0.1))*3) + ((0.59*(1.96/0.1))*2)</f>
        <v>63.699999999999989</v>
      </c>
      <c r="H269" s="46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57">
        <f>((0.59*(1.95/0.1))*2) + ((0.69*(1.95/0.1))*3) +((0.79*(1.95/0.1))*1)</f>
        <v>78.78</v>
      </c>
      <c r="H270" s="46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57">
        <f>((0.59*(1.97/0.1))*1)  +((0.79*(1.97/0.1))*2)</f>
        <v>42.749000000000002</v>
      </c>
      <c r="H271" s="46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57">
        <f>((0.59*(1.9/0.1))*3)</f>
        <v>33.629999999999995</v>
      </c>
      <c r="H272" s="46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57">
        <f>((0.69*(1.86/0.1))*1) + ((0.69*(1.86/0.1))*1) + ((0.89*(1.86/0.1))*1)</f>
        <v>42.222000000000001</v>
      </c>
      <c r="H273" s="46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57">
        <f>((0.69*(1.87/0.1))*3)</f>
        <v>38.708999999999996</v>
      </c>
      <c r="H274" s="46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57">
        <f>((0.69*(1.9/0.1))*1) + ((0.79*(1.9/0.1))*2) + ((0.59*(1.9/0.1))*1)</f>
        <v>54.339999999999989</v>
      </c>
      <c r="H275" s="46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57">
        <f>((0.79*(1.91/0.1))*1) +((0.59*(1.91/0.1))*1)</f>
        <v>26.357999999999997</v>
      </c>
      <c r="H276" s="46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57">
        <f>((0.79*(1.94/0.1))*1) +((0.59*(1.94/0.1))*5)</f>
        <v>72.555999999999983</v>
      </c>
      <c r="H277" s="46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57">
        <f>((0.69*(1.92/0.1))*2) + ((0.69*(1.92/0.1))*1)</f>
        <v>39.744</v>
      </c>
      <c r="H278" s="46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57">
        <f>((0.59*(1.93/0.1))*2) + ((0.79*(1.93/0.1))*1)</f>
        <v>38.020999999999994</v>
      </c>
      <c r="H279" s="46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57">
        <f>((0.59*(1.87/0.1))*2) + ((0.69*(1.87/0.1))*2)</f>
        <v>47.872</v>
      </c>
      <c r="H280" s="46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57">
        <f>((0.59*(1.88/0.1))*3) + ((0.69*(1.88/0.1))*1)</f>
        <v>46.24799999999999</v>
      </c>
      <c r="H281" s="46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57">
        <f>((0.79*(1.9/0.1))*1) + ((0.69*(1.9/0.1))*3)</f>
        <v>54.339999999999982</v>
      </c>
      <c r="H282" s="46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57">
        <f>((0.59*(1.9/0.1))*1)</f>
        <v>11.209999999999997</v>
      </c>
      <c r="H283" s="46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57">
        <f>((0.69*(1.87/0.1))*1) + ((0.59*(1.87/0.1))*1)</f>
        <v>23.936</v>
      </c>
      <c r="H284" s="46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57">
        <f>((0.69*(2/0.1))*1) + ((0.59*(2/0.1))*2)</f>
        <v>37.4</v>
      </c>
      <c r="H285" s="46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57">
        <f>((0.69*(2.01/0.1))*1) + ((0.59*(2.01/0.1))*5) + ((0.79*(2.01/0.1))*1)</f>
        <v>89.042999999999992</v>
      </c>
      <c r="H286" s="46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57">
        <f>(((1.39+0.47+0.47))*(1.86/0.15))</f>
        <v>28.892000000000003</v>
      </c>
      <c r="H287" s="46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57">
        <f>(((1.09+0.022))*(1.87/0.15))</f>
        <v>13.862933333333336</v>
      </c>
      <c r="H288" s="46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57">
        <f>(((1.09+0.022))*(1.89/0.15))</f>
        <v>14.011200000000001</v>
      </c>
      <c r="H289" s="46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57">
        <f>(((0.59))*(1.9/0.15))</f>
        <v>7.4733333333333327</v>
      </c>
      <c r="H290" s="46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57">
        <f>(((0.59))*(1.92/0.15))</f>
        <v>7.5519999999999996</v>
      </c>
      <c r="H291" s="46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57">
        <f>(((0.59))*(1.9/0.15))</f>
        <v>7.4733333333333327</v>
      </c>
      <c r="H292" s="46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57">
        <f>(((0.69))*(1.98/0.15))</f>
        <v>9.1080000000000005</v>
      </c>
      <c r="H293" s="46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60">
        <v>210.13</v>
      </c>
      <c r="H294" s="463"/>
      <c r="I294" s="464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57">
        <f xml:space="preserve"> (2*2.51) + (40*0.59)</f>
        <v>28.619999999999997</v>
      </c>
      <c r="H295" s="46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57">
        <f xml:space="preserve"> (19*0.79)</f>
        <v>15.010000000000002</v>
      </c>
      <c r="H296" s="46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57">
        <f xml:space="preserve"> (21*0.79)</f>
        <v>16.59</v>
      </c>
      <c r="H297" s="46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57">
        <f xml:space="preserve"> (2*3.86) + (29*0.79)</f>
        <v>30.63</v>
      </c>
      <c r="H298" s="46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57">
        <f xml:space="preserve"> (22*0.59)</f>
        <v>12.979999999999999</v>
      </c>
      <c r="H299" s="46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57">
        <f xml:space="preserve"> (14*0.059)</f>
        <v>0.82599999999999996</v>
      </c>
      <c r="H300" s="46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57">
        <f xml:space="preserve"> (59*0.59)</f>
        <v>34.809999999999995</v>
      </c>
      <c r="H301" s="46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57">
        <v>295</v>
      </c>
      <c r="H303" s="458"/>
      <c r="I303" s="45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60" t="s">
        <v>628</v>
      </c>
      <c r="H306" s="46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57">
        <f xml:space="preserve"> (4*(0.2+0.25+1.85+0.33)) * 2</f>
        <v>21.040000000000003</v>
      </c>
      <c r="H307" s="46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57">
        <f xml:space="preserve"> ((4*(0.2+0.25+1.87+0.33)) * 2)</f>
        <v>21.200000000000003</v>
      </c>
      <c r="H308" s="46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57">
        <f xml:space="preserve"> (4*(0.2+0.25+1.9+0.33)) * 5</f>
        <v>53.6</v>
      </c>
      <c r="H309" s="46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57">
        <f xml:space="preserve"> (4*(0.2+0.25+1.92+0.33)) *3</f>
        <v>32.400000000000006</v>
      </c>
      <c r="H310" s="46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57">
        <f xml:space="preserve"> (4*(0.2+0.25+1.94+0.33)) * 3</f>
        <v>32.64</v>
      </c>
      <c r="H311" s="46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57">
        <f xml:space="preserve"> (4*(0.2+0.25+1.96+0.33)) * 5</f>
        <v>54.800000000000004</v>
      </c>
      <c r="H312" s="46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57">
        <f xml:space="preserve"> (4*(0.2+0.25+1.95+0.33)) * 6</f>
        <v>65.52</v>
      </c>
      <c r="H313" s="46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57">
        <f xml:space="preserve"> (4*(0.2+0.25+1.97+0.33)) * 3</f>
        <v>33</v>
      </c>
      <c r="H314" s="46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57">
        <f xml:space="preserve"> (4*(0.2+0.25+1.9+0.33)) * 3</f>
        <v>32.160000000000004</v>
      </c>
      <c r="H315" s="46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57">
        <f xml:space="preserve"> ((4*(0.2+0.25+1.86+0.33)) * 3)</f>
        <v>31.68</v>
      </c>
      <c r="H316" s="46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57">
        <f xml:space="preserve"> ((4*(0.2+0.25+1.87+0.33)) * 3)</f>
        <v>31.800000000000004</v>
      </c>
      <c r="H317" s="46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57">
        <f xml:space="preserve"> ((4*(0.2+0.25+1.9+0.33)) * 4)</f>
        <v>42.88</v>
      </c>
      <c r="H318" s="46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57">
        <f xml:space="preserve"> ((4*(0.2+0.25+1.91+0.33)) * 2)</f>
        <v>21.52</v>
      </c>
      <c r="H319" s="46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57">
        <f xml:space="preserve"> ((4*(0.2+0.25+1.94+0.33)) * 6)</f>
        <v>65.28</v>
      </c>
      <c r="H320" s="46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57">
        <f xml:space="preserve"> ((4*(0.2+0.25+1.92+0.33)) *3)</f>
        <v>32.400000000000006</v>
      </c>
      <c r="H321" s="46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57">
        <f xml:space="preserve"> ((4*(0.2+0.25+1.93+0.33)) *3)</f>
        <v>32.519999999999996</v>
      </c>
      <c r="H322" s="46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57">
        <f xml:space="preserve"> ((4*(0.2+0.25+1.87+0.33)) *4)</f>
        <v>42.400000000000006</v>
      </c>
      <c r="H323" s="46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57">
        <f xml:space="preserve"> ((4*(0.2+0.25+1.88+0.33)) *4)</f>
        <v>42.56</v>
      </c>
      <c r="H324" s="46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57">
        <f xml:space="preserve"> ((4*(0.2+0.25+1.9+0.33)) *4)</f>
        <v>42.88</v>
      </c>
      <c r="H325" s="46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57">
        <f>((4*(0.2+0.25+1.9+0.33))) + ((8*(0.2+0.25+1.9)))</f>
        <v>29.520000000000003</v>
      </c>
      <c r="H326" s="46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57">
        <f xml:space="preserve"> ((4*(0.2+0.25+1.97+0.33)) *2)</f>
        <v>22</v>
      </c>
      <c r="H327" s="46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57">
        <f xml:space="preserve"> ((4*(0.2+0.25+2+0.33)) *3)</f>
        <v>33.36</v>
      </c>
      <c r="H328" s="46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57">
        <f xml:space="preserve"> ((4*(0.2+0.25+2.01+0.33)) *7)</f>
        <v>78.12</v>
      </c>
      <c r="H329" s="46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57" t="s">
        <v>831</v>
      </c>
      <c r="H330" s="458"/>
      <c r="I330" s="45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60" t="s">
        <v>628</v>
      </c>
      <c r="H331" s="46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57">
        <f>((8*(0.2+0.25+1.86+0.42)))</f>
        <v>21.84</v>
      </c>
      <c r="H332" s="46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57">
        <f>((6*(0.2+0.25+1.87+0.42)))</f>
        <v>16.440000000000001</v>
      </c>
      <c r="H333" s="46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57">
        <f>((6*(0.2+0.25+1.89+0.42)))</f>
        <v>16.559999999999999</v>
      </c>
      <c r="H334" s="46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57">
        <f>((4*(0.2+0.25+1.9+0.42)))</f>
        <v>11.08</v>
      </c>
      <c r="H335" s="46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57">
        <f>((4*(0.2+0.25+1.92+0.42)))</f>
        <v>11.16</v>
      </c>
      <c r="H336" s="46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57">
        <f>((4*(0.2+0.25+1.9+0.42)))</f>
        <v>11.08</v>
      </c>
      <c r="H337" s="46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57">
        <f>((4*(0.2+0.25+1.98+0.42)))+(2*(0.2+0.25+1.98))</f>
        <v>16.260000000000002</v>
      </c>
      <c r="H338" s="46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60">
        <v>52.34</v>
      </c>
      <c r="H339" s="463"/>
      <c r="I339" s="464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57"/>
      <c r="H340" s="458"/>
      <c r="I340" s="45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57">
        <v>223.49</v>
      </c>
      <c r="H341" s="458"/>
      <c r="I341" s="45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60" t="s">
        <v>706</v>
      </c>
      <c r="H350" s="46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57">
        <f xml:space="preserve"> ((0.15+0.25)*2) *2</f>
        <v>1.6</v>
      </c>
      <c r="H351" s="46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57">
        <f xml:space="preserve"> ((0.2+0.25)*2) + ((0.2+0.3)*2)</f>
        <v>1.9</v>
      </c>
      <c r="H352" s="462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57">
        <f xml:space="preserve"> ((0.2+0.25)*2*3) + ((0.2+0.2)*2*1) + ((0.15+0.2)*2*1)</f>
        <v>4.2</v>
      </c>
      <c r="H353" s="46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57">
        <f xml:space="preserve"> ((0.2+0.25)*2*1) + ((0.15+0.25)*2*2)</f>
        <v>2.5</v>
      </c>
      <c r="H354" s="46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57">
        <f xml:space="preserve"> ((0.15+0.3)*2*3)</f>
        <v>2.6999999999999997</v>
      </c>
      <c r="H355" s="46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57">
        <f xml:space="preserve"> ((0.2+0.25)*2*3) + ((0.15+0.25)*2*2)</f>
        <v>4.3000000000000007</v>
      </c>
      <c r="H356" s="46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57">
        <f xml:space="preserve"> ((0.2+0.25)*2*3) + ((0.15+0.25)*2*2) +  ((0.2+0.3)*2*1)</f>
        <v>5.3000000000000007</v>
      </c>
      <c r="H357" s="46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57">
        <f xml:space="preserve"> ((0.2+0.25)*2*2) + ((0.15+0.25)*2*1)</f>
        <v>2.6</v>
      </c>
      <c r="H358" s="46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57">
        <f>((0.15+0.25)*2*3)</f>
        <v>2.4000000000000004</v>
      </c>
      <c r="H359" s="46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57">
        <f xml:space="preserve"> ((0.2+0.25)*2*1) + ((0.15+0.25)*2*1) +  ((0.2+0.35)*2*1)</f>
        <v>2.8000000000000003</v>
      </c>
      <c r="H360" s="46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57">
        <f xml:space="preserve"> ((0.2+0.25)*2*1) + ((0.15+0.3)*2*2)</f>
        <v>2.6999999999999997</v>
      </c>
      <c r="H361" s="46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57">
        <f xml:space="preserve"> ((0.2+0.3)*2*1) + ((0.15+0.3)*2*1) +  ((0.15+0.25)*2*1) + ((0.15+0.35)*2*1)</f>
        <v>3.7</v>
      </c>
      <c r="H362" s="46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57">
        <f xml:space="preserve"> ((0.15+0.25)*2*1) + ((0.2+0.3)*2*1)</f>
        <v>1.8</v>
      </c>
      <c r="H363" s="46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57">
        <f xml:space="preserve"> ((0.15+0.25)*2*5) + ((0.25+0.25)*2*1)</f>
        <v>5</v>
      </c>
      <c r="H364" s="46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57">
        <f xml:space="preserve"> ((0.2+0.25)*2*1) + ((0.15+0.25)*2*1) +  ((0.25+0.25)*2*1)</f>
        <v>2.7</v>
      </c>
      <c r="H365" s="46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57">
        <f xml:space="preserve"> ((0.15+0.25)*2*2) + ((0.25+0.25)*2*1)</f>
        <v>2.6</v>
      </c>
      <c r="H366" s="46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57">
        <f xml:space="preserve"> ((0.15+0.25)*2*2) + ((0.2+0.25)*2*2)</f>
        <v>3.4000000000000004</v>
      </c>
      <c r="H367" s="46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57">
        <f xml:space="preserve"> ((0.15+0.25)*2*3) + ((0.2+0.25)*2*1)</f>
        <v>3.3000000000000003</v>
      </c>
      <c r="H368" s="46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57">
        <f>((0.2+0.25)*2*3) + ((0.25+0.25)*2*1)</f>
        <v>3.7</v>
      </c>
      <c r="H369" s="46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57">
        <f>((0.2+0.2)*2*1)</f>
        <v>0.8</v>
      </c>
      <c r="H370" s="46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57">
        <f>((0.2+0.25)*2*1) + ((0.15+0.25)*2*1)</f>
        <v>1.7000000000000002</v>
      </c>
      <c r="H371" s="46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57">
        <f>((0.2+0.25)*2*1) + ((0.15+0.25)*2*2)</f>
        <v>2.5</v>
      </c>
      <c r="H372" s="46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57">
        <f xml:space="preserve"> ((0.2+0.3)*2*1) + ((0.15+0.25)*2*5) +  ((0.25+0.25)*2*1)</f>
        <v>6</v>
      </c>
      <c r="H373" s="46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57">
        <f>((0.15+0.3)*2*1)</f>
        <v>0.89999999999999991</v>
      </c>
      <c r="H374" s="46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57">
        <f>((0.15+0.5)*2*1)</f>
        <v>1.3</v>
      </c>
      <c r="H375" s="46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57">
        <f>((0.15+0.5)*2*1)</f>
        <v>1.3</v>
      </c>
      <c r="H376" s="46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57">
        <f>((0.15+0.25)*2*1)</f>
        <v>0.8</v>
      </c>
      <c r="H377" s="46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57">
        <f t="shared" ref="G378" si="18">((0.15+0.3)*2*1)</f>
        <v>0.89999999999999991</v>
      </c>
      <c r="H378" s="46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57">
        <f>((0.15+0.25)*2*1)</f>
        <v>0.8</v>
      </c>
      <c r="H379" s="46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57">
        <f>((0.15+0.3)*2*1)</f>
        <v>0.89999999999999991</v>
      </c>
      <c r="H380" s="46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420"/>
      <c r="H609" s="420"/>
      <c r="I609" s="421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419">
        <v>11.01</v>
      </c>
      <c r="H615" s="420"/>
      <c r="I615" s="421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419"/>
      <c r="H617" s="420"/>
      <c r="I617" s="421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419">
        <v>67.27</v>
      </c>
      <c r="H618" s="420"/>
      <c r="I618" s="421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419">
        <v>42.8</v>
      </c>
      <c r="H619" s="420"/>
      <c r="I619" s="421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419">
        <f>K624</f>
        <v>2.3652000000000002</v>
      </c>
      <c r="H645" s="420"/>
      <c r="I645" s="421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419" t="s">
        <v>586</v>
      </c>
      <c r="H664" s="422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419">
        <v>4</v>
      </c>
      <c r="H665" s="422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419">
        <v>4</v>
      </c>
      <c r="H666" s="422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419">
        <v>4</v>
      </c>
      <c r="H667" s="422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419">
        <v>4</v>
      </c>
      <c r="H668" s="422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419">
        <v>4</v>
      </c>
      <c r="H669" s="422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419">
        <v>4</v>
      </c>
      <c r="H670" s="422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419">
        <v>4</v>
      </c>
      <c r="H671" s="422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419">
        <v>4</v>
      </c>
      <c r="H672" s="422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419">
        <v>4</v>
      </c>
      <c r="H673" s="422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419">
        <v>4</v>
      </c>
      <c r="H674" s="422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419">
        <v>4</v>
      </c>
      <c r="H675" s="422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419">
        <v>4</v>
      </c>
      <c r="H676" s="422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419">
        <v>4</v>
      </c>
      <c r="H677" s="422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419">
        <v>4</v>
      </c>
      <c r="H678" s="422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419">
        <v>4</v>
      </c>
      <c r="H679" s="422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419">
        <v>4</v>
      </c>
      <c r="H680" s="422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419">
        <v>4</v>
      </c>
      <c r="H681" s="422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419"/>
      <c r="H682" s="420"/>
      <c r="I682" s="421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484"/>
      <c r="H701" s="485"/>
      <c r="I701" s="486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419"/>
      <c r="H703" s="420"/>
      <c r="I703" s="421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490" t="s">
        <v>836</v>
      </c>
      <c r="H717" s="490"/>
      <c r="I717" s="490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934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45422</v>
      </c>
      <c r="C8" s="449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454">
        <f>Y196-E8</f>
        <v>274592.67562904983</v>
      </c>
      <c r="K8" s="454"/>
      <c r="L8" s="454"/>
      <c r="M8" s="454"/>
      <c r="N8" s="454"/>
      <c r="O8" s="454"/>
      <c r="P8" s="470"/>
      <c r="Q8" s="455" t="s">
        <v>933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543</v>
      </c>
      <c r="G10" s="496" t="s">
        <v>530</v>
      </c>
      <c r="H10" s="424"/>
      <c r="I10" s="424"/>
      <c r="J10" s="424"/>
      <c r="K10" s="424"/>
      <c r="L10" s="424"/>
      <c r="M10" s="424"/>
      <c r="N10" s="424"/>
      <c r="O10" s="424"/>
      <c r="P10" s="424"/>
      <c r="Q10" s="425" t="s">
        <v>531</v>
      </c>
      <c r="R10" s="426"/>
      <c r="S10" s="426"/>
      <c r="T10" s="426"/>
      <c r="U10" s="426"/>
      <c r="V10" s="426"/>
      <c r="W10" s="426"/>
      <c r="X10" s="426"/>
      <c r="Y10" s="494"/>
      <c r="Z10" s="427"/>
    </row>
    <row r="11" spans="2:26" ht="36" x14ac:dyDescent="0.25">
      <c r="B11" s="429"/>
      <c r="C11" s="429"/>
      <c r="D11" s="431"/>
      <c r="E11" s="429"/>
      <c r="F11" s="433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6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22.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6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4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493" t="s">
        <v>546</v>
      </c>
      <c r="R197" s="493" t="s">
        <v>547</v>
      </c>
      <c r="S197" s="493" t="s">
        <v>549</v>
      </c>
      <c r="T197" s="493" t="s">
        <v>550</v>
      </c>
      <c r="U197" s="493" t="s">
        <v>551</v>
      </c>
      <c r="V197" s="493" t="s">
        <v>552</v>
      </c>
      <c r="W197" s="493" t="s">
        <v>553</v>
      </c>
      <c r="X197" s="493" t="s">
        <v>554</v>
      </c>
      <c r="Y197" s="495" t="s">
        <v>548</v>
      </c>
      <c r="Z197" s="493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493"/>
      <c r="R198" s="493"/>
      <c r="S198" s="493"/>
      <c r="T198" s="493"/>
      <c r="U198" s="493"/>
      <c r="V198" s="493"/>
      <c r="W198" s="493"/>
      <c r="X198" s="493"/>
      <c r="Y198" s="495"/>
      <c r="Z198" s="493"/>
    </row>
  </sheetData>
  <mergeCells count="27"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G400" sqref="G400:I400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4" t="s">
        <v>936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v>45422</v>
      </c>
      <c r="C8" s="449"/>
      <c r="D8" s="23" t="s">
        <v>954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5" t="s">
        <v>933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1">
        <v>1</v>
      </c>
      <c r="G70" s="476">
        <f>43.05</f>
        <v>43.05</v>
      </c>
      <c r="H70" s="477"/>
      <c r="I70" s="47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2"/>
      <c r="G71" s="479"/>
      <c r="H71" s="480"/>
      <c r="I71" s="481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73" t="s">
        <v>883</v>
      </c>
      <c r="H72" s="474"/>
      <c r="I72" s="47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71" t="s">
        <v>838</v>
      </c>
      <c r="H73" s="472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71">
        <v>9</v>
      </c>
      <c r="H74" s="47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71">
        <v>5</v>
      </c>
      <c r="H75" s="47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71">
        <f xml:space="preserve"> (13.03 * 2.7)</f>
        <v>35.180999999999997</v>
      </c>
      <c r="H76" s="47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71">
        <v>3</v>
      </c>
      <c r="H77" s="47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71">
        <v>7</v>
      </c>
      <c r="H78" s="47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71">
        <v>21</v>
      </c>
      <c r="H79" s="47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71">
        <v>27</v>
      </c>
      <c r="H80" s="47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71">
        <v>26</v>
      </c>
      <c r="H81" s="47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71">
        <v>1.6</v>
      </c>
      <c r="H82" s="47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71">
        <v>1.6</v>
      </c>
      <c r="H83" s="47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71">
        <v>45</v>
      </c>
      <c r="H84" s="47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71">
        <v>19</v>
      </c>
      <c r="H85" s="47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71">
        <v>19</v>
      </c>
      <c r="H86" s="47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71">
        <v>5</v>
      </c>
      <c r="H87" s="47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71">
        <v>14</v>
      </c>
      <c r="H88" s="47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82">
        <v>36</v>
      </c>
      <c r="H89" s="48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82">
        <v>46</v>
      </c>
      <c r="H90" s="48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71">
        <v>41</v>
      </c>
      <c r="H91" s="47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71">
        <v>27</v>
      </c>
      <c r="H92" s="47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71">
        <v>53</v>
      </c>
      <c r="H93" s="47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71">
        <f xml:space="preserve"> (2.65*1.8)</f>
        <v>4.7699999999999996</v>
      </c>
      <c r="H94" s="47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71">
        <v>30</v>
      </c>
      <c r="H95" s="47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71">
        <v>30</v>
      </c>
      <c r="H96" s="47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71">
        <v>14</v>
      </c>
      <c r="H97" s="47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71">
        <v>14</v>
      </c>
      <c r="H98" s="47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71">
        <v>20</v>
      </c>
      <c r="H99" s="47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71">
        <v>3</v>
      </c>
      <c r="H100" s="47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71">
        <v>4</v>
      </c>
      <c r="H101" s="47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71">
        <v>12</v>
      </c>
      <c r="H102" s="47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71">
        <v>20</v>
      </c>
      <c r="H103" s="47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71">
        <v>4</v>
      </c>
      <c r="H104" s="47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71">
        <v>5</v>
      </c>
      <c r="H105" s="47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71">
        <f>1184.23-SUM(G74:H105)</f>
        <v>582.07900000000006</v>
      </c>
      <c r="H106" s="47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71"/>
      <c r="H107" s="47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60" t="s">
        <v>652</v>
      </c>
      <c r="H108" s="463"/>
      <c r="I108" s="464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57" t="s">
        <v>831</v>
      </c>
      <c r="H172" s="458"/>
      <c r="I172" s="459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60">
        <v>492.78</v>
      </c>
      <c r="H173" s="463"/>
      <c r="I173" s="464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60">
        <f>(2*12)+(2*3.79)+(2*8.94)+(2*6.27)+ 1.39+0.99 +(2*1.85)+(2*1.7)+ (2*1.35)</f>
        <v>74.180000000000007</v>
      </c>
      <c r="H174" s="46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60">
        <f>(2*10.92)+(2*10.92)+ 1.3 + 1.1</f>
        <v>46.08</v>
      </c>
      <c r="H175" s="46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60">
        <f>(2*1.87)+(2*1.87)</f>
        <v>7.48</v>
      </c>
      <c r="H176" s="46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60">
        <f>(2*6.55)+(2*6.3)+1.75+1.35+1.19</f>
        <v>29.990000000000002</v>
      </c>
      <c r="H177" s="46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60">
        <f>(2*8.39)+(2*1.7)+ 1.1+ 3.13 + (2*5.24)+ (2*3.11)</f>
        <v>41.11</v>
      </c>
      <c r="H178" s="46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60"/>
      <c r="H179" s="46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60"/>
      <c r="H180" s="46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60"/>
      <c r="H181" s="46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60"/>
      <c r="H182" s="46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60"/>
      <c r="H183" s="46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60"/>
      <c r="H184" s="46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60"/>
      <c r="H185" s="46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60"/>
      <c r="H186" s="46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60"/>
      <c r="H187" s="46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60"/>
      <c r="H188" s="46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60"/>
      <c r="H189" s="46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60"/>
      <c r="H190" s="46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60"/>
      <c r="H191" s="46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60"/>
      <c r="H192" s="46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60"/>
      <c r="H193" s="46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60"/>
      <c r="H194" s="46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60"/>
      <c r="H195" s="46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60"/>
      <c r="H196" s="46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60"/>
      <c r="H197" s="46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60"/>
      <c r="H198" s="46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60"/>
      <c r="H199" s="46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57">
        <f xml:space="preserve"> (2*1.31) + (2*1.51) + (2*4.98)</f>
        <v>15.600000000000001</v>
      </c>
      <c r="H201" s="46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57">
        <f xml:space="preserve"> (3*3.37) + (1.37) + (2*3.47)</f>
        <v>18.420000000000002</v>
      </c>
      <c r="H202" s="46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57">
        <f xml:space="preserve"> (1.87) + (2*3.62)</f>
        <v>9.11</v>
      </c>
      <c r="H203" s="46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57">
        <f xml:space="preserve"> (4*0.88) + (2*3.36) + (2*5.03)</f>
        <v>20.3</v>
      </c>
      <c r="H204" s="46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57">
        <f xml:space="preserve"> (2*3.18) + (2*3.18)</f>
        <v>12.72</v>
      </c>
      <c r="H205" s="46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57">
        <f xml:space="preserve"> (4*2.15)</f>
        <v>8.6</v>
      </c>
      <c r="H206" s="46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57">
        <f xml:space="preserve"> (4*6.99)</f>
        <v>27.96</v>
      </c>
      <c r="H207" s="46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57" t="s">
        <v>831</v>
      </c>
      <c r="H208" s="458"/>
      <c r="I208" s="45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57"/>
      <c r="H209" s="458"/>
      <c r="I209" s="45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60" t="s">
        <v>679</v>
      </c>
      <c r="H217" s="46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57" t="s">
        <v>680</v>
      </c>
      <c r="H218" s="46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57" t="s">
        <v>681</v>
      </c>
      <c r="H219" s="46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57" t="s">
        <v>682</v>
      </c>
      <c r="H220" s="46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57" t="s">
        <v>684</v>
      </c>
      <c r="H221" s="46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57" t="s">
        <v>683</v>
      </c>
      <c r="H222" s="46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57" t="s">
        <v>685</v>
      </c>
      <c r="H223" s="46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60" t="s">
        <v>686</v>
      </c>
      <c r="H224" s="46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57" t="s">
        <v>687</v>
      </c>
      <c r="H225" s="46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57" t="s">
        <v>688</v>
      </c>
      <c r="H226" s="46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60" t="s">
        <v>689</v>
      </c>
      <c r="H227" s="46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57" t="s">
        <v>690</v>
      </c>
      <c r="H228" s="46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60" t="s">
        <v>691</v>
      </c>
      <c r="H229" s="46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57" t="s">
        <v>692</v>
      </c>
      <c r="H230" s="46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57" t="s">
        <v>693</v>
      </c>
      <c r="H231" s="46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60" t="s">
        <v>694</v>
      </c>
      <c r="H232" s="46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57" t="s">
        <v>695</v>
      </c>
      <c r="H233" s="46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57" t="s">
        <v>696</v>
      </c>
      <c r="H234" s="46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57" t="s">
        <v>697</v>
      </c>
      <c r="H235" s="46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57" t="s">
        <v>698</v>
      </c>
      <c r="H236" s="46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57" t="s">
        <v>699</v>
      </c>
      <c r="H237" s="46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57" t="s">
        <v>700</v>
      </c>
      <c r="H238" s="46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57" t="s">
        <v>701</v>
      </c>
      <c r="H239" s="46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60" t="s">
        <v>702</v>
      </c>
      <c r="H240" s="46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57" t="s">
        <v>704</v>
      </c>
      <c r="H241" s="46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57" t="s">
        <v>703</v>
      </c>
      <c r="H242" s="46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57" t="s">
        <v>703</v>
      </c>
      <c r="H243" s="46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57" t="s">
        <v>705</v>
      </c>
      <c r="H244" s="46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57" t="s">
        <v>704</v>
      </c>
      <c r="H245" s="46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57" t="s">
        <v>705</v>
      </c>
      <c r="H246" s="46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57" t="s">
        <v>704</v>
      </c>
      <c r="H247" s="46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57">
        <v>9.6</v>
      </c>
      <c r="H248" s="458"/>
      <c r="I248" s="45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57">
        <v>12.75</v>
      </c>
      <c r="H249" s="458"/>
      <c r="I249" s="45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7" t="s">
        <v>874</v>
      </c>
      <c r="H257" s="488"/>
      <c r="I257" s="489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57"/>
      <c r="H258" s="458"/>
      <c r="I258" s="45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57">
        <v>9.6</v>
      </c>
      <c r="H259" s="458"/>
      <c r="I259" s="45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57" t="s">
        <v>831</v>
      </c>
      <c r="H260" s="458"/>
      <c r="I260" s="45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57">
        <f>G249</f>
        <v>12.75</v>
      </c>
      <c r="H261" s="458"/>
      <c r="I261" s="45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57" t="s">
        <v>831</v>
      </c>
      <c r="H262" s="458"/>
      <c r="I262" s="45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60" t="s">
        <v>647</v>
      </c>
      <c r="H263" s="46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57">
        <f xml:space="preserve"> ((0.59*(1.85/0.1)) * 2)</f>
        <v>21.83</v>
      </c>
      <c r="H264" s="46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57">
        <f>(0.69*(1.87/0.1)) + (0.79*(1.87/0.1))</f>
        <v>27.675999999999998</v>
      </c>
      <c r="H265" s="46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57">
        <f>((0.69*(1.9/0.1))*3) + ((0.59*(1.87/0.1))*2)</f>
        <v>61.395999999999987</v>
      </c>
      <c r="H266" s="46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57">
        <f>((0.69*(1.92/0.1))*1) + ((0.59*(1.92/0.1))*2)</f>
        <v>35.903999999999996</v>
      </c>
      <c r="H267" s="46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57">
        <f>((0.79*(1.94/0.1))*3)</f>
        <v>45.977999999999994</v>
      </c>
      <c r="H268" s="46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57">
        <f>((0.69*(1.96/0.1))*3) + ((0.59*(1.96/0.1))*2)</f>
        <v>63.699999999999989</v>
      </c>
      <c r="H269" s="46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57">
        <f>((0.59*(1.95/0.1))*2) + ((0.69*(1.95/0.1))*3) +((0.79*(1.95/0.1))*1)</f>
        <v>78.78</v>
      </c>
      <c r="H270" s="46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57">
        <f>((0.59*(1.97/0.1))*1)  +((0.79*(1.97/0.1))*2)</f>
        <v>42.749000000000002</v>
      </c>
      <c r="H271" s="46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57">
        <f>((0.59*(1.9/0.1))*3)</f>
        <v>33.629999999999995</v>
      </c>
      <c r="H272" s="46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57">
        <f>((0.69*(1.86/0.1))*1) + ((0.69*(1.86/0.1))*1) + ((0.89*(1.86/0.1))*1)</f>
        <v>42.222000000000001</v>
      </c>
      <c r="H273" s="46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57">
        <f>((0.69*(1.87/0.1))*3)</f>
        <v>38.708999999999996</v>
      </c>
      <c r="H274" s="46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57">
        <f>((0.69*(1.9/0.1))*1) + ((0.79*(1.9/0.1))*2) + ((0.59*(1.9/0.1))*1)</f>
        <v>54.339999999999989</v>
      </c>
      <c r="H275" s="46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57">
        <f>((0.79*(1.91/0.1))*1) +((0.59*(1.91/0.1))*1)</f>
        <v>26.357999999999997</v>
      </c>
      <c r="H276" s="46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57">
        <f>((0.79*(1.94/0.1))*1) +((0.59*(1.94/0.1))*5)</f>
        <v>72.555999999999983</v>
      </c>
      <c r="H277" s="46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57">
        <f>((0.69*(1.92/0.1))*2) + ((0.69*(1.92/0.1))*1)</f>
        <v>39.744</v>
      </c>
      <c r="H278" s="46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57">
        <f>((0.59*(1.93/0.1))*2) + ((0.79*(1.93/0.1))*1)</f>
        <v>38.020999999999994</v>
      </c>
      <c r="H279" s="46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57">
        <f>((0.59*(1.87/0.1))*2) + ((0.69*(1.87/0.1))*2)</f>
        <v>47.872</v>
      </c>
      <c r="H280" s="46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57">
        <f>((0.59*(1.88/0.1))*3) + ((0.69*(1.88/0.1))*1)</f>
        <v>46.24799999999999</v>
      </c>
      <c r="H281" s="46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57">
        <f>((0.79*(1.9/0.1))*1) + ((0.69*(1.9/0.1))*3)</f>
        <v>54.339999999999982</v>
      </c>
      <c r="H282" s="46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57">
        <f>((0.59*(1.9/0.1))*1)</f>
        <v>11.209999999999997</v>
      </c>
      <c r="H283" s="46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57">
        <f>((0.69*(1.87/0.1))*1) + ((0.59*(1.87/0.1))*1)</f>
        <v>23.936</v>
      </c>
      <c r="H284" s="46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57">
        <f>((0.69*(2/0.1))*1) + ((0.59*(2/0.1))*2)</f>
        <v>37.4</v>
      </c>
      <c r="H285" s="46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57">
        <f>((0.69*(2.01/0.1))*1) + ((0.59*(2.01/0.1))*5) + ((0.79*(2.01/0.1))*1)</f>
        <v>89.042999999999992</v>
      </c>
      <c r="H286" s="46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57">
        <f>(((1.39+0.47+0.47))*(1.86/0.15))</f>
        <v>28.892000000000003</v>
      </c>
      <c r="H287" s="46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57">
        <f>(((1.09+0.022))*(1.87/0.15))</f>
        <v>13.862933333333336</v>
      </c>
      <c r="H288" s="46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57">
        <f>(((1.09+0.022))*(1.89/0.15))</f>
        <v>14.011200000000001</v>
      </c>
      <c r="H289" s="46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57">
        <f>(((0.59))*(1.9/0.15))</f>
        <v>7.4733333333333327</v>
      </c>
      <c r="H290" s="46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57">
        <f>(((0.59))*(1.92/0.15))</f>
        <v>7.5519999999999996</v>
      </c>
      <c r="H291" s="46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57">
        <f>(((0.59))*(1.9/0.15))</f>
        <v>7.4733333333333327</v>
      </c>
      <c r="H292" s="46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57">
        <f>(((0.69))*(1.98/0.15))</f>
        <v>9.1080000000000005</v>
      </c>
      <c r="H293" s="46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60">
        <v>210.13</v>
      </c>
      <c r="H294" s="463"/>
      <c r="I294" s="464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57">
        <f xml:space="preserve"> (2*2.51) + (40*0.59)</f>
        <v>28.619999999999997</v>
      </c>
      <c r="H295" s="46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57">
        <f xml:space="preserve"> (19*0.79)</f>
        <v>15.010000000000002</v>
      </c>
      <c r="H296" s="46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57">
        <f xml:space="preserve"> (21*0.79)</f>
        <v>16.59</v>
      </c>
      <c r="H297" s="46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57">
        <f xml:space="preserve"> (2*3.86) + (29*0.79)</f>
        <v>30.63</v>
      </c>
      <c r="H298" s="46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57">
        <f xml:space="preserve"> (22*0.59)</f>
        <v>12.979999999999999</v>
      </c>
      <c r="H299" s="46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57">
        <f xml:space="preserve"> (14*0.059)</f>
        <v>0.82599999999999996</v>
      </c>
      <c r="H300" s="46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57">
        <f xml:space="preserve"> (59*0.59)</f>
        <v>34.809999999999995</v>
      </c>
      <c r="H301" s="46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57">
        <v>295</v>
      </c>
      <c r="H303" s="458"/>
      <c r="I303" s="45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60" t="s">
        <v>628</v>
      </c>
      <c r="H306" s="46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57">
        <f xml:space="preserve"> (4*(0.2+0.25+1.85+0.33)) * 2</f>
        <v>21.040000000000003</v>
      </c>
      <c r="H307" s="46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57">
        <f xml:space="preserve"> ((4*(0.2+0.25+1.87+0.33)) * 2)</f>
        <v>21.200000000000003</v>
      </c>
      <c r="H308" s="46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57">
        <f xml:space="preserve"> (4*(0.2+0.25+1.9+0.33)) * 5</f>
        <v>53.6</v>
      </c>
      <c r="H309" s="46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57">
        <f xml:space="preserve"> (4*(0.2+0.25+1.92+0.33)) *3</f>
        <v>32.400000000000006</v>
      </c>
      <c r="H310" s="46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57">
        <f xml:space="preserve"> (4*(0.2+0.25+1.94+0.33)) * 3</f>
        <v>32.64</v>
      </c>
      <c r="H311" s="46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57">
        <f xml:space="preserve"> (4*(0.2+0.25+1.96+0.33)) * 5</f>
        <v>54.800000000000004</v>
      </c>
      <c r="H312" s="46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57">
        <f xml:space="preserve"> (4*(0.2+0.25+1.95+0.33)) * 6</f>
        <v>65.52</v>
      </c>
      <c r="H313" s="46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57">
        <f xml:space="preserve"> (4*(0.2+0.25+1.97+0.33)) * 3</f>
        <v>33</v>
      </c>
      <c r="H314" s="46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57">
        <f xml:space="preserve"> (4*(0.2+0.25+1.9+0.33)) * 3</f>
        <v>32.160000000000004</v>
      </c>
      <c r="H315" s="46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57">
        <f xml:space="preserve"> ((4*(0.2+0.25+1.86+0.33)) * 3)</f>
        <v>31.68</v>
      </c>
      <c r="H316" s="46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57">
        <f xml:space="preserve"> ((4*(0.2+0.25+1.87+0.33)) * 3)</f>
        <v>31.800000000000004</v>
      </c>
      <c r="H317" s="46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57">
        <f xml:space="preserve"> ((4*(0.2+0.25+1.9+0.33)) * 4)</f>
        <v>42.88</v>
      </c>
      <c r="H318" s="46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57">
        <f xml:space="preserve"> ((4*(0.2+0.25+1.91+0.33)) * 2)</f>
        <v>21.52</v>
      </c>
      <c r="H319" s="46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57">
        <f xml:space="preserve"> ((4*(0.2+0.25+1.94+0.33)) * 6)</f>
        <v>65.28</v>
      </c>
      <c r="H320" s="46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57">
        <f xml:space="preserve"> ((4*(0.2+0.25+1.92+0.33)) *3)</f>
        <v>32.400000000000006</v>
      </c>
      <c r="H321" s="46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57">
        <f xml:space="preserve"> ((4*(0.2+0.25+1.93+0.33)) *3)</f>
        <v>32.519999999999996</v>
      </c>
      <c r="H322" s="46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57">
        <f xml:space="preserve"> ((4*(0.2+0.25+1.87+0.33)) *4)</f>
        <v>42.400000000000006</v>
      </c>
      <c r="H323" s="46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57">
        <f xml:space="preserve"> ((4*(0.2+0.25+1.88+0.33)) *4)</f>
        <v>42.56</v>
      </c>
      <c r="H324" s="46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57">
        <f xml:space="preserve"> ((4*(0.2+0.25+1.9+0.33)) *4)</f>
        <v>42.88</v>
      </c>
      <c r="H325" s="46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57">
        <f>((4*(0.2+0.25+1.9+0.33))) + ((8*(0.2+0.25+1.9)))</f>
        <v>29.520000000000003</v>
      </c>
      <c r="H326" s="46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57">
        <f xml:space="preserve"> ((4*(0.2+0.25+1.97+0.33)) *2)</f>
        <v>22</v>
      </c>
      <c r="H327" s="46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57">
        <f xml:space="preserve"> ((4*(0.2+0.25+2+0.33)) *3)</f>
        <v>33.36</v>
      </c>
      <c r="H328" s="46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57">
        <f xml:space="preserve"> ((4*(0.2+0.25+2.01+0.33)) *7)</f>
        <v>78.12</v>
      </c>
      <c r="H329" s="46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57" t="s">
        <v>831</v>
      </c>
      <c r="H330" s="458"/>
      <c r="I330" s="45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60" t="s">
        <v>628</v>
      </c>
      <c r="H331" s="46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57">
        <f>((8*(0.2+0.25+1.86+0.42)))</f>
        <v>21.84</v>
      </c>
      <c r="H332" s="46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57">
        <f>((6*(0.2+0.25+1.87+0.42)))</f>
        <v>16.440000000000001</v>
      </c>
      <c r="H333" s="46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57">
        <f>((6*(0.2+0.25+1.89+0.42)))</f>
        <v>16.559999999999999</v>
      </c>
      <c r="H334" s="46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57">
        <f>((4*(0.2+0.25+1.9+0.42)))</f>
        <v>11.08</v>
      </c>
      <c r="H335" s="46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57">
        <f>((4*(0.2+0.25+1.92+0.42)))</f>
        <v>11.16</v>
      </c>
      <c r="H336" s="46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57">
        <f>((4*(0.2+0.25+1.9+0.42)))</f>
        <v>11.08</v>
      </c>
      <c r="H337" s="46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57">
        <f>((4*(0.2+0.25+1.98+0.42)))+(2*(0.2+0.25+1.98))</f>
        <v>16.260000000000002</v>
      </c>
      <c r="H338" s="46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60">
        <v>52.34</v>
      </c>
      <c r="H339" s="463"/>
      <c r="I339" s="464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57"/>
      <c r="H340" s="458"/>
      <c r="I340" s="45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57">
        <v>223.49</v>
      </c>
      <c r="H341" s="458"/>
      <c r="I341" s="45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60" t="s">
        <v>706</v>
      </c>
      <c r="H350" s="46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57">
        <f xml:space="preserve"> ((0.15+0.25)*2) *2</f>
        <v>1.6</v>
      </c>
      <c r="H351" s="46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57">
        <f xml:space="preserve"> ((0.2+0.25)*2) + ((0.2+0.3)*2)</f>
        <v>1.9</v>
      </c>
      <c r="H352" s="462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57">
        <f xml:space="preserve"> ((0.2+0.25)*2*3) + ((0.2+0.2)*2*1) + ((0.15+0.2)*2*1)</f>
        <v>4.2</v>
      </c>
      <c r="H353" s="46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57">
        <f xml:space="preserve"> ((0.2+0.25)*2*1) + ((0.15+0.25)*2*2)</f>
        <v>2.5</v>
      </c>
      <c r="H354" s="46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57">
        <f xml:space="preserve"> ((0.15+0.3)*2*3)</f>
        <v>2.6999999999999997</v>
      </c>
      <c r="H355" s="46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57">
        <f xml:space="preserve"> ((0.2+0.25)*2*3) + ((0.15+0.25)*2*2)</f>
        <v>4.3000000000000007</v>
      </c>
      <c r="H356" s="46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57">
        <f xml:space="preserve"> ((0.2+0.25)*2*3) + ((0.15+0.25)*2*2) +  ((0.2+0.3)*2*1)</f>
        <v>5.3000000000000007</v>
      </c>
      <c r="H357" s="46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57">
        <f xml:space="preserve"> ((0.2+0.25)*2*2) + ((0.15+0.25)*2*1)</f>
        <v>2.6</v>
      </c>
      <c r="H358" s="46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57">
        <f>((0.15+0.25)*2*3)</f>
        <v>2.4000000000000004</v>
      </c>
      <c r="H359" s="46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57">
        <f xml:space="preserve"> ((0.2+0.25)*2*1) + ((0.15+0.25)*2*1) +  ((0.2+0.35)*2*1)</f>
        <v>2.8000000000000003</v>
      </c>
      <c r="H360" s="46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57">
        <f xml:space="preserve"> ((0.2+0.25)*2*1) + ((0.15+0.3)*2*2)</f>
        <v>2.6999999999999997</v>
      </c>
      <c r="H361" s="46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57">
        <f xml:space="preserve"> ((0.2+0.3)*2*1) + ((0.15+0.3)*2*1) +  ((0.15+0.25)*2*1) + ((0.15+0.35)*2*1)</f>
        <v>3.7</v>
      </c>
      <c r="H362" s="46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57">
        <f xml:space="preserve"> ((0.15+0.25)*2*1) + ((0.2+0.3)*2*1)</f>
        <v>1.8</v>
      </c>
      <c r="H363" s="46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57">
        <f xml:space="preserve"> ((0.15+0.25)*2*5) + ((0.25+0.25)*2*1)</f>
        <v>5</v>
      </c>
      <c r="H364" s="46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57">
        <f xml:space="preserve"> ((0.2+0.25)*2*1) + ((0.15+0.25)*2*1) +  ((0.25+0.25)*2*1)</f>
        <v>2.7</v>
      </c>
      <c r="H365" s="46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57">
        <f xml:space="preserve"> ((0.15+0.25)*2*2) + ((0.25+0.25)*2*1)</f>
        <v>2.6</v>
      </c>
      <c r="H366" s="46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57">
        <f xml:space="preserve"> ((0.15+0.25)*2*2) + ((0.2+0.25)*2*2)</f>
        <v>3.4000000000000004</v>
      </c>
      <c r="H367" s="46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57">
        <f xml:space="preserve"> ((0.15+0.25)*2*3) + ((0.2+0.25)*2*1)</f>
        <v>3.3000000000000003</v>
      </c>
      <c r="H368" s="46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57">
        <f>((0.2+0.25)*2*3) + ((0.25+0.25)*2*1)</f>
        <v>3.7</v>
      </c>
      <c r="H369" s="46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57">
        <f>((0.2+0.2)*2*1)</f>
        <v>0.8</v>
      </c>
      <c r="H370" s="46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57">
        <f>((0.2+0.25)*2*1) + ((0.15+0.25)*2*1)</f>
        <v>1.7000000000000002</v>
      </c>
      <c r="H371" s="46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57">
        <f>((0.2+0.25)*2*1) + ((0.15+0.25)*2*2)</f>
        <v>2.5</v>
      </c>
      <c r="H372" s="46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57">
        <f xml:space="preserve"> ((0.2+0.3)*2*1) + ((0.15+0.25)*2*5) +  ((0.25+0.25)*2*1)</f>
        <v>6</v>
      </c>
      <c r="H373" s="46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57">
        <f>((0.15+0.3)*2*1)</f>
        <v>0.89999999999999991</v>
      </c>
      <c r="H374" s="46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57">
        <f>((0.15+0.5)*2*1)</f>
        <v>1.3</v>
      </c>
      <c r="H375" s="46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57">
        <f>((0.15+0.5)*2*1)</f>
        <v>1.3</v>
      </c>
      <c r="H376" s="46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57">
        <f>((0.15+0.25)*2*1)</f>
        <v>0.8</v>
      </c>
      <c r="H377" s="46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57">
        <f t="shared" ref="G378" si="18">((0.15+0.3)*2*1)</f>
        <v>0.89999999999999991</v>
      </c>
      <c r="H378" s="46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57">
        <f>((0.15+0.25)*2*1)</f>
        <v>0.8</v>
      </c>
      <c r="H379" s="46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57">
        <f>((0.15+0.3)*2*1)</f>
        <v>0.89999999999999991</v>
      </c>
      <c r="H380" s="46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457">
        <f>243.89*0.7</f>
        <v>170.72299999999998</v>
      </c>
      <c r="H385" s="458"/>
      <c r="I385" s="459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457">
        <v>38.520000000000003</v>
      </c>
      <c r="H386" s="458"/>
      <c r="I386" s="459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457">
        <f>288*0.7</f>
        <v>201.6</v>
      </c>
      <c r="H390" s="458"/>
      <c r="I390" s="459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457">
        <v>44.5</v>
      </c>
      <c r="H391" s="458"/>
      <c r="I391" s="459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457">
        <f>0.6*357.5</f>
        <v>214.5</v>
      </c>
      <c r="H392" s="458"/>
      <c r="I392" s="459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6" customFormat="1" ht="22.9" customHeight="1" x14ac:dyDescent="0.25">
      <c r="B394" s="368"/>
      <c r="C394" s="369"/>
      <c r="D394" s="370" t="s">
        <v>953</v>
      </c>
      <c r="E394" s="371"/>
      <c r="F394" s="372">
        <v>1</v>
      </c>
      <c r="G394" s="505">
        <f>0.6* 39.1</f>
        <v>23.46</v>
      </c>
      <c r="H394" s="506"/>
      <c r="I394" s="507"/>
      <c r="J394" s="373"/>
      <c r="K394" s="374">
        <f>F394*G394</f>
        <v>23.46</v>
      </c>
      <c r="L394" s="374"/>
      <c r="M394" s="374"/>
      <c r="N394" s="375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6" customFormat="1" ht="30.6" customHeight="1" x14ac:dyDescent="0.25">
      <c r="B396" s="368"/>
      <c r="C396" s="369"/>
      <c r="D396" s="370" t="s">
        <v>953</v>
      </c>
      <c r="E396" s="371"/>
      <c r="F396" s="372">
        <v>1</v>
      </c>
      <c r="G396" s="505">
        <f>0.6* 692.8</f>
        <v>415.67999999999995</v>
      </c>
      <c r="H396" s="506"/>
      <c r="I396" s="507"/>
      <c r="J396" s="373"/>
      <c r="K396" s="374">
        <f>F396*G396</f>
        <v>415.67999999999995</v>
      </c>
      <c r="L396" s="374"/>
      <c r="M396" s="374"/>
      <c r="N396" s="375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294" t="s">
        <v>937</v>
      </c>
      <c r="E398" s="64"/>
      <c r="F398" s="105">
        <v>1</v>
      </c>
      <c r="G398" s="457">
        <f>671.1*0.7</f>
        <v>469.77</v>
      </c>
      <c r="H398" s="458"/>
      <c r="I398" s="459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294" t="s">
        <v>938</v>
      </c>
      <c r="E399" s="64"/>
      <c r="F399" s="105">
        <v>1</v>
      </c>
      <c r="G399" s="457">
        <v>108.8</v>
      </c>
      <c r="H399" s="458"/>
      <c r="I399" s="459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294" t="s">
        <v>953</v>
      </c>
      <c r="E400" s="64"/>
      <c r="F400" s="105">
        <v>1</v>
      </c>
      <c r="G400" s="457">
        <f>0.6* 95</f>
        <v>57</v>
      </c>
      <c r="H400" s="458"/>
      <c r="I400" s="459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00">
        <f>87.4*0.7</f>
        <v>61.18</v>
      </c>
      <c r="H402" s="501"/>
      <c r="I402" s="502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01">
        <f>13.12*0.7</f>
        <v>9.1839999999999993</v>
      </c>
      <c r="H407" s="501"/>
      <c r="I407" s="502"/>
      <c r="J407" s="99"/>
      <c r="K407" s="82">
        <f>F407*G407</f>
        <v>9.1839999999999993</v>
      </c>
      <c r="L407" s="82"/>
      <c r="M407" s="82"/>
      <c r="N407" s="86"/>
    </row>
    <row r="408" spans="2:14" ht="22.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457">
        <f>K406</f>
        <v>9.1839999999999993</v>
      </c>
      <c r="H409" s="458"/>
      <c r="I409" s="459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457">
        <v>1.5</v>
      </c>
      <c r="H480" s="458"/>
      <c r="I480" s="459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457">
        <v>2.1</v>
      </c>
      <c r="H481" s="458"/>
      <c r="I481" s="459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457">
        <v>1.4</v>
      </c>
      <c r="H482" s="458"/>
      <c r="I482" s="459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457">
        <v>1.4</v>
      </c>
      <c r="H483" s="458"/>
      <c r="I483" s="459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457">
        <v>3.6</v>
      </c>
      <c r="H484" s="458"/>
      <c r="I484" s="459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457">
        <v>3.2</v>
      </c>
      <c r="H485" s="458"/>
      <c r="I485" s="459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00">
        <v>1.6</v>
      </c>
      <c r="H487" s="501"/>
      <c r="I487" s="502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00">
        <v>1.8</v>
      </c>
      <c r="H488" s="501"/>
      <c r="I488" s="502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00">
        <v>3.1</v>
      </c>
      <c r="H489" s="501"/>
      <c r="I489" s="502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00">
        <v>1.8</v>
      </c>
      <c r="H490" s="501"/>
      <c r="I490" s="502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00">
        <v>2.2999999999999998</v>
      </c>
      <c r="H491" s="501"/>
      <c r="I491" s="502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00">
        <v>2.8</v>
      </c>
      <c r="H492" s="501"/>
      <c r="I492" s="502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00">
        <v>1.6</v>
      </c>
      <c r="H494" s="501"/>
      <c r="I494" s="502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00">
        <v>1.8</v>
      </c>
      <c r="H495" s="501"/>
      <c r="I495" s="502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00">
        <v>3.1</v>
      </c>
      <c r="H496" s="501"/>
      <c r="I496" s="502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00">
        <v>1.8</v>
      </c>
      <c r="H497" s="501"/>
      <c r="I497" s="502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00">
        <v>2.2999999999999998</v>
      </c>
      <c r="H498" s="501"/>
      <c r="I498" s="502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00">
        <v>2.8</v>
      </c>
      <c r="H499" s="501"/>
      <c r="I499" s="502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457">
        <f>K413+J413</f>
        <v>846.84500000000003</v>
      </c>
      <c r="H501" s="458"/>
      <c r="I501" s="459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33.7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56.2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420"/>
      <c r="H614" s="420"/>
      <c r="I614" s="421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419">
        <v>11.01</v>
      </c>
      <c r="H620" s="420"/>
      <c r="I620" s="421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419"/>
      <c r="H622" s="420"/>
      <c r="I622" s="421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419">
        <v>67.27</v>
      </c>
      <c r="H623" s="420"/>
      <c r="I623" s="421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419">
        <v>134.43</v>
      </c>
      <c r="H624" s="420"/>
      <c r="I624" s="421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7"/>
      <c r="H629" s="358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482">
        <v>0.41560999999999998</v>
      </c>
      <c r="H630" s="503"/>
      <c r="I630" s="504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7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22.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7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482">
        <v>0.41563</v>
      </c>
      <c r="H633" s="503"/>
      <c r="I633" s="504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7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08">
        <v>8.4384999999999994</v>
      </c>
      <c r="H635" s="508"/>
      <c r="I635" s="509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60"/>
      <c r="H636" s="361"/>
      <c r="I636" s="359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62"/>
      <c r="H637" s="363">
        <v>15.84</v>
      </c>
      <c r="I637" s="364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482"/>
      <c r="H638" s="503"/>
      <c r="I638" s="504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482">
        <v>6.55</v>
      </c>
      <c r="H639" s="503"/>
      <c r="I639" s="504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10"/>
      <c r="H640" s="511"/>
      <c r="I640" s="512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65">
        <v>63.6</v>
      </c>
      <c r="H641" s="366">
        <v>0.5</v>
      </c>
      <c r="I641" s="367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482"/>
      <c r="H642" s="503"/>
      <c r="I642" s="504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482">
        <v>6.3616900000000003</v>
      </c>
      <c r="H643" s="483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55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419">
        <v>110.765</v>
      </c>
      <c r="H645" s="422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419">
        <f>65.43</f>
        <v>65.430000000000007</v>
      </c>
      <c r="H647" s="422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497" t="s">
        <v>836</v>
      </c>
      <c r="H656" s="498"/>
      <c r="I656" s="499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885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45386</v>
      </c>
      <c r="C8" s="449"/>
      <c r="D8" s="23" t="s">
        <v>886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887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935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45386</v>
      </c>
      <c r="C8" s="449"/>
      <c r="D8" s="23" t="s">
        <v>954</v>
      </c>
      <c r="E8" s="450">
        <f>'BOLETIM DE MEDIÇÃO 05'!E8</f>
        <v>103177.48903680005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933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G204"/>
  <sheetViews>
    <sheetView view="pageBreakPreview" topLeftCell="D193" zoomScale="80" zoomScaleNormal="71" zoomScaleSheetLayoutView="80" workbookViewId="0">
      <selection activeCell="AA206" sqref="AA206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25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4" width="14.28515625" hidden="1" customWidth="1"/>
    <col min="15" max="15" width="14.28515625" customWidth="1"/>
    <col min="16" max="16" width="14.28515625" hidden="1" customWidth="1"/>
    <col min="17" max="17" width="23.5703125" bestFit="1" customWidth="1"/>
    <col min="18" max="18" width="10.85546875" style="167" bestFit="1" customWidth="1"/>
    <col min="19" max="19" width="22.42578125" bestFit="1" customWidth="1"/>
    <col min="20" max="20" width="19" hidden="1" customWidth="1"/>
    <col min="21" max="22" width="16.28515625" hidden="1" customWidth="1"/>
    <col min="23" max="23" width="17" hidden="1" customWidth="1"/>
    <col min="24" max="24" width="17.5703125" hidden="1" customWidth="1"/>
    <col min="25" max="25" width="15.42578125" hidden="1" customWidth="1"/>
    <col min="26" max="26" width="16.5703125" hidden="1" customWidth="1"/>
    <col min="27" max="27" width="16.5703125" customWidth="1"/>
    <col min="28" max="28" width="16.5703125" hidden="1" customWidth="1"/>
    <col min="29" max="29" width="18.5703125" customWidth="1"/>
    <col min="30" max="30" width="17.28515625" bestFit="1" customWidth="1"/>
    <col min="31" max="31" width="9.140625" style="416"/>
    <col min="32" max="32" width="17.140625" bestFit="1" customWidth="1"/>
  </cols>
  <sheetData>
    <row r="1" spans="2:31" ht="15.75" thickBot="1" x14ac:dyDescent="0.3"/>
    <row r="2" spans="2:31" ht="21" thickBot="1" x14ac:dyDescent="0.3">
      <c r="B2" s="434" t="s">
        <v>987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6"/>
    </row>
    <row r="3" spans="2:31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2"/>
      <c r="P3" s="12"/>
      <c r="Q3" s="13" t="s">
        <v>512</v>
      </c>
      <c r="R3" s="345" t="s">
        <v>513</v>
      </c>
      <c r="S3" s="15" t="s">
        <v>514</v>
      </c>
      <c r="T3" s="15"/>
      <c r="U3" s="15"/>
      <c r="V3" s="15"/>
      <c r="W3" s="15"/>
      <c r="X3" s="15"/>
      <c r="Y3" s="15"/>
      <c r="Z3" s="15"/>
      <c r="AA3" s="15"/>
      <c r="AB3" s="15"/>
      <c r="AC3" s="467"/>
      <c r="AD3" s="437"/>
    </row>
    <row r="4" spans="2:31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384"/>
      <c r="P4" s="384"/>
      <c r="Q4" s="16" t="s">
        <v>544</v>
      </c>
      <c r="R4" s="80" t="s">
        <v>555</v>
      </c>
      <c r="S4" s="442">
        <v>1240378.43</v>
      </c>
      <c r="T4" s="443"/>
      <c r="U4" s="443"/>
      <c r="V4" s="443"/>
      <c r="W4" s="443"/>
      <c r="X4" s="443"/>
      <c r="Y4" s="443"/>
      <c r="Z4" s="443"/>
      <c r="AA4" s="386"/>
      <c r="AB4" s="386"/>
      <c r="AC4" s="468"/>
      <c r="AD4" s="438"/>
    </row>
    <row r="5" spans="2:31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8"/>
      <c r="P5" s="18"/>
      <c r="Q5" s="19" t="s">
        <v>517</v>
      </c>
      <c r="R5" s="22"/>
      <c r="S5" s="21"/>
      <c r="T5" s="21"/>
      <c r="U5" s="21"/>
      <c r="V5" s="21"/>
      <c r="W5" s="21"/>
      <c r="X5" s="21"/>
      <c r="Y5" s="21"/>
      <c r="Z5" s="21"/>
      <c r="AA5" s="21"/>
      <c r="AB5" s="21"/>
      <c r="AC5" s="468"/>
      <c r="AD5" s="438"/>
    </row>
    <row r="6" spans="2:31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384"/>
      <c r="P6" s="384"/>
      <c r="Q6" s="446" t="s">
        <v>592</v>
      </c>
      <c r="R6" s="447"/>
      <c r="S6" s="447"/>
      <c r="T6" s="447"/>
      <c r="U6" s="447"/>
      <c r="V6" s="447"/>
      <c r="W6" s="447"/>
      <c r="X6" s="447"/>
      <c r="Y6" s="447"/>
      <c r="Z6" s="447"/>
      <c r="AA6" s="387"/>
      <c r="AB6" s="387"/>
      <c r="AC6" s="468"/>
      <c r="AD6" s="438"/>
    </row>
    <row r="7" spans="2:31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8"/>
      <c r="Q7" s="19"/>
      <c r="R7" s="22"/>
      <c r="S7" s="21" t="s">
        <v>524</v>
      </c>
      <c r="T7" s="21"/>
      <c r="U7" s="21"/>
      <c r="V7" s="21"/>
      <c r="W7" s="21"/>
      <c r="X7" s="21"/>
      <c r="Y7" s="21"/>
      <c r="Z7" s="21"/>
      <c r="AA7" s="21"/>
      <c r="AB7" s="21"/>
      <c r="AC7" s="468"/>
      <c r="AD7" s="438"/>
    </row>
    <row r="8" spans="2:31" ht="17.25" thickBot="1" x14ac:dyDescent="0.3">
      <c r="B8" s="448">
        <v>45555</v>
      </c>
      <c r="C8" s="449"/>
      <c r="D8" s="23" t="s">
        <v>1005</v>
      </c>
      <c r="E8" s="140">
        <f>AA196</f>
        <v>68231.630000000019</v>
      </c>
      <c r="F8" s="138"/>
      <c r="G8" s="139"/>
      <c r="H8" s="141">
        <f>AC196-E8</f>
        <v>488749.97710545</v>
      </c>
      <c r="I8" s="142"/>
      <c r="J8" s="454">
        <f>AC196-E8</f>
        <v>488749.97710545</v>
      </c>
      <c r="K8" s="454"/>
      <c r="L8" s="454"/>
      <c r="M8" s="454"/>
      <c r="N8" s="454"/>
      <c r="O8" s="454"/>
      <c r="P8" s="454"/>
      <c r="Q8" s="454"/>
      <c r="R8" s="470"/>
      <c r="S8" s="455" t="s">
        <v>988</v>
      </c>
      <c r="T8" s="456"/>
      <c r="U8" s="456"/>
      <c r="V8" s="456"/>
      <c r="W8" s="456"/>
      <c r="X8" s="456"/>
      <c r="Y8" s="456"/>
      <c r="Z8" s="456"/>
      <c r="AA8" s="385"/>
      <c r="AB8" s="385"/>
      <c r="AC8" s="469"/>
      <c r="AD8" s="439"/>
    </row>
    <row r="9" spans="2:31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6"/>
      <c r="R9" s="27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</row>
    <row r="10" spans="2:31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543</v>
      </c>
      <c r="G10" s="496" t="s">
        <v>530</v>
      </c>
      <c r="H10" s="424"/>
      <c r="I10" s="424"/>
      <c r="J10" s="424"/>
      <c r="K10" s="424"/>
      <c r="L10" s="424"/>
      <c r="M10" s="424"/>
      <c r="N10" s="424"/>
      <c r="O10" s="424"/>
      <c r="P10" s="424"/>
      <c r="Q10" s="424"/>
      <c r="R10" s="424"/>
      <c r="S10" s="425" t="s">
        <v>531</v>
      </c>
      <c r="T10" s="426"/>
      <c r="U10" s="426"/>
      <c r="V10" s="426"/>
      <c r="W10" s="426"/>
      <c r="X10" s="426"/>
      <c r="Y10" s="426"/>
      <c r="Z10" s="426"/>
      <c r="AA10" s="426"/>
      <c r="AB10" s="426"/>
      <c r="AC10" s="494"/>
      <c r="AD10" s="427"/>
    </row>
    <row r="11" spans="2:31" ht="18" x14ac:dyDescent="0.25">
      <c r="B11" s="429"/>
      <c r="C11" s="429"/>
      <c r="D11" s="431"/>
      <c r="E11" s="429"/>
      <c r="F11" s="433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989</v>
      </c>
      <c r="P11" s="33" t="s">
        <v>990</v>
      </c>
      <c r="Q11" s="34" t="s">
        <v>540</v>
      </c>
      <c r="R11" s="34" t="s">
        <v>541</v>
      </c>
      <c r="S11" s="35" t="s">
        <v>532</v>
      </c>
      <c r="T11" s="36" t="s">
        <v>593</v>
      </c>
      <c r="U11" s="36" t="s">
        <v>534</v>
      </c>
      <c r="V11" s="37" t="s">
        <v>535</v>
      </c>
      <c r="W11" s="37" t="s">
        <v>536</v>
      </c>
      <c r="X11" s="37" t="s">
        <v>537</v>
      </c>
      <c r="Y11" s="37" t="s">
        <v>538</v>
      </c>
      <c r="Z11" s="37" t="s">
        <v>539</v>
      </c>
      <c r="AA11" s="37" t="s">
        <v>989</v>
      </c>
      <c r="AB11" s="37" t="s">
        <v>990</v>
      </c>
      <c r="AC11" s="38" t="s">
        <v>540</v>
      </c>
      <c r="AD11" s="39" t="s">
        <v>541</v>
      </c>
    </row>
    <row r="12" spans="2:31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1"/>
      <c r="R12" s="201"/>
      <c r="S12" s="194"/>
      <c r="T12" s="180"/>
      <c r="U12" s="180"/>
      <c r="V12" s="180"/>
      <c r="W12" s="180"/>
      <c r="X12" s="180"/>
      <c r="Y12" s="180"/>
      <c r="Z12" s="194"/>
      <c r="AA12" s="194"/>
      <c r="AB12" s="194"/>
      <c r="AC12" s="194"/>
      <c r="AD12" s="181"/>
    </row>
    <row r="13" spans="2:31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0"/>
      <c r="P13" s="200"/>
      <c r="Q13" s="201"/>
      <c r="R13" s="201"/>
      <c r="S13" s="194"/>
      <c r="T13" s="180"/>
      <c r="U13" s="180"/>
      <c r="V13" s="180"/>
      <c r="W13" s="180"/>
      <c r="X13" s="180"/>
      <c r="Y13" s="180"/>
      <c r="Z13" s="194"/>
      <c r="AA13" s="194"/>
      <c r="AB13" s="194"/>
      <c r="AC13" s="194"/>
      <c r="AD13" s="181"/>
    </row>
    <row r="14" spans="2:31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/>
      <c r="P14" s="206"/>
      <c r="Q14" s="206">
        <f>H14+I14+J14+K14+L14+M14+N14+O14+P14</f>
        <v>6</v>
      </c>
      <c r="R14" s="206">
        <f t="shared" ref="R14:R19" si="0">G14-Q14</f>
        <v>0</v>
      </c>
      <c r="S14" s="206">
        <f t="shared" ref="S14:S19" si="1">F14*G14</f>
        <v>2484.6000000000004</v>
      </c>
      <c r="T14" s="208">
        <f t="shared" ref="T14:T45" si="2">F14*H14</f>
        <v>2484.6000000000004</v>
      </c>
      <c r="U14" s="208">
        <f t="shared" ref="U14:U45" si="3">F14*I14</f>
        <v>0</v>
      </c>
      <c r="V14" s="208">
        <f>TRUNC(F14*J14,2)</f>
        <v>0</v>
      </c>
      <c r="W14" s="208">
        <f t="shared" ref="W14:W45" si="4">TRUNC(F14*K14,2)</f>
        <v>0</v>
      </c>
      <c r="X14" s="208">
        <f t="shared" ref="X14:X45" si="5">TRUNC(F14*L14,2)</f>
        <v>0</v>
      </c>
      <c r="Y14" s="208">
        <f t="shared" ref="Y14:Y59" si="6">M14*F14</f>
        <v>0</v>
      </c>
      <c r="Z14" s="208">
        <f>TRUNC(F14*N14,2)</f>
        <v>0</v>
      </c>
      <c r="AA14" s="208">
        <f>TRUNC(F14*O14,2)</f>
        <v>0</v>
      </c>
      <c r="AB14" s="208">
        <f>TRUNC(F14*P14,2)</f>
        <v>0</v>
      </c>
      <c r="AC14" s="209">
        <f>T14+U14+V14+W14+X14+Y14+Z14+AA14+AB14</f>
        <v>2484.6000000000004</v>
      </c>
      <c r="AD14" s="210">
        <f>S14-AC14</f>
        <v>0</v>
      </c>
      <c r="AE14" s="417">
        <f>AC14/S14</f>
        <v>1</v>
      </c>
    </row>
    <row r="15" spans="2:31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/>
      <c r="P15" s="206"/>
      <c r="Q15" s="206">
        <f t="shared" ref="Q15:Q78" si="7">H15+I15+J15+K15+L15+M15+N15+O15+P15</f>
        <v>5</v>
      </c>
      <c r="R15" s="206">
        <f t="shared" si="0"/>
        <v>0</v>
      </c>
      <c r="S15" s="206">
        <f t="shared" si="1"/>
        <v>4736.05</v>
      </c>
      <c r="T15" s="208">
        <f t="shared" si="2"/>
        <v>2131.2224999999999</v>
      </c>
      <c r="U15" s="208">
        <f t="shared" si="3"/>
        <v>2604.8275000000003</v>
      </c>
      <c r="V15" s="208">
        <f t="shared" ref="V15:V25" si="8">F15*J15</f>
        <v>0</v>
      </c>
      <c r="W15" s="208">
        <f t="shared" si="4"/>
        <v>0</v>
      </c>
      <c r="X15" s="208">
        <f t="shared" si="5"/>
        <v>0</v>
      </c>
      <c r="Y15" s="208">
        <f t="shared" si="6"/>
        <v>0</v>
      </c>
      <c r="Z15" s="208">
        <f t="shared" ref="Z15:Z46" si="9">F15*N15</f>
        <v>0</v>
      </c>
      <c r="AA15" s="208">
        <f t="shared" ref="AA15:AA78" si="10">TRUNC(F15*O15,2)</f>
        <v>0</v>
      </c>
      <c r="AB15" s="208">
        <f t="shared" ref="AB15:AB78" si="11">TRUNC(F15*P15,2)</f>
        <v>0</v>
      </c>
      <c r="AC15" s="209">
        <f t="shared" ref="AC15:AC78" si="12">T15+U15+V15+W15+X15+Y15+Z15+AA15+AB15</f>
        <v>4736.05</v>
      </c>
      <c r="AD15" s="210">
        <f t="shared" ref="AD15:AD78" si="13">S15-AC15</f>
        <v>0</v>
      </c>
      <c r="AE15" s="417">
        <f t="shared" ref="AE15:AE78" si="14">AC15/S15</f>
        <v>1</v>
      </c>
    </row>
    <row r="16" spans="2:31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/>
      <c r="P16" s="206"/>
      <c r="Q16" s="206">
        <f t="shared" si="7"/>
        <v>5</v>
      </c>
      <c r="R16" s="206">
        <f t="shared" si="0"/>
        <v>0</v>
      </c>
      <c r="S16" s="206">
        <f t="shared" si="1"/>
        <v>5433.5</v>
      </c>
      <c r="T16" s="208">
        <f t="shared" si="2"/>
        <v>2445.0750000000003</v>
      </c>
      <c r="U16" s="208">
        <f t="shared" si="3"/>
        <v>2988.4250000000002</v>
      </c>
      <c r="V16" s="208">
        <f t="shared" si="8"/>
        <v>0</v>
      </c>
      <c r="W16" s="208">
        <f t="shared" si="4"/>
        <v>0</v>
      </c>
      <c r="X16" s="208">
        <f t="shared" si="5"/>
        <v>0</v>
      </c>
      <c r="Y16" s="208">
        <f t="shared" si="6"/>
        <v>0</v>
      </c>
      <c r="Z16" s="208">
        <f t="shared" si="9"/>
        <v>0</v>
      </c>
      <c r="AA16" s="208">
        <f t="shared" si="10"/>
        <v>0</v>
      </c>
      <c r="AB16" s="208">
        <f t="shared" si="11"/>
        <v>0</v>
      </c>
      <c r="AC16" s="209">
        <f t="shared" si="12"/>
        <v>5433.5</v>
      </c>
      <c r="AD16" s="210">
        <f t="shared" si="13"/>
        <v>0</v>
      </c>
      <c r="AE16" s="417">
        <f t="shared" si="14"/>
        <v>1</v>
      </c>
    </row>
    <row r="17" spans="1:33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/>
      <c r="P17" s="206"/>
      <c r="Q17" s="206">
        <f t="shared" si="7"/>
        <v>277.39999999999998</v>
      </c>
      <c r="R17" s="206">
        <f t="shared" si="0"/>
        <v>0</v>
      </c>
      <c r="S17" s="206">
        <f t="shared" si="1"/>
        <v>28361.375999999997</v>
      </c>
      <c r="T17" s="208">
        <f t="shared" si="2"/>
        <v>26418.815999999995</v>
      </c>
      <c r="U17" s="208">
        <f t="shared" si="3"/>
        <v>1942.56</v>
      </c>
      <c r="V17" s="208">
        <f t="shared" si="8"/>
        <v>0</v>
      </c>
      <c r="W17" s="208">
        <f t="shared" si="4"/>
        <v>0</v>
      </c>
      <c r="X17" s="208">
        <f t="shared" si="5"/>
        <v>0</v>
      </c>
      <c r="Y17" s="208">
        <f t="shared" si="6"/>
        <v>0</v>
      </c>
      <c r="Z17" s="208">
        <f t="shared" si="9"/>
        <v>0</v>
      </c>
      <c r="AA17" s="208">
        <f t="shared" si="10"/>
        <v>0</v>
      </c>
      <c r="AB17" s="208">
        <f t="shared" si="11"/>
        <v>0</v>
      </c>
      <c r="AC17" s="209">
        <f t="shared" si="12"/>
        <v>28361.375999999997</v>
      </c>
      <c r="AD17" s="210">
        <f t="shared" si="13"/>
        <v>0</v>
      </c>
      <c r="AE17" s="417">
        <f t="shared" si="14"/>
        <v>1</v>
      </c>
    </row>
    <row r="18" spans="1:33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/>
      <c r="P18" s="206"/>
      <c r="Q18" s="206">
        <f t="shared" si="7"/>
        <v>0</v>
      </c>
      <c r="R18" s="206">
        <f t="shared" si="0"/>
        <v>1430.2</v>
      </c>
      <c r="S18" s="206">
        <f t="shared" si="1"/>
        <v>3275.1580000000004</v>
      </c>
      <c r="T18" s="208">
        <f t="shared" si="2"/>
        <v>0</v>
      </c>
      <c r="U18" s="208">
        <f t="shared" si="3"/>
        <v>0</v>
      </c>
      <c r="V18" s="208">
        <f t="shared" si="8"/>
        <v>0</v>
      </c>
      <c r="W18" s="208">
        <f t="shared" si="4"/>
        <v>0</v>
      </c>
      <c r="X18" s="208">
        <f t="shared" si="5"/>
        <v>0</v>
      </c>
      <c r="Y18" s="208">
        <f t="shared" si="6"/>
        <v>0</v>
      </c>
      <c r="Z18" s="208">
        <f t="shared" si="9"/>
        <v>0</v>
      </c>
      <c r="AA18" s="208">
        <f t="shared" si="10"/>
        <v>0</v>
      </c>
      <c r="AB18" s="208">
        <f t="shared" si="11"/>
        <v>0</v>
      </c>
      <c r="AC18" s="209">
        <f t="shared" si="12"/>
        <v>0</v>
      </c>
      <c r="AD18" s="210">
        <f t="shared" si="13"/>
        <v>3275.1580000000004</v>
      </c>
      <c r="AE18" s="417">
        <f t="shared" si="14"/>
        <v>0</v>
      </c>
    </row>
    <row r="19" spans="1:33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/>
      <c r="P19" s="206"/>
      <c r="Q19" s="206">
        <f t="shared" si="7"/>
        <v>0</v>
      </c>
      <c r="R19" s="206">
        <f t="shared" si="0"/>
        <v>1430.2</v>
      </c>
      <c r="S19" s="206">
        <f t="shared" si="1"/>
        <v>171.624</v>
      </c>
      <c r="T19" s="208">
        <f t="shared" si="2"/>
        <v>0</v>
      </c>
      <c r="U19" s="208">
        <f t="shared" si="3"/>
        <v>0</v>
      </c>
      <c r="V19" s="208">
        <f t="shared" si="8"/>
        <v>0</v>
      </c>
      <c r="W19" s="208">
        <f t="shared" si="4"/>
        <v>0</v>
      </c>
      <c r="X19" s="208">
        <f t="shared" si="5"/>
        <v>0</v>
      </c>
      <c r="Y19" s="208">
        <f t="shared" si="6"/>
        <v>0</v>
      </c>
      <c r="Z19" s="208">
        <f t="shared" si="9"/>
        <v>0</v>
      </c>
      <c r="AA19" s="208">
        <f t="shared" si="10"/>
        <v>0</v>
      </c>
      <c r="AB19" s="208">
        <f t="shared" si="11"/>
        <v>0</v>
      </c>
      <c r="AC19" s="209">
        <f t="shared" si="12"/>
        <v>0</v>
      </c>
      <c r="AD19" s="210">
        <f t="shared" si="13"/>
        <v>171.624</v>
      </c>
      <c r="AE19" s="417">
        <f t="shared" si="14"/>
        <v>0</v>
      </c>
    </row>
    <row r="20" spans="1:33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>
        <f t="shared" si="7"/>
        <v>0</v>
      </c>
      <c r="R20" s="206"/>
      <c r="S20" s="206"/>
      <c r="T20" s="208">
        <f t="shared" si="2"/>
        <v>0</v>
      </c>
      <c r="U20" s="208">
        <f t="shared" si="3"/>
        <v>0</v>
      </c>
      <c r="V20" s="208">
        <f t="shared" si="8"/>
        <v>0</v>
      </c>
      <c r="W20" s="208">
        <f t="shared" si="4"/>
        <v>0</v>
      </c>
      <c r="X20" s="208">
        <f t="shared" si="5"/>
        <v>0</v>
      </c>
      <c r="Y20" s="208">
        <f t="shared" si="6"/>
        <v>0</v>
      </c>
      <c r="Z20" s="208">
        <f t="shared" si="9"/>
        <v>0</v>
      </c>
      <c r="AA20" s="208">
        <f t="shared" si="10"/>
        <v>0</v>
      </c>
      <c r="AB20" s="208">
        <f t="shared" si="11"/>
        <v>0</v>
      </c>
      <c r="AC20" s="209">
        <f t="shared" si="12"/>
        <v>0</v>
      </c>
      <c r="AD20" s="210">
        <f t="shared" si="13"/>
        <v>0</v>
      </c>
      <c r="AE20" s="417"/>
    </row>
    <row r="21" spans="1:33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/>
      <c r="P21" s="206"/>
      <c r="Q21" s="206">
        <f t="shared" si="7"/>
        <v>137.5</v>
      </c>
      <c r="R21" s="206">
        <f>G21-Q21</f>
        <v>0</v>
      </c>
      <c r="S21" s="206">
        <f>F21*G21</f>
        <v>7205</v>
      </c>
      <c r="T21" s="208">
        <f t="shared" si="2"/>
        <v>7205</v>
      </c>
      <c r="U21" s="208">
        <f t="shared" si="3"/>
        <v>0</v>
      </c>
      <c r="V21" s="208">
        <f t="shared" si="8"/>
        <v>0</v>
      </c>
      <c r="W21" s="208">
        <f t="shared" si="4"/>
        <v>0</v>
      </c>
      <c r="X21" s="208">
        <f t="shared" si="5"/>
        <v>0</v>
      </c>
      <c r="Y21" s="208">
        <f t="shared" si="6"/>
        <v>0</v>
      </c>
      <c r="Z21" s="208">
        <f t="shared" si="9"/>
        <v>0</v>
      </c>
      <c r="AA21" s="208">
        <f t="shared" si="10"/>
        <v>0</v>
      </c>
      <c r="AB21" s="208">
        <f t="shared" si="11"/>
        <v>0</v>
      </c>
      <c r="AC21" s="209">
        <f t="shared" si="12"/>
        <v>7205</v>
      </c>
      <c r="AD21" s="210">
        <f t="shared" si="13"/>
        <v>0</v>
      </c>
      <c r="AE21" s="417">
        <f t="shared" si="14"/>
        <v>1</v>
      </c>
    </row>
    <row r="22" spans="1:33" s="168" customFormat="1" ht="22.5" x14ac:dyDescent="0.25">
      <c r="A22" s="163"/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/>
      <c r="P22" s="206"/>
      <c r="Q22" s="206">
        <f t="shared" si="7"/>
        <v>85.184619999999995</v>
      </c>
      <c r="R22" s="206">
        <f>G22-Q22</f>
        <v>3.8253800000000098</v>
      </c>
      <c r="S22" s="206">
        <f>F22*G22</f>
        <v>5781.1995000000006</v>
      </c>
      <c r="T22" s="208">
        <f t="shared" si="2"/>
        <v>4542.5542875000001</v>
      </c>
      <c r="U22" s="208">
        <f t="shared" si="3"/>
        <v>78.288781499999999</v>
      </c>
      <c r="V22" s="208">
        <f t="shared" si="8"/>
        <v>911.89800000000002</v>
      </c>
      <c r="W22" s="208">
        <f t="shared" si="4"/>
        <v>0</v>
      </c>
      <c r="X22" s="208">
        <f t="shared" si="5"/>
        <v>0</v>
      </c>
      <c r="Y22" s="208">
        <f t="shared" si="6"/>
        <v>0</v>
      </c>
      <c r="Z22" s="208">
        <f t="shared" si="9"/>
        <v>0</v>
      </c>
      <c r="AA22" s="208">
        <f t="shared" si="10"/>
        <v>0</v>
      </c>
      <c r="AB22" s="208">
        <f t="shared" si="11"/>
        <v>0</v>
      </c>
      <c r="AC22" s="209">
        <f t="shared" si="12"/>
        <v>5532.7410690000006</v>
      </c>
      <c r="AD22" s="210">
        <f t="shared" si="13"/>
        <v>248.45843100000002</v>
      </c>
      <c r="AE22" s="417">
        <f t="shared" si="14"/>
        <v>0.9570230311200989</v>
      </c>
      <c r="AF22" s="163"/>
      <c r="AG22" s="163"/>
    </row>
    <row r="23" spans="1:33" s="168" customFormat="1" x14ac:dyDescent="0.25">
      <c r="A23" s="163"/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/>
      <c r="P23" s="206"/>
      <c r="Q23" s="206">
        <f t="shared" si="7"/>
        <v>43.05</v>
      </c>
      <c r="R23" s="206">
        <f>G23-Q23</f>
        <v>1.2100000000000009</v>
      </c>
      <c r="S23" s="206">
        <f>F23*G23</f>
        <v>1742.5161999999998</v>
      </c>
      <c r="T23" s="208">
        <f t="shared" si="2"/>
        <v>0</v>
      </c>
      <c r="U23" s="208">
        <f t="shared" si="3"/>
        <v>0</v>
      </c>
      <c r="V23" s="208">
        <f t="shared" si="8"/>
        <v>1694.8784999999998</v>
      </c>
      <c r="W23" s="208">
        <f t="shared" si="4"/>
        <v>0</v>
      </c>
      <c r="X23" s="208">
        <f t="shared" si="5"/>
        <v>0</v>
      </c>
      <c r="Y23" s="208">
        <f t="shared" si="6"/>
        <v>0</v>
      </c>
      <c r="Z23" s="208">
        <f t="shared" si="9"/>
        <v>0</v>
      </c>
      <c r="AA23" s="208">
        <f t="shared" si="10"/>
        <v>0</v>
      </c>
      <c r="AB23" s="208">
        <f t="shared" si="11"/>
        <v>0</v>
      </c>
      <c r="AC23" s="209">
        <f t="shared" si="12"/>
        <v>1694.8784999999998</v>
      </c>
      <c r="AD23" s="210">
        <f t="shared" si="13"/>
        <v>47.637699999999995</v>
      </c>
      <c r="AE23" s="417">
        <f t="shared" si="14"/>
        <v>0.97266154541346583</v>
      </c>
      <c r="AF23" s="163"/>
      <c r="AG23" s="163"/>
    </row>
    <row r="24" spans="1:33" s="169" customFormat="1" ht="22.5" x14ac:dyDescent="0.25">
      <c r="A24" s="164"/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/>
      <c r="P24" s="206"/>
      <c r="Q24" s="206">
        <f t="shared" si="7"/>
        <v>0</v>
      </c>
      <c r="R24" s="206">
        <f>G24-Q24</f>
        <v>93.63</v>
      </c>
      <c r="S24" s="206">
        <f>F24*G24</f>
        <v>6976.3712999999998</v>
      </c>
      <c r="T24" s="208">
        <f t="shared" si="2"/>
        <v>0</v>
      </c>
      <c r="U24" s="208">
        <f t="shared" si="3"/>
        <v>0</v>
      </c>
      <c r="V24" s="208">
        <f t="shared" si="8"/>
        <v>0</v>
      </c>
      <c r="W24" s="208">
        <f t="shared" si="4"/>
        <v>0</v>
      </c>
      <c r="X24" s="208">
        <f t="shared" si="5"/>
        <v>0</v>
      </c>
      <c r="Y24" s="208">
        <f t="shared" si="6"/>
        <v>0</v>
      </c>
      <c r="Z24" s="208">
        <f t="shared" si="9"/>
        <v>0</v>
      </c>
      <c r="AA24" s="208">
        <f t="shared" si="10"/>
        <v>0</v>
      </c>
      <c r="AB24" s="208">
        <f t="shared" si="11"/>
        <v>0</v>
      </c>
      <c r="AC24" s="209">
        <f t="shared" si="12"/>
        <v>0</v>
      </c>
      <c r="AD24" s="210">
        <f t="shared" si="13"/>
        <v>6976.3712999999998</v>
      </c>
      <c r="AE24" s="417">
        <f t="shared" si="14"/>
        <v>0</v>
      </c>
      <c r="AF24" s="164"/>
      <c r="AG24" s="164"/>
    </row>
    <row r="25" spans="1:33" s="167" customFormat="1" x14ac:dyDescent="0.25">
      <c r="A25"/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>
        <f t="shared" si="7"/>
        <v>0</v>
      </c>
      <c r="R25" s="206"/>
      <c r="S25" s="206"/>
      <c r="T25" s="208">
        <f t="shared" si="2"/>
        <v>0</v>
      </c>
      <c r="U25" s="208">
        <f t="shared" si="3"/>
        <v>0</v>
      </c>
      <c r="V25" s="208">
        <f t="shared" si="8"/>
        <v>0</v>
      </c>
      <c r="W25" s="208">
        <f t="shared" si="4"/>
        <v>0</v>
      </c>
      <c r="X25" s="208">
        <f t="shared" si="5"/>
        <v>0</v>
      </c>
      <c r="Y25" s="208">
        <f t="shared" si="6"/>
        <v>0</v>
      </c>
      <c r="Z25" s="208">
        <f t="shared" si="9"/>
        <v>0</v>
      </c>
      <c r="AA25" s="208">
        <f t="shared" si="10"/>
        <v>0</v>
      </c>
      <c r="AB25" s="208">
        <f t="shared" si="11"/>
        <v>0</v>
      </c>
      <c r="AC25" s="209">
        <f t="shared" si="12"/>
        <v>0</v>
      </c>
      <c r="AD25" s="210">
        <f t="shared" si="13"/>
        <v>0</v>
      </c>
      <c r="AE25" s="417"/>
      <c r="AF25"/>
      <c r="AG25"/>
    </row>
    <row r="26" spans="1:33" s="168" customFormat="1" ht="43.15" customHeight="1" x14ac:dyDescent="0.25">
      <c r="A26" s="163"/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/>
      <c r="P26" s="206"/>
      <c r="Q26" s="206">
        <f t="shared" si="7"/>
        <v>13.985410000000002</v>
      </c>
      <c r="R26" s="206">
        <f t="shared" ref="R26:R38" si="15">G26-Q26</f>
        <v>4.5899999999985397E-3</v>
      </c>
      <c r="S26" s="206">
        <f t="shared" ref="S26:S38" si="16">F26*G26</f>
        <v>5756.6052</v>
      </c>
      <c r="T26" s="208">
        <f t="shared" si="2"/>
        <v>0</v>
      </c>
      <c r="U26" s="208">
        <f t="shared" si="3"/>
        <v>3021.6663468000002</v>
      </c>
      <c r="V26" s="208">
        <f>TRUNC(F26*J26,2)</f>
        <v>2733.05</v>
      </c>
      <c r="W26" s="208">
        <f t="shared" si="4"/>
        <v>0</v>
      </c>
      <c r="X26" s="208">
        <f t="shared" si="5"/>
        <v>0</v>
      </c>
      <c r="Y26" s="208">
        <f t="shared" si="6"/>
        <v>0</v>
      </c>
      <c r="Z26" s="208">
        <f t="shared" si="9"/>
        <v>0</v>
      </c>
      <c r="AA26" s="208">
        <f t="shared" si="10"/>
        <v>0</v>
      </c>
      <c r="AB26" s="208">
        <f t="shared" si="11"/>
        <v>0</v>
      </c>
      <c r="AC26" s="209">
        <f t="shared" si="12"/>
        <v>5754.7163467999999</v>
      </c>
      <c r="AD26" s="210">
        <f t="shared" si="13"/>
        <v>1.8888532000000851</v>
      </c>
      <c r="AE26" s="417">
        <f t="shared" si="14"/>
        <v>0.99967188071191682</v>
      </c>
      <c r="AF26" s="163"/>
      <c r="AG26" s="163"/>
    </row>
    <row r="27" spans="1:33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/>
      <c r="P27" s="206"/>
      <c r="Q27" s="206">
        <f t="shared" si="7"/>
        <v>37.81</v>
      </c>
      <c r="R27" s="206">
        <f t="shared" si="15"/>
        <v>0</v>
      </c>
      <c r="S27" s="206">
        <f t="shared" si="16"/>
        <v>185.64710000000002</v>
      </c>
      <c r="T27" s="208">
        <f t="shared" si="2"/>
        <v>0</v>
      </c>
      <c r="U27" s="208">
        <f t="shared" si="3"/>
        <v>185.64710000000002</v>
      </c>
      <c r="V27" s="208">
        <f t="shared" ref="V27:V58" si="17">F27*J27</f>
        <v>0</v>
      </c>
      <c r="W27" s="208">
        <f t="shared" si="4"/>
        <v>0</v>
      </c>
      <c r="X27" s="208">
        <f t="shared" si="5"/>
        <v>0</v>
      </c>
      <c r="Y27" s="208">
        <f t="shared" si="6"/>
        <v>0</v>
      </c>
      <c r="Z27" s="208">
        <f t="shared" si="9"/>
        <v>0</v>
      </c>
      <c r="AA27" s="208">
        <f t="shared" si="10"/>
        <v>0</v>
      </c>
      <c r="AB27" s="208">
        <f t="shared" si="11"/>
        <v>0</v>
      </c>
      <c r="AC27" s="209">
        <f t="shared" si="12"/>
        <v>185.64710000000002</v>
      </c>
      <c r="AD27" s="210">
        <f t="shared" si="13"/>
        <v>0</v>
      </c>
      <c r="AE27" s="417">
        <f t="shared" si="14"/>
        <v>1</v>
      </c>
    </row>
    <row r="28" spans="1:33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16"/>
      <c r="P28" s="216"/>
      <c r="Q28" s="206">
        <f t="shared" si="7"/>
        <v>37.81</v>
      </c>
      <c r="R28" s="206">
        <f t="shared" si="15"/>
        <v>39.599999999999994</v>
      </c>
      <c r="S28" s="206">
        <f t="shared" si="16"/>
        <v>2374.1646999999998</v>
      </c>
      <c r="T28" s="208">
        <f t="shared" si="2"/>
        <v>0</v>
      </c>
      <c r="U28" s="208">
        <f t="shared" si="3"/>
        <v>1159.6327000000001</v>
      </c>
      <c r="V28" s="208">
        <f t="shared" si="17"/>
        <v>0</v>
      </c>
      <c r="W28" s="208">
        <f t="shared" si="4"/>
        <v>0</v>
      </c>
      <c r="X28" s="208">
        <f t="shared" si="5"/>
        <v>0</v>
      </c>
      <c r="Y28" s="208">
        <f t="shared" si="6"/>
        <v>0</v>
      </c>
      <c r="Z28" s="208">
        <f t="shared" si="9"/>
        <v>0</v>
      </c>
      <c r="AA28" s="208">
        <f t="shared" si="10"/>
        <v>0</v>
      </c>
      <c r="AB28" s="208">
        <f t="shared" si="11"/>
        <v>0</v>
      </c>
      <c r="AC28" s="209">
        <f t="shared" si="12"/>
        <v>1159.6327000000001</v>
      </c>
      <c r="AD28" s="210">
        <f t="shared" si="13"/>
        <v>1214.5319999999997</v>
      </c>
      <c r="AE28" s="417">
        <f t="shared" si="14"/>
        <v>0.48843818628084235</v>
      </c>
    </row>
    <row r="29" spans="1:33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/>
      <c r="P29" s="206"/>
      <c r="Q29" s="206">
        <f t="shared" si="7"/>
        <v>537.29984999999999</v>
      </c>
      <c r="R29" s="206">
        <f t="shared" si="15"/>
        <v>1.4999999996234692E-4</v>
      </c>
      <c r="S29" s="206">
        <f t="shared" si="16"/>
        <v>8591.4269999999997</v>
      </c>
      <c r="T29" s="208">
        <f t="shared" si="2"/>
        <v>0</v>
      </c>
      <c r="U29" s="208">
        <f t="shared" si="3"/>
        <v>711.8819954999999</v>
      </c>
      <c r="V29" s="208">
        <f t="shared" si="17"/>
        <v>7879.542606</v>
      </c>
      <c r="W29" s="208">
        <f t="shared" si="4"/>
        <v>0</v>
      </c>
      <c r="X29" s="208">
        <f t="shared" si="5"/>
        <v>0</v>
      </c>
      <c r="Y29" s="208">
        <f t="shared" si="6"/>
        <v>0</v>
      </c>
      <c r="Z29" s="208">
        <f t="shared" si="9"/>
        <v>0</v>
      </c>
      <c r="AA29" s="208">
        <f t="shared" si="10"/>
        <v>0</v>
      </c>
      <c r="AB29" s="208">
        <f t="shared" si="11"/>
        <v>0</v>
      </c>
      <c r="AC29" s="209">
        <f t="shared" si="12"/>
        <v>8591.424601499999</v>
      </c>
      <c r="AD29" s="210">
        <f t="shared" si="13"/>
        <v>2.3985000007087365E-3</v>
      </c>
      <c r="AE29" s="417">
        <f t="shared" si="14"/>
        <v>0.99999972082635391</v>
      </c>
    </row>
    <row r="30" spans="1:33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/>
      <c r="P30" s="206"/>
      <c r="Q30" s="206">
        <f t="shared" si="7"/>
        <v>21.159974999999996</v>
      </c>
      <c r="R30" s="206">
        <f t="shared" si="15"/>
        <v>2.5000000004382628E-5</v>
      </c>
      <c r="S30" s="206">
        <f t="shared" si="16"/>
        <v>11233.4208</v>
      </c>
      <c r="T30" s="208">
        <f t="shared" si="2"/>
        <v>0</v>
      </c>
      <c r="U30" s="208">
        <f t="shared" si="3"/>
        <v>4466.3226383999991</v>
      </c>
      <c r="V30" s="208">
        <f t="shared" si="17"/>
        <v>6767.0848895999998</v>
      </c>
      <c r="W30" s="208">
        <f t="shared" si="4"/>
        <v>0</v>
      </c>
      <c r="X30" s="208">
        <f t="shared" si="5"/>
        <v>0</v>
      </c>
      <c r="Y30" s="208">
        <f t="shared" si="6"/>
        <v>0</v>
      </c>
      <c r="Z30" s="208">
        <f t="shared" si="9"/>
        <v>0</v>
      </c>
      <c r="AA30" s="208">
        <f t="shared" si="10"/>
        <v>0</v>
      </c>
      <c r="AB30" s="208">
        <f t="shared" si="11"/>
        <v>0</v>
      </c>
      <c r="AC30" s="209">
        <f t="shared" si="12"/>
        <v>11233.407528</v>
      </c>
      <c r="AD30" s="210">
        <f t="shared" si="13"/>
        <v>1.3272000000142725E-2</v>
      </c>
      <c r="AE30" s="417">
        <f t="shared" si="14"/>
        <v>0.99999881852551986</v>
      </c>
    </row>
    <row r="31" spans="1:33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/>
      <c r="P31" s="206"/>
      <c r="Q31" s="206">
        <f t="shared" si="7"/>
        <v>9.6</v>
      </c>
      <c r="R31" s="206">
        <f t="shared" si="15"/>
        <v>0</v>
      </c>
      <c r="S31" s="206">
        <f t="shared" si="16"/>
        <v>4691.424</v>
      </c>
      <c r="T31" s="208">
        <f t="shared" si="2"/>
        <v>0</v>
      </c>
      <c r="U31" s="208">
        <f t="shared" si="3"/>
        <v>0</v>
      </c>
      <c r="V31" s="208">
        <f t="shared" si="17"/>
        <v>4691.424</v>
      </c>
      <c r="W31" s="208">
        <f t="shared" si="4"/>
        <v>0</v>
      </c>
      <c r="X31" s="208">
        <f t="shared" si="5"/>
        <v>0</v>
      </c>
      <c r="Y31" s="208">
        <f t="shared" si="6"/>
        <v>0</v>
      </c>
      <c r="Z31" s="208">
        <f t="shared" si="9"/>
        <v>0</v>
      </c>
      <c r="AA31" s="208">
        <f t="shared" si="10"/>
        <v>0</v>
      </c>
      <c r="AB31" s="208">
        <f t="shared" si="11"/>
        <v>0</v>
      </c>
      <c r="AC31" s="209">
        <f t="shared" si="12"/>
        <v>4691.424</v>
      </c>
      <c r="AD31" s="210">
        <f t="shared" si="13"/>
        <v>0</v>
      </c>
      <c r="AE31" s="417">
        <f t="shared" si="14"/>
        <v>1</v>
      </c>
    </row>
    <row r="32" spans="1:33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/>
      <c r="P32" s="206"/>
      <c r="Q32" s="206">
        <f t="shared" si="7"/>
        <v>30.760024999999999</v>
      </c>
      <c r="R32" s="206">
        <f t="shared" si="15"/>
        <v>-2.49999999972772E-5</v>
      </c>
      <c r="S32" s="206">
        <f t="shared" si="16"/>
        <v>7091.7180000000008</v>
      </c>
      <c r="T32" s="208">
        <f t="shared" si="2"/>
        <v>0</v>
      </c>
      <c r="U32" s="208">
        <f t="shared" si="3"/>
        <v>4152.9098302499997</v>
      </c>
      <c r="V32" s="208">
        <f t="shared" si="17"/>
        <v>2938.8139335000001</v>
      </c>
      <c r="W32" s="208">
        <f t="shared" si="4"/>
        <v>0</v>
      </c>
      <c r="X32" s="208">
        <f t="shared" si="5"/>
        <v>0</v>
      </c>
      <c r="Y32" s="208">
        <f t="shared" si="6"/>
        <v>0</v>
      </c>
      <c r="Z32" s="208">
        <f t="shared" si="9"/>
        <v>0</v>
      </c>
      <c r="AA32" s="208">
        <f t="shared" si="10"/>
        <v>0</v>
      </c>
      <c r="AB32" s="208">
        <f t="shared" si="11"/>
        <v>0</v>
      </c>
      <c r="AC32" s="209">
        <f t="shared" si="12"/>
        <v>7091.7237637500002</v>
      </c>
      <c r="AD32" s="210">
        <f t="shared" si="13"/>
        <v>-5.7637499994598329E-3</v>
      </c>
      <c r="AE32" s="417">
        <f t="shared" si="14"/>
        <v>1.0000008127438231</v>
      </c>
    </row>
    <row r="33" spans="2:33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/>
      <c r="P33" s="206"/>
      <c r="Q33" s="206">
        <f t="shared" si="7"/>
        <v>404.39804319999996</v>
      </c>
      <c r="R33" s="206">
        <f t="shared" si="15"/>
        <v>1.9568000000163011E-3</v>
      </c>
      <c r="S33" s="206">
        <f t="shared" si="16"/>
        <v>7077</v>
      </c>
      <c r="T33" s="208">
        <f t="shared" si="2"/>
        <v>0</v>
      </c>
      <c r="U33" s="208">
        <f t="shared" si="3"/>
        <v>3399.690756</v>
      </c>
      <c r="V33" s="208">
        <f t="shared" si="17"/>
        <v>3677.2750000000001</v>
      </c>
      <c r="W33" s="208">
        <f t="shared" si="4"/>
        <v>0</v>
      </c>
      <c r="X33" s="208">
        <f t="shared" si="5"/>
        <v>0</v>
      </c>
      <c r="Y33" s="208">
        <f t="shared" si="6"/>
        <v>0</v>
      </c>
      <c r="Z33" s="208">
        <f t="shared" si="9"/>
        <v>0</v>
      </c>
      <c r="AA33" s="208">
        <f t="shared" si="10"/>
        <v>0</v>
      </c>
      <c r="AB33" s="208">
        <f t="shared" si="11"/>
        <v>0</v>
      </c>
      <c r="AC33" s="209">
        <f t="shared" si="12"/>
        <v>7076.9657559999996</v>
      </c>
      <c r="AD33" s="210">
        <f t="shared" si="13"/>
        <v>3.4244000000398955E-2</v>
      </c>
      <c r="AE33" s="417">
        <f t="shared" si="14"/>
        <v>0.99999516122650833</v>
      </c>
    </row>
    <row r="34" spans="2:33" ht="22.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/>
      <c r="P34" s="206"/>
      <c r="Q34" s="206">
        <f t="shared" si="7"/>
        <v>295</v>
      </c>
      <c r="R34" s="206">
        <f t="shared" si="15"/>
        <v>0</v>
      </c>
      <c r="S34" s="206">
        <f t="shared" si="16"/>
        <v>4894.05</v>
      </c>
      <c r="T34" s="208">
        <f t="shared" si="2"/>
        <v>0</v>
      </c>
      <c r="U34" s="208">
        <f t="shared" si="3"/>
        <v>4894.05</v>
      </c>
      <c r="V34" s="208">
        <f t="shared" si="17"/>
        <v>0</v>
      </c>
      <c r="W34" s="208">
        <f t="shared" si="4"/>
        <v>0</v>
      </c>
      <c r="X34" s="208">
        <f t="shared" si="5"/>
        <v>0</v>
      </c>
      <c r="Y34" s="208">
        <f t="shared" si="6"/>
        <v>0</v>
      </c>
      <c r="Z34" s="208">
        <f t="shared" si="9"/>
        <v>0</v>
      </c>
      <c r="AA34" s="208">
        <f t="shared" si="10"/>
        <v>0</v>
      </c>
      <c r="AB34" s="208">
        <f t="shared" si="11"/>
        <v>0</v>
      </c>
      <c r="AC34" s="209">
        <f t="shared" si="12"/>
        <v>4894.05</v>
      </c>
      <c r="AD34" s="210">
        <f t="shared" si="13"/>
        <v>0</v>
      </c>
      <c r="AE34" s="417">
        <f t="shared" si="14"/>
        <v>1</v>
      </c>
      <c r="AG34" s="164"/>
    </row>
    <row r="35" spans="2:33" ht="22.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/>
      <c r="P35" s="206"/>
      <c r="Q35" s="206">
        <f t="shared" si="7"/>
        <v>534.1</v>
      </c>
      <c r="R35" s="206">
        <f t="shared" si="15"/>
        <v>0</v>
      </c>
      <c r="S35" s="206">
        <f t="shared" si="16"/>
        <v>7664.335</v>
      </c>
      <c r="T35" s="208">
        <f t="shared" si="2"/>
        <v>0</v>
      </c>
      <c r="U35" s="208">
        <f t="shared" si="3"/>
        <v>7664.335</v>
      </c>
      <c r="V35" s="208">
        <f t="shared" si="17"/>
        <v>0</v>
      </c>
      <c r="W35" s="208">
        <f t="shared" si="4"/>
        <v>0</v>
      </c>
      <c r="X35" s="208">
        <f t="shared" si="5"/>
        <v>0</v>
      </c>
      <c r="Y35" s="208">
        <f t="shared" si="6"/>
        <v>0</v>
      </c>
      <c r="Z35" s="208">
        <f t="shared" si="9"/>
        <v>0</v>
      </c>
      <c r="AA35" s="208">
        <f t="shared" si="10"/>
        <v>0</v>
      </c>
      <c r="AB35" s="208">
        <f t="shared" si="11"/>
        <v>0</v>
      </c>
      <c r="AC35" s="209">
        <f t="shared" si="12"/>
        <v>7664.335</v>
      </c>
      <c r="AD35" s="210">
        <f t="shared" si="13"/>
        <v>0</v>
      </c>
      <c r="AE35" s="417">
        <f t="shared" si="14"/>
        <v>1</v>
      </c>
    </row>
    <row r="36" spans="2:33" s="163" customFormat="1" ht="22.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/>
      <c r="P36" s="206"/>
      <c r="Q36" s="206">
        <f t="shared" si="7"/>
        <v>152.89646000000002</v>
      </c>
      <c r="R36" s="206">
        <f t="shared" si="15"/>
        <v>3.5399999999867759E-3</v>
      </c>
      <c r="S36" s="206">
        <f t="shared" si="16"/>
        <v>1819.5100000000002</v>
      </c>
      <c r="T36" s="208">
        <f t="shared" si="2"/>
        <v>0</v>
      </c>
      <c r="U36" s="208">
        <f t="shared" si="3"/>
        <v>1196.6218740000002</v>
      </c>
      <c r="V36" s="208">
        <f t="shared" si="17"/>
        <v>622.846</v>
      </c>
      <c r="W36" s="208">
        <f t="shared" si="4"/>
        <v>0</v>
      </c>
      <c r="X36" s="208">
        <f t="shared" si="5"/>
        <v>0</v>
      </c>
      <c r="Y36" s="208">
        <f t="shared" si="6"/>
        <v>0</v>
      </c>
      <c r="Z36" s="208">
        <f t="shared" si="9"/>
        <v>0</v>
      </c>
      <c r="AA36" s="208">
        <f t="shared" si="10"/>
        <v>0</v>
      </c>
      <c r="AB36" s="208">
        <f t="shared" si="11"/>
        <v>0</v>
      </c>
      <c r="AC36" s="209">
        <f t="shared" si="12"/>
        <v>1819.4678740000002</v>
      </c>
      <c r="AD36" s="210">
        <f t="shared" si="13"/>
        <v>4.2126000000052954E-2</v>
      </c>
      <c r="AE36" s="417">
        <f t="shared" si="14"/>
        <v>0.9999768476128188</v>
      </c>
    </row>
    <row r="37" spans="2:33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/>
      <c r="P37" s="206"/>
      <c r="Q37" s="206">
        <f t="shared" si="7"/>
        <v>429.827</v>
      </c>
      <c r="R37" s="206">
        <f t="shared" si="15"/>
        <v>2.9999999999859028E-3</v>
      </c>
      <c r="S37" s="206">
        <f t="shared" si="16"/>
        <v>29933.361199999999</v>
      </c>
      <c r="T37" s="208">
        <f t="shared" si="2"/>
        <v>0</v>
      </c>
      <c r="U37" s="208">
        <f t="shared" si="3"/>
        <v>14369.308680000002</v>
      </c>
      <c r="V37" s="208">
        <f t="shared" si="17"/>
        <v>15563.8436</v>
      </c>
      <c r="W37" s="208">
        <f t="shared" si="4"/>
        <v>0</v>
      </c>
      <c r="X37" s="208">
        <f t="shared" si="5"/>
        <v>0</v>
      </c>
      <c r="Y37" s="208">
        <f t="shared" si="6"/>
        <v>0</v>
      </c>
      <c r="Z37" s="208">
        <f t="shared" si="9"/>
        <v>0</v>
      </c>
      <c r="AA37" s="208">
        <f t="shared" si="10"/>
        <v>0</v>
      </c>
      <c r="AB37" s="208">
        <f t="shared" si="11"/>
        <v>0</v>
      </c>
      <c r="AC37" s="209">
        <f t="shared" si="12"/>
        <v>29933.152280000002</v>
      </c>
      <c r="AD37" s="210">
        <f t="shared" si="13"/>
        <v>0.20891999999730615</v>
      </c>
      <c r="AE37" s="417">
        <f t="shared" si="14"/>
        <v>0.99999302049647543</v>
      </c>
    </row>
    <row r="38" spans="2:33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/>
      <c r="P38" s="206"/>
      <c r="Q38" s="206">
        <f t="shared" si="7"/>
        <v>253.95000000000002</v>
      </c>
      <c r="R38" s="206">
        <f t="shared" si="15"/>
        <v>0</v>
      </c>
      <c r="S38" s="206">
        <f t="shared" si="16"/>
        <v>12245.468999999999</v>
      </c>
      <c r="T38" s="208">
        <f t="shared" si="2"/>
        <v>0</v>
      </c>
      <c r="U38" s="208">
        <f t="shared" si="3"/>
        <v>0</v>
      </c>
      <c r="V38" s="208">
        <f t="shared" si="17"/>
        <v>0</v>
      </c>
      <c r="W38" s="208">
        <f t="shared" si="4"/>
        <v>12245.46</v>
      </c>
      <c r="X38" s="208">
        <f t="shared" si="5"/>
        <v>0</v>
      </c>
      <c r="Y38" s="208">
        <f t="shared" si="6"/>
        <v>0</v>
      </c>
      <c r="Z38" s="208">
        <f t="shared" si="9"/>
        <v>0</v>
      </c>
      <c r="AA38" s="208">
        <f t="shared" si="10"/>
        <v>0</v>
      </c>
      <c r="AB38" s="208">
        <f t="shared" si="11"/>
        <v>0</v>
      </c>
      <c r="AC38" s="209">
        <f t="shared" si="12"/>
        <v>12245.46</v>
      </c>
      <c r="AD38" s="210">
        <f t="shared" si="13"/>
        <v>9.0000000000145519E-3</v>
      </c>
      <c r="AE38" s="417">
        <f t="shared" si="14"/>
        <v>0.99999926503427516</v>
      </c>
    </row>
    <row r="39" spans="2:33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>
        <f t="shared" si="7"/>
        <v>0</v>
      </c>
      <c r="R39" s="206"/>
      <c r="S39" s="206"/>
      <c r="T39" s="208">
        <f t="shared" si="2"/>
        <v>0</v>
      </c>
      <c r="U39" s="208">
        <f t="shared" si="3"/>
        <v>0</v>
      </c>
      <c r="V39" s="208">
        <f t="shared" si="17"/>
        <v>0</v>
      </c>
      <c r="W39" s="208">
        <f t="shared" si="4"/>
        <v>0</v>
      </c>
      <c r="X39" s="208">
        <f t="shared" si="5"/>
        <v>0</v>
      </c>
      <c r="Y39" s="208">
        <f t="shared" si="6"/>
        <v>0</v>
      </c>
      <c r="Z39" s="208">
        <f t="shared" si="9"/>
        <v>0</v>
      </c>
      <c r="AA39" s="208">
        <f t="shared" si="10"/>
        <v>0</v>
      </c>
      <c r="AB39" s="208">
        <f t="shared" si="11"/>
        <v>0</v>
      </c>
      <c r="AC39" s="209">
        <f t="shared" si="12"/>
        <v>0</v>
      </c>
      <c r="AD39" s="210">
        <f t="shared" si="13"/>
        <v>0</v>
      </c>
      <c r="AE39" s="417"/>
    </row>
    <row r="40" spans="2:33" s="164" customFormat="1" ht="45" x14ac:dyDescent="0.35">
      <c r="B40" s="203" t="s">
        <v>92</v>
      </c>
      <c r="C40" s="211">
        <v>92443</v>
      </c>
      <c r="D40" s="205" t="s">
        <v>94</v>
      </c>
      <c r="E40" s="206" t="s">
        <v>17</v>
      </c>
      <c r="F40" s="206">
        <v>40.35</v>
      </c>
      <c r="G40" s="206">
        <v>408.7</v>
      </c>
      <c r="H40" s="29"/>
      <c r="I40" s="29"/>
      <c r="J40" s="29"/>
      <c r="K40" s="207">
        <f>'MEMORIAL DE CALCULO 04'!K384</f>
        <v>190.61699999999999</v>
      </c>
      <c r="L40" s="207">
        <f>'MEMORIAL DE CALCULO 05'!K384</f>
        <v>209.24299999999999</v>
      </c>
      <c r="M40" s="207"/>
      <c r="N40" s="206"/>
      <c r="O40" s="206"/>
      <c r="P40" s="206"/>
      <c r="Q40" s="206">
        <f t="shared" si="7"/>
        <v>399.86</v>
      </c>
      <c r="R40" s="206">
        <f t="shared" ref="R40:R54" si="18">G40-Q40</f>
        <v>8.839999999999975</v>
      </c>
      <c r="S40" s="206">
        <f t="shared" ref="S40:S54" si="19">F40*G40</f>
        <v>16491.045000000002</v>
      </c>
      <c r="T40" s="208">
        <f t="shared" si="2"/>
        <v>0</v>
      </c>
      <c r="U40" s="208">
        <f t="shared" si="3"/>
        <v>0</v>
      </c>
      <c r="V40" s="208">
        <f t="shared" si="17"/>
        <v>0</v>
      </c>
      <c r="W40" s="208">
        <f t="shared" si="4"/>
        <v>7691.39</v>
      </c>
      <c r="X40" s="208">
        <f t="shared" si="5"/>
        <v>8442.9500000000007</v>
      </c>
      <c r="Y40" s="208">
        <f t="shared" si="6"/>
        <v>0</v>
      </c>
      <c r="Z40" s="208">
        <f t="shared" si="9"/>
        <v>0</v>
      </c>
      <c r="AA40" s="208">
        <f t="shared" si="10"/>
        <v>0</v>
      </c>
      <c r="AB40" s="208">
        <f t="shared" si="11"/>
        <v>0</v>
      </c>
      <c r="AC40" s="209">
        <f t="shared" si="12"/>
        <v>16134.34</v>
      </c>
      <c r="AD40" s="210">
        <f t="shared" si="13"/>
        <v>356.70500000000175</v>
      </c>
      <c r="AE40" s="417">
        <f t="shared" si="14"/>
        <v>0.97836977583894769</v>
      </c>
      <c r="AF40" s="383"/>
    </row>
    <row r="41" spans="2:33" s="169" customFormat="1" ht="33.75" x14ac:dyDescent="0.25">
      <c r="B41" s="332" t="s">
        <v>95</v>
      </c>
      <c r="C41" s="333">
        <v>92480</v>
      </c>
      <c r="D41" s="342" t="s">
        <v>97</v>
      </c>
      <c r="E41" s="336" t="s">
        <v>17</v>
      </c>
      <c r="F41" s="336">
        <v>62.17</v>
      </c>
      <c r="G41" s="336">
        <v>435.33</v>
      </c>
      <c r="H41" s="343"/>
      <c r="I41" s="343"/>
      <c r="J41" s="338"/>
      <c r="K41" s="343"/>
      <c r="L41" s="343"/>
      <c r="M41" s="338">
        <f>'MEMORIAL DE CALCULO 06'!K384</f>
        <v>261.94400000000002</v>
      </c>
      <c r="N41" s="338">
        <f>'MEMORIAL DE CALCULO 07'!K384</f>
        <v>32.747</v>
      </c>
      <c r="O41" s="338">
        <f>'MEMORIAL DE CALCULO 08'!K384</f>
        <v>32.743000000000002</v>
      </c>
      <c r="P41" s="338"/>
      <c r="Q41" s="336">
        <f t="shared" si="7"/>
        <v>327.43400000000003</v>
      </c>
      <c r="R41" s="336">
        <f t="shared" si="18"/>
        <v>107.89599999999996</v>
      </c>
      <c r="S41" s="336">
        <f t="shared" si="19"/>
        <v>27064.466100000001</v>
      </c>
      <c r="T41" s="339">
        <f t="shared" si="2"/>
        <v>0</v>
      </c>
      <c r="U41" s="339">
        <f t="shared" si="3"/>
        <v>0</v>
      </c>
      <c r="V41" s="339">
        <f t="shared" si="17"/>
        <v>0</v>
      </c>
      <c r="W41" s="339">
        <f t="shared" si="4"/>
        <v>0</v>
      </c>
      <c r="X41" s="339">
        <f t="shared" si="5"/>
        <v>0</v>
      </c>
      <c r="Y41" s="339">
        <f t="shared" si="6"/>
        <v>16285.058480000002</v>
      </c>
      <c r="Z41" s="339">
        <f t="shared" si="9"/>
        <v>2035.8809900000001</v>
      </c>
      <c r="AA41" s="339">
        <f t="shared" si="10"/>
        <v>2035.63</v>
      </c>
      <c r="AB41" s="339">
        <f t="shared" si="11"/>
        <v>0</v>
      </c>
      <c r="AC41" s="340">
        <f t="shared" si="12"/>
        <v>20356.569470000002</v>
      </c>
      <c r="AD41" s="341">
        <f t="shared" si="13"/>
        <v>6707.8966299999993</v>
      </c>
      <c r="AE41" s="417">
        <f t="shared" si="14"/>
        <v>0.75215115623507534</v>
      </c>
    </row>
    <row r="42" spans="2:33" s="169" customFormat="1" ht="22.5" x14ac:dyDescent="0.25">
      <c r="B42" s="332" t="s">
        <v>98</v>
      </c>
      <c r="C42" s="333">
        <v>92267</v>
      </c>
      <c r="D42" s="334" t="s">
        <v>100</v>
      </c>
      <c r="E42" s="336" t="s">
        <v>17</v>
      </c>
      <c r="F42" s="336">
        <v>30.99</v>
      </c>
      <c r="G42" s="336">
        <v>111.15</v>
      </c>
      <c r="H42" s="337"/>
      <c r="I42" s="338"/>
      <c r="J42" s="338"/>
      <c r="K42" s="337"/>
      <c r="L42" s="337"/>
      <c r="M42" s="337"/>
      <c r="N42" s="337"/>
      <c r="O42" s="337">
        <f>'MEMORIAL DE CALCULO 08'!K386</f>
        <v>53.183999999999997</v>
      </c>
      <c r="P42" s="337"/>
      <c r="Q42" s="336">
        <f t="shared" si="7"/>
        <v>53.183999999999997</v>
      </c>
      <c r="R42" s="336">
        <f t="shared" si="18"/>
        <v>57.966000000000008</v>
      </c>
      <c r="S42" s="336">
        <f t="shared" si="19"/>
        <v>3444.5385000000001</v>
      </c>
      <c r="T42" s="339">
        <f t="shared" si="2"/>
        <v>0</v>
      </c>
      <c r="U42" s="339">
        <f t="shared" si="3"/>
        <v>0</v>
      </c>
      <c r="V42" s="339">
        <f t="shared" si="17"/>
        <v>0</v>
      </c>
      <c r="W42" s="339">
        <f t="shared" si="4"/>
        <v>0</v>
      </c>
      <c r="X42" s="339">
        <f t="shared" si="5"/>
        <v>0</v>
      </c>
      <c r="Y42" s="339">
        <f t="shared" si="6"/>
        <v>0</v>
      </c>
      <c r="Z42" s="339">
        <f t="shared" si="9"/>
        <v>0</v>
      </c>
      <c r="AA42" s="339">
        <f t="shared" si="10"/>
        <v>1648.17</v>
      </c>
      <c r="AB42" s="339">
        <f t="shared" si="11"/>
        <v>0</v>
      </c>
      <c r="AC42" s="340">
        <f t="shared" si="12"/>
        <v>1648.17</v>
      </c>
      <c r="AD42" s="341">
        <f t="shared" si="13"/>
        <v>1796.3685</v>
      </c>
      <c r="AE42" s="417">
        <f t="shared" si="14"/>
        <v>0.47848790193519392</v>
      </c>
    </row>
    <row r="43" spans="2:33" s="169" customFormat="1" ht="33.75" x14ac:dyDescent="0.25">
      <c r="B43" s="203" t="s">
        <v>101</v>
      </c>
      <c r="C43" s="211">
        <v>92759</v>
      </c>
      <c r="D43" s="205" t="s">
        <v>103</v>
      </c>
      <c r="E43" s="206" t="s">
        <v>62</v>
      </c>
      <c r="F43" s="206">
        <v>14.67</v>
      </c>
      <c r="G43" s="206">
        <v>1027.8</v>
      </c>
      <c r="H43" s="207"/>
      <c r="I43" s="29"/>
      <c r="J43" s="29"/>
      <c r="K43" s="207">
        <f>'MEMORIAL DE CALCULO 04'!K389</f>
        <v>222.09999999999997</v>
      </c>
      <c r="L43" s="207">
        <f>'MEMORIAL DE CALCULO 05'!K389</f>
        <v>460.6</v>
      </c>
      <c r="M43" s="207">
        <f>'MEMORIAL DE CALCULO 06'!K386</f>
        <v>214.5</v>
      </c>
      <c r="N43" s="206"/>
      <c r="O43" s="206"/>
      <c r="P43" s="206"/>
      <c r="Q43" s="206">
        <f t="shared" si="7"/>
        <v>897.2</v>
      </c>
      <c r="R43" s="206">
        <f t="shared" si="18"/>
        <v>130.59999999999991</v>
      </c>
      <c r="S43" s="206">
        <f t="shared" si="19"/>
        <v>15077.825999999999</v>
      </c>
      <c r="T43" s="208">
        <f t="shared" si="2"/>
        <v>0</v>
      </c>
      <c r="U43" s="208">
        <f t="shared" si="3"/>
        <v>0</v>
      </c>
      <c r="V43" s="208">
        <f t="shared" si="17"/>
        <v>0</v>
      </c>
      <c r="W43" s="208">
        <f t="shared" si="4"/>
        <v>3258.2</v>
      </c>
      <c r="X43" s="208">
        <f t="shared" si="5"/>
        <v>6757</v>
      </c>
      <c r="Y43" s="208">
        <f t="shared" si="6"/>
        <v>3146.7150000000001</v>
      </c>
      <c r="Z43" s="208">
        <f t="shared" si="9"/>
        <v>0</v>
      </c>
      <c r="AA43" s="208">
        <f t="shared" si="10"/>
        <v>0</v>
      </c>
      <c r="AB43" s="208">
        <f t="shared" si="11"/>
        <v>0</v>
      </c>
      <c r="AC43" s="209">
        <f t="shared" si="12"/>
        <v>13161.915000000001</v>
      </c>
      <c r="AD43" s="210">
        <f t="shared" si="13"/>
        <v>1915.9109999999982</v>
      </c>
      <c r="AE43" s="417">
        <f t="shared" si="14"/>
        <v>0.87293188023260126</v>
      </c>
    </row>
    <row r="44" spans="2:33" s="169" customFormat="1" ht="33.75" x14ac:dyDescent="0.25">
      <c r="B44" s="203" t="s">
        <v>104</v>
      </c>
      <c r="C44" s="211">
        <v>92760</v>
      </c>
      <c r="D44" s="205" t="s">
        <v>106</v>
      </c>
      <c r="E44" s="206" t="s">
        <v>62</v>
      </c>
      <c r="F44" s="206">
        <v>14.4</v>
      </c>
      <c r="G44" s="206">
        <v>39.1</v>
      </c>
      <c r="H44" s="207"/>
      <c r="I44" s="29"/>
      <c r="J44" s="29"/>
      <c r="K44" s="207"/>
      <c r="L44" s="207">
        <f>'MEMORIAL DE CALCULO 05'!K393</f>
        <v>23.46</v>
      </c>
      <c r="M44" s="207">
        <f>'MEMORIAL DE CALCULO 06'!K388</f>
        <v>15.64</v>
      </c>
      <c r="N44" s="206"/>
      <c r="O44" s="206"/>
      <c r="P44" s="206"/>
      <c r="Q44" s="206">
        <f t="shared" si="7"/>
        <v>39.1</v>
      </c>
      <c r="R44" s="206">
        <f t="shared" si="18"/>
        <v>0</v>
      </c>
      <c r="S44" s="206">
        <f t="shared" si="19"/>
        <v>563.04000000000008</v>
      </c>
      <c r="T44" s="208">
        <f t="shared" si="2"/>
        <v>0</v>
      </c>
      <c r="U44" s="208">
        <f t="shared" si="3"/>
        <v>0</v>
      </c>
      <c r="V44" s="208">
        <f t="shared" si="17"/>
        <v>0</v>
      </c>
      <c r="W44" s="208">
        <f t="shared" si="4"/>
        <v>0</v>
      </c>
      <c r="X44" s="208">
        <f t="shared" si="5"/>
        <v>337.82</v>
      </c>
      <c r="Y44" s="208">
        <f t="shared" si="6"/>
        <v>225.21600000000001</v>
      </c>
      <c r="Z44" s="208">
        <f t="shared" si="9"/>
        <v>0</v>
      </c>
      <c r="AA44" s="208">
        <f t="shared" si="10"/>
        <v>0</v>
      </c>
      <c r="AB44" s="208">
        <f t="shared" si="11"/>
        <v>0</v>
      </c>
      <c r="AC44" s="209">
        <f t="shared" si="12"/>
        <v>563.03600000000006</v>
      </c>
      <c r="AD44" s="210">
        <f t="shared" si="13"/>
        <v>4.0000000000190994E-3</v>
      </c>
      <c r="AE44" s="417">
        <f t="shared" si="14"/>
        <v>0.99999289570900818</v>
      </c>
    </row>
    <row r="45" spans="2:33" s="167" customFormat="1" ht="33.75" x14ac:dyDescent="0.25">
      <c r="B45" s="203" t="s">
        <v>107</v>
      </c>
      <c r="C45" s="211">
        <v>92761</v>
      </c>
      <c r="D45" s="205" t="s">
        <v>109</v>
      </c>
      <c r="E45" s="206" t="s">
        <v>62</v>
      </c>
      <c r="F45" s="206">
        <v>14.25</v>
      </c>
      <c r="G45" s="206">
        <v>1000</v>
      </c>
      <c r="H45" s="207"/>
      <c r="I45" s="29"/>
      <c r="J45" s="29"/>
      <c r="K45" s="207"/>
      <c r="L45" s="207">
        <f>'MEMORIAL DE CALCULO 05'!K395</f>
        <v>415.67999999999995</v>
      </c>
      <c r="M45" s="207">
        <f>'MEMORIAL DE CALCULO 06'!K390</f>
        <v>415.67999999999995</v>
      </c>
      <c r="N45" s="206"/>
      <c r="O45" s="206"/>
      <c r="P45" s="206"/>
      <c r="Q45" s="206">
        <f t="shared" si="7"/>
        <v>831.3599999999999</v>
      </c>
      <c r="R45" s="206">
        <f t="shared" si="18"/>
        <v>168.6400000000001</v>
      </c>
      <c r="S45" s="206">
        <f t="shared" si="19"/>
        <v>14250</v>
      </c>
      <c r="T45" s="208">
        <f t="shared" si="2"/>
        <v>0</v>
      </c>
      <c r="U45" s="208">
        <f t="shared" si="3"/>
        <v>0</v>
      </c>
      <c r="V45" s="208">
        <f t="shared" si="17"/>
        <v>0</v>
      </c>
      <c r="W45" s="208">
        <f t="shared" si="4"/>
        <v>0</v>
      </c>
      <c r="X45" s="208">
        <f t="shared" si="5"/>
        <v>5923.44</v>
      </c>
      <c r="Y45" s="208">
        <f t="shared" si="6"/>
        <v>5923.44</v>
      </c>
      <c r="Z45" s="208">
        <f t="shared" si="9"/>
        <v>0</v>
      </c>
      <c r="AA45" s="208">
        <f t="shared" si="10"/>
        <v>0</v>
      </c>
      <c r="AB45" s="208">
        <f t="shared" si="11"/>
        <v>0</v>
      </c>
      <c r="AC45" s="209">
        <f t="shared" si="12"/>
        <v>11846.88</v>
      </c>
      <c r="AD45" s="210">
        <f t="shared" si="13"/>
        <v>2403.1200000000008</v>
      </c>
      <c r="AE45" s="417">
        <f t="shared" si="14"/>
        <v>0.83135999999999999</v>
      </c>
    </row>
    <row r="46" spans="2:33" s="169" customFormat="1" ht="33.75" x14ac:dyDescent="0.25">
      <c r="B46" s="203" t="s">
        <v>110</v>
      </c>
      <c r="C46" s="211">
        <v>92762</v>
      </c>
      <c r="D46" s="205" t="s">
        <v>112</v>
      </c>
      <c r="E46" s="206" t="s">
        <v>62</v>
      </c>
      <c r="F46" s="206">
        <v>12.94</v>
      </c>
      <c r="G46" s="206">
        <v>1306.0999999999999</v>
      </c>
      <c r="H46" s="207"/>
      <c r="I46" s="29"/>
      <c r="J46" s="29"/>
      <c r="K46" s="207">
        <f>'MEMORIAL DE CALCULO 04'!K393</f>
        <v>601.83000000000004</v>
      </c>
      <c r="L46" s="207">
        <f>'MEMORIAL DE CALCULO 05'!K397</f>
        <v>635.56999999999994</v>
      </c>
      <c r="M46" s="207">
        <f>'MEMORIAL DE CALCULO 06'!K392</f>
        <v>57</v>
      </c>
      <c r="N46" s="206"/>
      <c r="O46" s="206"/>
      <c r="P46" s="206"/>
      <c r="Q46" s="206">
        <f t="shared" si="7"/>
        <v>1294.4000000000001</v>
      </c>
      <c r="R46" s="206">
        <f t="shared" si="18"/>
        <v>11.699999999999818</v>
      </c>
      <c r="S46" s="206">
        <f t="shared" si="19"/>
        <v>16900.933999999997</v>
      </c>
      <c r="T46" s="208">
        <f t="shared" ref="T46:T77" si="20">F46*H46</f>
        <v>0</v>
      </c>
      <c r="U46" s="208">
        <f t="shared" ref="U46:U77" si="21">F46*I46</f>
        <v>0</v>
      </c>
      <c r="V46" s="208">
        <f t="shared" si="17"/>
        <v>0</v>
      </c>
      <c r="W46" s="208">
        <f t="shared" ref="W46:W77" si="22">TRUNC(F46*K46,2)</f>
        <v>7787.68</v>
      </c>
      <c r="X46" s="208">
        <f t="shared" ref="X46:X77" si="23">TRUNC(F46*L46,2)</f>
        <v>8224.27</v>
      </c>
      <c r="Y46" s="208">
        <f t="shared" si="6"/>
        <v>737.57999999999993</v>
      </c>
      <c r="Z46" s="208">
        <f t="shared" si="9"/>
        <v>0</v>
      </c>
      <c r="AA46" s="208">
        <f t="shared" si="10"/>
        <v>0</v>
      </c>
      <c r="AB46" s="208">
        <f t="shared" si="11"/>
        <v>0</v>
      </c>
      <c r="AC46" s="209">
        <f t="shared" si="12"/>
        <v>16749.53</v>
      </c>
      <c r="AD46" s="210">
        <f t="shared" si="13"/>
        <v>151.40399999999863</v>
      </c>
      <c r="AE46" s="417">
        <f t="shared" si="14"/>
        <v>0.9910416785249857</v>
      </c>
    </row>
    <row r="47" spans="2:33" s="169" customFormat="1" ht="33.75" x14ac:dyDescent="0.25">
      <c r="B47" s="203" t="s">
        <v>113</v>
      </c>
      <c r="C47" s="211">
        <v>92763</v>
      </c>
      <c r="D47" s="205" t="s">
        <v>115</v>
      </c>
      <c r="E47" s="206" t="s">
        <v>62</v>
      </c>
      <c r="F47" s="206">
        <v>10.71</v>
      </c>
      <c r="G47" s="206">
        <v>168.2</v>
      </c>
      <c r="H47" s="207"/>
      <c r="I47" s="29"/>
      <c r="J47" s="29"/>
      <c r="K47" s="207">
        <f>'MEMORIAL DE CALCULO 04'!K396</f>
        <v>100.42</v>
      </c>
      <c r="L47" s="207">
        <f>'MEMORIAL DE CALCULO 05'!K401</f>
        <v>61.18</v>
      </c>
      <c r="M47" s="207"/>
      <c r="N47" s="206"/>
      <c r="O47" s="206"/>
      <c r="P47" s="206"/>
      <c r="Q47" s="206">
        <f t="shared" si="7"/>
        <v>161.6</v>
      </c>
      <c r="R47" s="206">
        <f t="shared" si="18"/>
        <v>6.5999999999999943</v>
      </c>
      <c r="S47" s="206">
        <f t="shared" si="19"/>
        <v>1801.422</v>
      </c>
      <c r="T47" s="208">
        <f t="shared" si="20"/>
        <v>0</v>
      </c>
      <c r="U47" s="208">
        <f t="shared" si="21"/>
        <v>0</v>
      </c>
      <c r="V47" s="208">
        <f t="shared" si="17"/>
        <v>0</v>
      </c>
      <c r="W47" s="208">
        <f t="shared" si="22"/>
        <v>1075.49</v>
      </c>
      <c r="X47" s="208">
        <f t="shared" si="23"/>
        <v>655.23</v>
      </c>
      <c r="Y47" s="208">
        <f t="shared" si="6"/>
        <v>0</v>
      </c>
      <c r="Z47" s="208">
        <f t="shared" ref="Z47:Z78" si="24">F47*N47</f>
        <v>0</v>
      </c>
      <c r="AA47" s="208">
        <f t="shared" si="10"/>
        <v>0</v>
      </c>
      <c r="AB47" s="208">
        <f t="shared" si="11"/>
        <v>0</v>
      </c>
      <c r="AC47" s="209">
        <f t="shared" si="12"/>
        <v>1730.72</v>
      </c>
      <c r="AD47" s="210">
        <f t="shared" si="13"/>
        <v>70.701999999999998</v>
      </c>
      <c r="AE47" s="417">
        <f t="shared" si="14"/>
        <v>0.96075211693872953</v>
      </c>
    </row>
    <row r="48" spans="2:33" s="167" customFormat="1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>
        <f>'MEMORIAL DE CALCULO 06'!K394</f>
        <v>130.5</v>
      </c>
      <c r="N48" s="207"/>
      <c r="O48" s="207"/>
      <c r="P48" s="207"/>
      <c r="Q48" s="206">
        <f t="shared" si="7"/>
        <v>130.5</v>
      </c>
      <c r="R48" s="206">
        <f t="shared" si="18"/>
        <v>28.199999999999989</v>
      </c>
      <c r="S48" s="206">
        <f t="shared" si="19"/>
        <v>2270.9969999999998</v>
      </c>
      <c r="T48" s="208">
        <f t="shared" si="20"/>
        <v>0</v>
      </c>
      <c r="U48" s="208">
        <f t="shared" si="21"/>
        <v>0</v>
      </c>
      <c r="V48" s="208">
        <f t="shared" si="17"/>
        <v>0</v>
      </c>
      <c r="W48" s="208">
        <f t="shared" si="22"/>
        <v>0</v>
      </c>
      <c r="X48" s="208">
        <f t="shared" si="23"/>
        <v>0</v>
      </c>
      <c r="Y48" s="208">
        <f t="shared" si="6"/>
        <v>1867.4550000000002</v>
      </c>
      <c r="Z48" s="208">
        <f t="shared" si="24"/>
        <v>0</v>
      </c>
      <c r="AA48" s="208">
        <f t="shared" si="10"/>
        <v>0</v>
      </c>
      <c r="AB48" s="208">
        <f t="shared" si="11"/>
        <v>0</v>
      </c>
      <c r="AC48" s="209">
        <f t="shared" si="12"/>
        <v>1867.4550000000002</v>
      </c>
      <c r="AD48" s="210">
        <f t="shared" si="13"/>
        <v>403.54199999999969</v>
      </c>
      <c r="AE48" s="417">
        <f t="shared" si="14"/>
        <v>0.82230623818525528</v>
      </c>
    </row>
    <row r="49" spans="2:31" s="167" customFormat="1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>
        <f>'MEMORIAL DE CALCULO 06'!K396</f>
        <v>157.6</v>
      </c>
      <c r="N49" s="207"/>
      <c r="O49" s="207"/>
      <c r="P49" s="207"/>
      <c r="Q49" s="206">
        <f t="shared" si="7"/>
        <v>157.6</v>
      </c>
      <c r="R49" s="206">
        <f t="shared" si="18"/>
        <v>12.900000000000006</v>
      </c>
      <c r="S49" s="206">
        <f t="shared" si="19"/>
        <v>2388.7049999999999</v>
      </c>
      <c r="T49" s="208">
        <f t="shared" si="20"/>
        <v>0</v>
      </c>
      <c r="U49" s="208">
        <f t="shared" si="21"/>
        <v>0</v>
      </c>
      <c r="V49" s="208">
        <f t="shared" si="17"/>
        <v>0</v>
      </c>
      <c r="W49" s="208">
        <f t="shared" si="22"/>
        <v>0</v>
      </c>
      <c r="X49" s="208">
        <f t="shared" si="23"/>
        <v>0</v>
      </c>
      <c r="Y49" s="208">
        <f t="shared" si="6"/>
        <v>2207.9760000000001</v>
      </c>
      <c r="Z49" s="208">
        <f t="shared" si="24"/>
        <v>0</v>
      </c>
      <c r="AA49" s="208">
        <f t="shared" si="10"/>
        <v>0</v>
      </c>
      <c r="AB49" s="208">
        <f t="shared" si="11"/>
        <v>0</v>
      </c>
      <c r="AC49" s="209">
        <f t="shared" si="12"/>
        <v>2207.9760000000001</v>
      </c>
      <c r="AD49" s="210">
        <f t="shared" si="13"/>
        <v>180.72899999999981</v>
      </c>
      <c r="AE49" s="417">
        <f t="shared" si="14"/>
        <v>0.92434017595307927</v>
      </c>
    </row>
    <row r="50" spans="2:31" s="167" customFormat="1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>
        <f>'MEMORIAL DE CALCULO 06'!K398</f>
        <v>259</v>
      </c>
      <c r="N50" s="207"/>
      <c r="O50" s="207"/>
      <c r="P50" s="207"/>
      <c r="Q50" s="206">
        <f t="shared" si="7"/>
        <v>259</v>
      </c>
      <c r="R50" s="206">
        <f t="shared" si="18"/>
        <v>20.100000000000023</v>
      </c>
      <c r="S50" s="206">
        <f t="shared" si="19"/>
        <v>3868.326</v>
      </c>
      <c r="T50" s="208">
        <f t="shared" si="20"/>
        <v>0</v>
      </c>
      <c r="U50" s="208">
        <f t="shared" si="21"/>
        <v>0</v>
      </c>
      <c r="V50" s="208">
        <f t="shared" si="17"/>
        <v>0</v>
      </c>
      <c r="W50" s="208">
        <f t="shared" si="22"/>
        <v>0</v>
      </c>
      <c r="X50" s="208">
        <f t="shared" si="23"/>
        <v>0</v>
      </c>
      <c r="Y50" s="208">
        <f t="shared" si="6"/>
        <v>3589.74</v>
      </c>
      <c r="Z50" s="208">
        <f t="shared" si="24"/>
        <v>0</v>
      </c>
      <c r="AA50" s="208">
        <f t="shared" si="10"/>
        <v>0</v>
      </c>
      <c r="AB50" s="208">
        <f t="shared" si="11"/>
        <v>0</v>
      </c>
      <c r="AC50" s="209">
        <f t="shared" si="12"/>
        <v>3589.74</v>
      </c>
      <c r="AD50" s="210">
        <f t="shared" si="13"/>
        <v>278.58600000000024</v>
      </c>
      <c r="AE50" s="417">
        <f t="shared" si="14"/>
        <v>0.92798280186313142</v>
      </c>
    </row>
    <row r="51" spans="2:31" s="169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>
        <f>'MEMORIAL DE CALCULO 06'!K400</f>
        <v>19.399999999999999</v>
      </c>
      <c r="N51" s="337">
        <f>'MEMORIAL DE CALCULO 07'!K403</f>
        <v>4.84</v>
      </c>
      <c r="O51" s="337">
        <f>'MEMORIAL DE CALCULO 08'!K402</f>
        <v>7.87</v>
      </c>
      <c r="P51" s="337"/>
      <c r="Q51" s="336">
        <f t="shared" si="7"/>
        <v>51.54</v>
      </c>
      <c r="R51" s="336">
        <f t="shared" si="18"/>
        <v>10.020000000000003</v>
      </c>
      <c r="S51" s="336">
        <f t="shared" si="19"/>
        <v>32680.9728</v>
      </c>
      <c r="T51" s="339">
        <f t="shared" si="20"/>
        <v>0</v>
      </c>
      <c r="U51" s="339">
        <f t="shared" si="21"/>
        <v>0</v>
      </c>
      <c r="V51" s="339">
        <f t="shared" si="17"/>
        <v>0</v>
      </c>
      <c r="W51" s="339">
        <f t="shared" si="22"/>
        <v>5439.39</v>
      </c>
      <c r="X51" s="339">
        <f t="shared" si="23"/>
        <v>4875.6000000000004</v>
      </c>
      <c r="Y51" s="339">
        <f t="shared" si="6"/>
        <v>10299.071999999998</v>
      </c>
      <c r="Z51" s="339">
        <f t="shared" si="24"/>
        <v>2569.4591999999998</v>
      </c>
      <c r="AA51" s="339">
        <f t="shared" si="10"/>
        <v>4178.0200000000004</v>
      </c>
      <c r="AB51" s="339">
        <f t="shared" si="11"/>
        <v>0</v>
      </c>
      <c r="AC51" s="340">
        <f t="shared" si="12"/>
        <v>27361.5412</v>
      </c>
      <c r="AD51" s="341">
        <f t="shared" si="13"/>
        <v>5319.4315999999999</v>
      </c>
      <c r="AE51" s="417">
        <f t="shared" si="14"/>
        <v>0.83723154042709524</v>
      </c>
    </row>
    <row r="52" spans="2:31" s="167" customFormat="1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38">
        <f>'MEMORIAL DE CALCULO 06'!K403</f>
        <v>19.399999999999999</v>
      </c>
      <c r="N52" s="338">
        <f>'MEMORIAL DE CALCULO 07'!K407</f>
        <v>4.84</v>
      </c>
      <c r="O52" s="338">
        <f>'MEMORIAL DE CALCULO 08'!K406</f>
        <v>7.87</v>
      </c>
      <c r="P52" s="338"/>
      <c r="Q52" s="336">
        <f t="shared" si="7"/>
        <v>51.54</v>
      </c>
      <c r="R52" s="336">
        <f t="shared" si="18"/>
        <v>10.020000000000003</v>
      </c>
      <c r="S52" s="336">
        <f t="shared" si="19"/>
        <v>14192.658000000001</v>
      </c>
      <c r="T52" s="339">
        <f t="shared" si="20"/>
        <v>0</v>
      </c>
      <c r="U52" s="339">
        <f t="shared" si="21"/>
        <v>0</v>
      </c>
      <c r="V52" s="339">
        <f t="shared" si="17"/>
        <v>0</v>
      </c>
      <c r="W52" s="339">
        <f t="shared" si="22"/>
        <v>2362.21</v>
      </c>
      <c r="X52" s="339">
        <f t="shared" si="23"/>
        <v>2117.37</v>
      </c>
      <c r="Y52" s="339">
        <f t="shared" si="6"/>
        <v>4472.67</v>
      </c>
      <c r="Z52" s="339">
        <f t="shared" si="24"/>
        <v>1115.8620000000001</v>
      </c>
      <c r="AA52" s="339">
        <f t="shared" si="10"/>
        <v>1814.42</v>
      </c>
      <c r="AB52" s="339">
        <f t="shared" si="11"/>
        <v>0</v>
      </c>
      <c r="AC52" s="340">
        <f t="shared" si="12"/>
        <v>11882.532000000001</v>
      </c>
      <c r="AD52" s="341">
        <f t="shared" si="13"/>
        <v>2310.1260000000002</v>
      </c>
      <c r="AE52" s="417">
        <f t="shared" si="14"/>
        <v>0.83723091192643406</v>
      </c>
    </row>
    <row r="53" spans="2:31" s="167" customFormat="1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9">
        <f>'MEMORIAL DE CALCULO 06'!K405</f>
        <v>217.7</v>
      </c>
      <c r="N53" s="216"/>
      <c r="O53" s="216"/>
      <c r="P53" s="216"/>
      <c r="Q53" s="206">
        <f t="shared" si="7"/>
        <v>217.7</v>
      </c>
      <c r="R53" s="206">
        <f t="shared" si="18"/>
        <v>94.600000000000023</v>
      </c>
      <c r="S53" s="206">
        <f t="shared" si="19"/>
        <v>3919.3650000000002</v>
      </c>
      <c r="T53" s="208">
        <f t="shared" si="20"/>
        <v>0</v>
      </c>
      <c r="U53" s="208">
        <f t="shared" si="21"/>
        <v>0</v>
      </c>
      <c r="V53" s="208">
        <f t="shared" si="17"/>
        <v>0</v>
      </c>
      <c r="W53" s="208">
        <f t="shared" si="22"/>
        <v>0</v>
      </c>
      <c r="X53" s="208">
        <f t="shared" si="23"/>
        <v>0</v>
      </c>
      <c r="Y53" s="208">
        <f t="shared" si="6"/>
        <v>2732.1350000000002</v>
      </c>
      <c r="Z53" s="208">
        <f t="shared" si="24"/>
        <v>0</v>
      </c>
      <c r="AA53" s="208">
        <f t="shared" si="10"/>
        <v>0</v>
      </c>
      <c r="AB53" s="208">
        <f t="shared" si="11"/>
        <v>0</v>
      </c>
      <c r="AC53" s="209">
        <f t="shared" si="12"/>
        <v>2732.1350000000002</v>
      </c>
      <c r="AD53" s="210">
        <f t="shared" si="13"/>
        <v>1187.23</v>
      </c>
      <c r="AE53" s="417">
        <f t="shared" si="14"/>
        <v>0.69708613512648099</v>
      </c>
    </row>
    <row r="54" spans="2:31" s="167" customFormat="1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>
        <f>'MEMORIAL DE CALCULO 06'!K407</f>
        <v>154.80000000000001</v>
      </c>
      <c r="N54" s="206"/>
      <c r="O54" s="206"/>
      <c r="P54" s="206"/>
      <c r="Q54" s="206">
        <f t="shared" si="7"/>
        <v>154.80000000000001</v>
      </c>
      <c r="R54" s="206">
        <f t="shared" si="18"/>
        <v>0</v>
      </c>
      <c r="S54" s="206">
        <f t="shared" si="19"/>
        <v>1608.3720000000003</v>
      </c>
      <c r="T54" s="208">
        <f t="shared" si="20"/>
        <v>0</v>
      </c>
      <c r="U54" s="208">
        <f t="shared" si="21"/>
        <v>0</v>
      </c>
      <c r="V54" s="208">
        <f t="shared" si="17"/>
        <v>0</v>
      </c>
      <c r="W54" s="208">
        <f t="shared" si="22"/>
        <v>0</v>
      </c>
      <c r="X54" s="208">
        <f t="shared" si="23"/>
        <v>0</v>
      </c>
      <c r="Y54" s="208">
        <f t="shared" si="6"/>
        <v>1608.3720000000003</v>
      </c>
      <c r="Z54" s="208">
        <f t="shared" si="24"/>
        <v>0</v>
      </c>
      <c r="AA54" s="208">
        <f t="shared" si="10"/>
        <v>0</v>
      </c>
      <c r="AB54" s="208">
        <f t="shared" si="11"/>
        <v>0</v>
      </c>
      <c r="AC54" s="209">
        <f t="shared" si="12"/>
        <v>1608.3720000000003</v>
      </c>
      <c r="AD54" s="210">
        <f t="shared" si="13"/>
        <v>0</v>
      </c>
      <c r="AE54" s="417">
        <f t="shared" si="14"/>
        <v>1</v>
      </c>
    </row>
    <row r="55" spans="2:31" s="167" customFormat="1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>
        <f t="shared" si="7"/>
        <v>0</v>
      </c>
      <c r="R55" s="206"/>
      <c r="S55" s="206"/>
      <c r="T55" s="208">
        <f t="shared" si="20"/>
        <v>0</v>
      </c>
      <c r="U55" s="208">
        <f t="shared" si="21"/>
        <v>0</v>
      </c>
      <c r="V55" s="208">
        <f t="shared" si="17"/>
        <v>0</v>
      </c>
      <c r="W55" s="208">
        <f t="shared" si="22"/>
        <v>0</v>
      </c>
      <c r="X55" s="208">
        <f t="shared" si="23"/>
        <v>0</v>
      </c>
      <c r="Y55" s="208">
        <f t="shared" si="6"/>
        <v>0</v>
      </c>
      <c r="Z55" s="208">
        <f t="shared" si="24"/>
        <v>0</v>
      </c>
      <c r="AA55" s="208">
        <f t="shared" si="10"/>
        <v>0</v>
      </c>
      <c r="AB55" s="208">
        <f t="shared" si="11"/>
        <v>0</v>
      </c>
      <c r="AC55" s="209">
        <f t="shared" si="12"/>
        <v>0</v>
      </c>
      <c r="AD55" s="210">
        <f t="shared" si="13"/>
        <v>0</v>
      </c>
      <c r="AE55" s="417"/>
    </row>
    <row r="56" spans="2:31" s="167" customFormat="1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7">
        <f>'MEMORIAL DE CALCULO 08'!K414</f>
        <v>238.84</v>
      </c>
      <c r="P56" s="336"/>
      <c r="Q56" s="336">
        <f t="shared" si="7"/>
        <v>1085.6849999999999</v>
      </c>
      <c r="R56" s="336">
        <f>G56-Q56</f>
        <v>46.305000000000064</v>
      </c>
      <c r="S56" s="336">
        <f>F56*G56</f>
        <v>53045.051399999997</v>
      </c>
      <c r="T56" s="339">
        <f t="shared" si="20"/>
        <v>0</v>
      </c>
      <c r="U56" s="339">
        <f t="shared" si="21"/>
        <v>0</v>
      </c>
      <c r="V56" s="339">
        <f t="shared" si="17"/>
        <v>0</v>
      </c>
      <c r="W56" s="339">
        <f t="shared" si="22"/>
        <v>16620.53</v>
      </c>
      <c r="X56" s="339">
        <f t="shared" si="23"/>
        <v>23062.61</v>
      </c>
      <c r="Y56" s="339">
        <f t="shared" si="6"/>
        <v>0</v>
      </c>
      <c r="Z56" s="339">
        <f t="shared" si="24"/>
        <v>0</v>
      </c>
      <c r="AA56" s="339">
        <f t="shared" si="10"/>
        <v>11192.04</v>
      </c>
      <c r="AB56" s="339">
        <f t="shared" si="11"/>
        <v>0</v>
      </c>
      <c r="AC56" s="340">
        <f t="shared" si="12"/>
        <v>50875.18</v>
      </c>
      <c r="AD56" s="341">
        <f t="shared" si="13"/>
        <v>2169.8713999999964</v>
      </c>
      <c r="AE56" s="417">
        <f t="shared" si="14"/>
        <v>0.95909380153791313</v>
      </c>
    </row>
    <row r="57" spans="2:31" s="167" customFormat="1" ht="22.5" x14ac:dyDescent="0.25">
      <c r="B57" s="203" t="s">
        <v>138</v>
      </c>
      <c r="C57" s="211">
        <v>93189</v>
      </c>
      <c r="D57" s="215" t="s">
        <v>140</v>
      </c>
      <c r="E57" s="206" t="s">
        <v>37</v>
      </c>
      <c r="F57" s="206">
        <v>99.36</v>
      </c>
      <c r="G57" s="206">
        <v>64.099999999999994</v>
      </c>
      <c r="H57" s="216"/>
      <c r="I57" s="29"/>
      <c r="J57" s="29"/>
      <c r="K57" s="29">
        <f>'MEMORIAL DE CALCULO 04'!K484</f>
        <v>10.199999999999999</v>
      </c>
      <c r="L57" s="29">
        <f>'MEMORIAL DE CALCULO 05'!K479</f>
        <v>53.900000000000006</v>
      </c>
      <c r="M57" s="216"/>
      <c r="N57" s="216"/>
      <c r="O57" s="216"/>
      <c r="P57" s="216"/>
      <c r="Q57" s="206">
        <f t="shared" si="7"/>
        <v>64.100000000000009</v>
      </c>
      <c r="R57" s="206">
        <f>G57-Q57</f>
        <v>0</v>
      </c>
      <c r="S57" s="206">
        <f>F57*G57</f>
        <v>6368.9759999999997</v>
      </c>
      <c r="T57" s="208">
        <f t="shared" si="20"/>
        <v>0</v>
      </c>
      <c r="U57" s="208">
        <f t="shared" si="21"/>
        <v>0</v>
      </c>
      <c r="V57" s="208">
        <f t="shared" si="17"/>
        <v>0</v>
      </c>
      <c r="W57" s="208">
        <f t="shared" si="22"/>
        <v>1013.47</v>
      </c>
      <c r="X57" s="208">
        <f t="shared" si="23"/>
        <v>5355.5</v>
      </c>
      <c r="Y57" s="208">
        <f t="shared" si="6"/>
        <v>0</v>
      </c>
      <c r="Z57" s="208">
        <f t="shared" si="24"/>
        <v>0</v>
      </c>
      <c r="AA57" s="208">
        <f t="shared" si="10"/>
        <v>0</v>
      </c>
      <c r="AB57" s="208">
        <f t="shared" si="11"/>
        <v>0</v>
      </c>
      <c r="AC57" s="209">
        <f t="shared" si="12"/>
        <v>6368.97</v>
      </c>
      <c r="AD57" s="210">
        <f t="shared" si="13"/>
        <v>5.9999999994033715E-3</v>
      </c>
      <c r="AE57" s="417">
        <f t="shared" si="14"/>
        <v>0.99999905793333188</v>
      </c>
    </row>
    <row r="58" spans="2:31" s="167" customFormat="1" ht="33.75" x14ac:dyDescent="0.25">
      <c r="B58" s="203" t="s">
        <v>141</v>
      </c>
      <c r="C58" s="211">
        <v>93191</v>
      </c>
      <c r="D58" s="205" t="s">
        <v>143</v>
      </c>
      <c r="E58" s="206" t="s">
        <v>37</v>
      </c>
      <c r="F58" s="206">
        <v>50.71</v>
      </c>
      <c r="G58" s="206">
        <v>72.2</v>
      </c>
      <c r="H58" s="207"/>
      <c r="I58" s="29"/>
      <c r="J58" s="29"/>
      <c r="K58" s="207">
        <f>'MEMORIAL DE CALCULO 04'!K488</f>
        <v>11.6</v>
      </c>
      <c r="L58" s="207">
        <f>'MEMORIAL DE CALCULO 05'!K486</f>
        <v>60.600000000000009</v>
      </c>
      <c r="M58" s="207"/>
      <c r="N58" s="206"/>
      <c r="O58" s="206"/>
      <c r="P58" s="206"/>
      <c r="Q58" s="206">
        <f t="shared" si="7"/>
        <v>72.2</v>
      </c>
      <c r="R58" s="206">
        <f>G58-Q58</f>
        <v>0</v>
      </c>
      <c r="S58" s="206">
        <f>F58*G58</f>
        <v>3661.2620000000002</v>
      </c>
      <c r="T58" s="208">
        <f t="shared" si="20"/>
        <v>0</v>
      </c>
      <c r="U58" s="208">
        <f t="shared" si="21"/>
        <v>0</v>
      </c>
      <c r="V58" s="208">
        <f t="shared" si="17"/>
        <v>0</v>
      </c>
      <c r="W58" s="208">
        <f t="shared" si="22"/>
        <v>588.23</v>
      </c>
      <c r="X58" s="208">
        <f t="shared" si="23"/>
        <v>3073.02</v>
      </c>
      <c r="Y58" s="208">
        <f t="shared" si="6"/>
        <v>0</v>
      </c>
      <c r="Z58" s="208">
        <f t="shared" si="24"/>
        <v>0</v>
      </c>
      <c r="AA58" s="208">
        <f t="shared" si="10"/>
        <v>0</v>
      </c>
      <c r="AB58" s="208">
        <f t="shared" si="11"/>
        <v>0</v>
      </c>
      <c r="AC58" s="209">
        <f t="shared" si="12"/>
        <v>3661.25</v>
      </c>
      <c r="AD58" s="210">
        <f t="shared" si="13"/>
        <v>1.2000000000170985E-2</v>
      </c>
      <c r="AE58" s="417">
        <f t="shared" si="14"/>
        <v>0.9999967224416062</v>
      </c>
    </row>
    <row r="59" spans="2:31" s="167" customFormat="1" ht="22.5" x14ac:dyDescent="0.25">
      <c r="B59" s="203" t="s">
        <v>144</v>
      </c>
      <c r="C59" s="211">
        <v>93197</v>
      </c>
      <c r="D59" s="205" t="s">
        <v>146</v>
      </c>
      <c r="E59" s="206" t="s">
        <v>37</v>
      </c>
      <c r="F59" s="206">
        <v>90.23</v>
      </c>
      <c r="G59" s="206">
        <v>72.2</v>
      </c>
      <c r="H59" s="207"/>
      <c r="I59" s="29"/>
      <c r="J59" s="29"/>
      <c r="K59" s="207">
        <f>'MEMORIAL DE CALCULO 04'!K492</f>
        <v>11.6</v>
      </c>
      <c r="L59" s="207">
        <f>'MEMORIAL DE CALCULO 05'!K493</f>
        <v>60.600000000000009</v>
      </c>
      <c r="M59" s="207"/>
      <c r="N59" s="206"/>
      <c r="O59" s="206"/>
      <c r="P59" s="206"/>
      <c r="Q59" s="206">
        <f t="shared" si="7"/>
        <v>72.2</v>
      </c>
      <c r="R59" s="206">
        <f>G59-Q59</f>
        <v>0</v>
      </c>
      <c r="S59" s="206">
        <f>F59*G59</f>
        <v>6514.6060000000007</v>
      </c>
      <c r="T59" s="208">
        <f t="shared" si="20"/>
        <v>0</v>
      </c>
      <c r="U59" s="208">
        <f t="shared" si="21"/>
        <v>0</v>
      </c>
      <c r="V59" s="208">
        <f t="shared" ref="V59:V90" si="25">F59*J59</f>
        <v>0</v>
      </c>
      <c r="W59" s="208">
        <f t="shared" si="22"/>
        <v>1046.6600000000001</v>
      </c>
      <c r="X59" s="208">
        <f t="shared" si="23"/>
        <v>5467.93</v>
      </c>
      <c r="Y59" s="208">
        <f t="shared" si="6"/>
        <v>0</v>
      </c>
      <c r="Z59" s="208">
        <f t="shared" si="24"/>
        <v>0</v>
      </c>
      <c r="AA59" s="208">
        <f t="shared" si="10"/>
        <v>0</v>
      </c>
      <c r="AB59" s="208">
        <f t="shared" si="11"/>
        <v>0</v>
      </c>
      <c r="AC59" s="209">
        <f t="shared" si="12"/>
        <v>6514.59</v>
      </c>
      <c r="AD59" s="210">
        <f t="shared" si="13"/>
        <v>1.6000000000531145E-2</v>
      </c>
      <c r="AE59" s="417">
        <f t="shared" si="14"/>
        <v>0.9999975439804033</v>
      </c>
    </row>
    <row r="60" spans="2:31" s="167" customFormat="1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>
        <f t="shared" si="7"/>
        <v>0</v>
      </c>
      <c r="R60" s="206"/>
      <c r="S60" s="206"/>
      <c r="T60" s="208">
        <f t="shared" si="20"/>
        <v>0</v>
      </c>
      <c r="U60" s="208">
        <f t="shared" si="21"/>
        <v>0</v>
      </c>
      <c r="V60" s="208">
        <f t="shared" si="25"/>
        <v>0</v>
      </c>
      <c r="W60" s="208">
        <f t="shared" si="22"/>
        <v>0</v>
      </c>
      <c r="X60" s="208">
        <f t="shared" si="23"/>
        <v>0</v>
      </c>
      <c r="Y60" s="208"/>
      <c r="Z60" s="208">
        <f t="shared" si="24"/>
        <v>0</v>
      </c>
      <c r="AA60" s="208">
        <f t="shared" si="10"/>
        <v>0</v>
      </c>
      <c r="AB60" s="208">
        <f t="shared" si="11"/>
        <v>0</v>
      </c>
      <c r="AC60" s="209">
        <f t="shared" si="12"/>
        <v>0</v>
      </c>
      <c r="AD60" s="210"/>
      <c r="AE60" s="417"/>
    </row>
    <row r="61" spans="2:31" s="167" customFormat="1" ht="45" x14ac:dyDescent="0.25">
      <c r="B61" s="203" t="s">
        <v>149</v>
      </c>
      <c r="C61" s="211">
        <v>87893</v>
      </c>
      <c r="D61" s="205" t="s">
        <v>151</v>
      </c>
      <c r="E61" s="206" t="s">
        <v>17</v>
      </c>
      <c r="F61" s="206">
        <v>6.08</v>
      </c>
      <c r="G61" s="206">
        <v>1348.98</v>
      </c>
      <c r="H61" s="207"/>
      <c r="I61" s="29"/>
      <c r="J61" s="29"/>
      <c r="K61" s="207"/>
      <c r="L61" s="207">
        <v>1348.98</v>
      </c>
      <c r="M61" s="207"/>
      <c r="N61" s="206"/>
      <c r="O61" s="206"/>
      <c r="P61" s="206"/>
      <c r="Q61" s="206">
        <f t="shared" si="7"/>
        <v>1348.98</v>
      </c>
      <c r="R61" s="206">
        <f>G61-Q61</f>
        <v>0</v>
      </c>
      <c r="S61" s="206">
        <f>F61*G61</f>
        <v>8201.7983999999997</v>
      </c>
      <c r="T61" s="208">
        <f t="shared" si="20"/>
        <v>0</v>
      </c>
      <c r="U61" s="208">
        <f t="shared" si="21"/>
        <v>0</v>
      </c>
      <c r="V61" s="208">
        <f t="shared" si="25"/>
        <v>0</v>
      </c>
      <c r="W61" s="208">
        <f t="shared" si="22"/>
        <v>0</v>
      </c>
      <c r="X61" s="208">
        <f t="shared" si="23"/>
        <v>8201.7900000000009</v>
      </c>
      <c r="Y61" s="208">
        <f>M61*F61</f>
        <v>0</v>
      </c>
      <c r="Z61" s="208">
        <f t="shared" si="24"/>
        <v>0</v>
      </c>
      <c r="AA61" s="208">
        <f t="shared" si="10"/>
        <v>0</v>
      </c>
      <c r="AB61" s="208">
        <f t="shared" si="11"/>
        <v>0</v>
      </c>
      <c r="AC61" s="209">
        <f t="shared" si="12"/>
        <v>8201.7900000000009</v>
      </c>
      <c r="AD61" s="210">
        <f t="shared" si="13"/>
        <v>8.3999999988009222E-3</v>
      </c>
      <c r="AE61" s="417">
        <f t="shared" si="14"/>
        <v>0.99999897583437325</v>
      </c>
    </row>
    <row r="62" spans="2:31" s="167" customFormat="1" ht="4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>
        <f>'MEMORIAL DE CALCULO 06'!K410</f>
        <v>299.13299999999998</v>
      </c>
      <c r="N62" s="207">
        <v>697.97678599999995</v>
      </c>
      <c r="O62" s="207"/>
      <c r="P62" s="207"/>
      <c r="Q62" s="206">
        <f t="shared" si="7"/>
        <v>997.10978599999999</v>
      </c>
      <c r="R62" s="206">
        <f>G62-Q62</f>
        <v>2.1400000002813613E-4</v>
      </c>
      <c r="S62" s="206">
        <f>F62*G62</f>
        <v>22335.263999999999</v>
      </c>
      <c r="T62" s="208">
        <f t="shared" si="20"/>
        <v>0</v>
      </c>
      <c r="U62" s="208">
        <f t="shared" si="21"/>
        <v>0</v>
      </c>
      <c r="V62" s="208">
        <f t="shared" si="25"/>
        <v>0</v>
      </c>
      <c r="W62" s="208">
        <f t="shared" si="22"/>
        <v>0</v>
      </c>
      <c r="X62" s="208">
        <f t="shared" si="23"/>
        <v>0</v>
      </c>
      <c r="Y62" s="208">
        <f>M62*F62</f>
        <v>6700.5791999999992</v>
      </c>
      <c r="Z62" s="208">
        <f t="shared" si="24"/>
        <v>15634.680006399998</v>
      </c>
      <c r="AA62" s="208">
        <f t="shared" si="10"/>
        <v>0</v>
      </c>
      <c r="AB62" s="208">
        <f t="shared" si="11"/>
        <v>0</v>
      </c>
      <c r="AC62" s="209">
        <f t="shared" si="12"/>
        <v>22335.259206399998</v>
      </c>
      <c r="AD62" s="210">
        <f t="shared" si="13"/>
        <v>4.7936000009940472E-3</v>
      </c>
      <c r="AE62" s="417">
        <f t="shared" si="14"/>
        <v>0.99999978537974743</v>
      </c>
    </row>
    <row r="63" spans="2:31" s="167" customFormat="1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7">
        <f>'MEMORIAL DE CALCULO 07'!K417</f>
        <v>351.87</v>
      </c>
      <c r="O63" s="207"/>
      <c r="P63" s="207"/>
      <c r="Q63" s="206">
        <f t="shared" si="7"/>
        <v>351.87</v>
      </c>
      <c r="R63" s="206">
        <f>G63-Q63</f>
        <v>0</v>
      </c>
      <c r="S63" s="206">
        <f>F63*G63</f>
        <v>10999.456200000001</v>
      </c>
      <c r="T63" s="208">
        <f t="shared" si="20"/>
        <v>0</v>
      </c>
      <c r="U63" s="208">
        <f t="shared" si="21"/>
        <v>0</v>
      </c>
      <c r="V63" s="208">
        <f t="shared" si="25"/>
        <v>0</v>
      </c>
      <c r="W63" s="208">
        <f t="shared" si="22"/>
        <v>0</v>
      </c>
      <c r="X63" s="208">
        <f t="shared" si="23"/>
        <v>0</v>
      </c>
      <c r="Y63" s="208">
        <f>M63*F63</f>
        <v>0</v>
      </c>
      <c r="Z63" s="208">
        <f t="shared" si="24"/>
        <v>10999.456200000001</v>
      </c>
      <c r="AA63" s="208">
        <f t="shared" si="10"/>
        <v>0</v>
      </c>
      <c r="AB63" s="208">
        <f t="shared" si="11"/>
        <v>0</v>
      </c>
      <c r="AC63" s="209">
        <f t="shared" si="12"/>
        <v>10999.456200000001</v>
      </c>
      <c r="AD63" s="210">
        <f t="shared" si="13"/>
        <v>0</v>
      </c>
      <c r="AE63" s="417">
        <f t="shared" si="14"/>
        <v>1</v>
      </c>
    </row>
    <row r="64" spans="2:31" s="167" customFormat="1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/>
      <c r="P64" s="206"/>
      <c r="Q64" s="206">
        <f t="shared" si="7"/>
        <v>0</v>
      </c>
      <c r="R64" s="206">
        <f>G64-Q64</f>
        <v>351.87</v>
      </c>
      <c r="S64" s="206">
        <f>F64*G64</f>
        <v>26439.5118</v>
      </c>
      <c r="T64" s="208">
        <f t="shared" si="20"/>
        <v>0</v>
      </c>
      <c r="U64" s="208">
        <f t="shared" si="21"/>
        <v>0</v>
      </c>
      <c r="V64" s="208">
        <f t="shared" si="25"/>
        <v>0</v>
      </c>
      <c r="W64" s="208">
        <f t="shared" si="22"/>
        <v>0</v>
      </c>
      <c r="X64" s="208">
        <f t="shared" si="23"/>
        <v>0</v>
      </c>
      <c r="Y64" s="208">
        <f>M64*F64</f>
        <v>0</v>
      </c>
      <c r="Z64" s="208">
        <f t="shared" si="24"/>
        <v>0</v>
      </c>
      <c r="AA64" s="208">
        <f t="shared" si="10"/>
        <v>0</v>
      </c>
      <c r="AB64" s="208">
        <f t="shared" si="11"/>
        <v>0</v>
      </c>
      <c r="AC64" s="209">
        <f t="shared" si="12"/>
        <v>0</v>
      </c>
      <c r="AD64" s="210">
        <f t="shared" si="13"/>
        <v>26439.5118</v>
      </c>
      <c r="AE64" s="417">
        <f t="shared" si="14"/>
        <v>0</v>
      </c>
    </row>
    <row r="65" spans="2:31" s="167" customFormat="1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>
        <f t="shared" si="7"/>
        <v>0</v>
      </c>
      <c r="R65" s="206"/>
      <c r="S65" s="206"/>
      <c r="T65" s="208">
        <f t="shared" si="20"/>
        <v>0</v>
      </c>
      <c r="U65" s="208">
        <f t="shared" si="21"/>
        <v>0</v>
      </c>
      <c r="V65" s="208">
        <f t="shared" si="25"/>
        <v>0</v>
      </c>
      <c r="W65" s="208">
        <f t="shared" si="22"/>
        <v>0</v>
      </c>
      <c r="X65" s="208">
        <f t="shared" si="23"/>
        <v>0</v>
      </c>
      <c r="Y65" s="208"/>
      <c r="Z65" s="208">
        <f t="shared" si="24"/>
        <v>0</v>
      </c>
      <c r="AA65" s="208">
        <f t="shared" si="10"/>
        <v>0</v>
      </c>
      <c r="AB65" s="208">
        <f t="shared" si="11"/>
        <v>0</v>
      </c>
      <c r="AC65" s="209">
        <f t="shared" si="12"/>
        <v>0</v>
      </c>
      <c r="AD65" s="210"/>
      <c r="AE65" s="417"/>
    </row>
    <row r="66" spans="2:31" s="167" customFormat="1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16"/>
      <c r="P66" s="216"/>
      <c r="Q66" s="206">
        <f t="shared" si="7"/>
        <v>0</v>
      </c>
      <c r="R66" s="206">
        <f t="shared" ref="R66:R73" si="26">G66-Q66</f>
        <v>18</v>
      </c>
      <c r="S66" s="206">
        <f t="shared" ref="S66:S73" si="27">F66*G66</f>
        <v>16542.18</v>
      </c>
      <c r="T66" s="208">
        <f t="shared" si="20"/>
        <v>0</v>
      </c>
      <c r="U66" s="208">
        <f t="shared" si="21"/>
        <v>0</v>
      </c>
      <c r="V66" s="208">
        <f t="shared" si="25"/>
        <v>0</v>
      </c>
      <c r="W66" s="208">
        <f t="shared" si="22"/>
        <v>0</v>
      </c>
      <c r="X66" s="208">
        <f t="shared" si="23"/>
        <v>0</v>
      </c>
      <c r="Y66" s="208">
        <f t="shared" ref="Y66:Y97" si="28">M66*F66</f>
        <v>0</v>
      </c>
      <c r="Z66" s="208">
        <f t="shared" si="24"/>
        <v>0</v>
      </c>
      <c r="AA66" s="208">
        <f t="shared" si="10"/>
        <v>0</v>
      </c>
      <c r="AB66" s="208">
        <f t="shared" si="11"/>
        <v>0</v>
      </c>
      <c r="AC66" s="209">
        <f t="shared" si="12"/>
        <v>0</v>
      </c>
      <c r="AD66" s="210">
        <f t="shared" si="13"/>
        <v>16542.18</v>
      </c>
      <c r="AE66" s="417">
        <f t="shared" si="14"/>
        <v>0</v>
      </c>
    </row>
    <row r="67" spans="2:31" s="167" customFormat="1" ht="4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/>
      <c r="P67" s="206"/>
      <c r="Q67" s="206">
        <f t="shared" si="7"/>
        <v>0</v>
      </c>
      <c r="R67" s="206">
        <f t="shared" si="26"/>
        <v>49.7</v>
      </c>
      <c r="S67" s="206">
        <f t="shared" si="27"/>
        <v>47727.904000000002</v>
      </c>
      <c r="T67" s="208">
        <f t="shared" si="20"/>
        <v>0</v>
      </c>
      <c r="U67" s="208">
        <f t="shared" si="21"/>
        <v>0</v>
      </c>
      <c r="V67" s="208">
        <f t="shared" si="25"/>
        <v>0</v>
      </c>
      <c r="W67" s="208">
        <f t="shared" si="22"/>
        <v>0</v>
      </c>
      <c r="X67" s="208">
        <f t="shared" si="23"/>
        <v>0</v>
      </c>
      <c r="Y67" s="208">
        <f t="shared" si="28"/>
        <v>0</v>
      </c>
      <c r="Z67" s="208">
        <f t="shared" si="24"/>
        <v>0</v>
      </c>
      <c r="AA67" s="208">
        <f t="shared" si="10"/>
        <v>0</v>
      </c>
      <c r="AB67" s="208">
        <f t="shared" si="11"/>
        <v>0</v>
      </c>
      <c r="AC67" s="209">
        <f t="shared" si="12"/>
        <v>0</v>
      </c>
      <c r="AD67" s="210">
        <f t="shared" si="13"/>
        <v>47727.904000000002</v>
      </c>
      <c r="AE67" s="417">
        <f t="shared" si="14"/>
        <v>0</v>
      </c>
    </row>
    <row r="68" spans="2:31" s="167" customFormat="1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/>
      <c r="P68" s="206"/>
      <c r="Q68" s="206">
        <f t="shared" si="7"/>
        <v>0</v>
      </c>
      <c r="R68" s="206">
        <f t="shared" si="26"/>
        <v>5</v>
      </c>
      <c r="S68" s="206">
        <f t="shared" si="27"/>
        <v>5348.7</v>
      </c>
      <c r="T68" s="208">
        <f t="shared" si="20"/>
        <v>0</v>
      </c>
      <c r="U68" s="208">
        <f t="shared" si="21"/>
        <v>0</v>
      </c>
      <c r="V68" s="208">
        <f t="shared" si="25"/>
        <v>0</v>
      </c>
      <c r="W68" s="208">
        <f t="shared" si="22"/>
        <v>0</v>
      </c>
      <c r="X68" s="208">
        <f t="shared" si="23"/>
        <v>0</v>
      </c>
      <c r="Y68" s="208">
        <f t="shared" si="28"/>
        <v>0</v>
      </c>
      <c r="Z68" s="208">
        <f t="shared" si="24"/>
        <v>0</v>
      </c>
      <c r="AA68" s="208">
        <f t="shared" si="10"/>
        <v>0</v>
      </c>
      <c r="AB68" s="208">
        <f t="shared" si="11"/>
        <v>0</v>
      </c>
      <c r="AC68" s="209">
        <f t="shared" si="12"/>
        <v>0</v>
      </c>
      <c r="AD68" s="210">
        <f t="shared" si="13"/>
        <v>5348.7</v>
      </c>
      <c r="AE68" s="417">
        <f t="shared" si="14"/>
        <v>0</v>
      </c>
    </row>
    <row r="69" spans="2:31" s="167" customFormat="1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/>
      <c r="P69" s="206"/>
      <c r="Q69" s="206">
        <f t="shared" si="7"/>
        <v>0</v>
      </c>
      <c r="R69" s="206">
        <f t="shared" si="26"/>
        <v>1</v>
      </c>
      <c r="S69" s="206">
        <f t="shared" si="27"/>
        <v>2030.34</v>
      </c>
      <c r="T69" s="208">
        <f t="shared" si="20"/>
        <v>0</v>
      </c>
      <c r="U69" s="208">
        <f t="shared" si="21"/>
        <v>0</v>
      </c>
      <c r="V69" s="208">
        <f t="shared" si="25"/>
        <v>0</v>
      </c>
      <c r="W69" s="208">
        <f t="shared" si="22"/>
        <v>0</v>
      </c>
      <c r="X69" s="208">
        <f t="shared" si="23"/>
        <v>0</v>
      </c>
      <c r="Y69" s="208">
        <f t="shared" si="28"/>
        <v>0</v>
      </c>
      <c r="Z69" s="208">
        <f t="shared" si="24"/>
        <v>0</v>
      </c>
      <c r="AA69" s="208">
        <f t="shared" si="10"/>
        <v>0</v>
      </c>
      <c r="AB69" s="208">
        <f t="shared" si="11"/>
        <v>0</v>
      </c>
      <c r="AC69" s="209">
        <f t="shared" si="12"/>
        <v>0</v>
      </c>
      <c r="AD69" s="210">
        <f t="shared" si="13"/>
        <v>2030.34</v>
      </c>
      <c r="AE69" s="417">
        <f t="shared" si="14"/>
        <v>0</v>
      </c>
    </row>
    <row r="70" spans="2:31" s="167" customFormat="1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/>
      <c r="P70" s="206"/>
      <c r="Q70" s="206">
        <f t="shared" si="7"/>
        <v>0</v>
      </c>
      <c r="R70" s="206">
        <f t="shared" si="26"/>
        <v>3</v>
      </c>
      <c r="S70" s="206">
        <f t="shared" si="27"/>
        <v>14092.349999999999</v>
      </c>
      <c r="T70" s="208">
        <f t="shared" si="20"/>
        <v>0</v>
      </c>
      <c r="U70" s="208">
        <f t="shared" si="21"/>
        <v>0</v>
      </c>
      <c r="V70" s="208">
        <f t="shared" si="25"/>
        <v>0</v>
      </c>
      <c r="W70" s="208">
        <f t="shared" si="22"/>
        <v>0</v>
      </c>
      <c r="X70" s="208">
        <f t="shared" si="23"/>
        <v>0</v>
      </c>
      <c r="Y70" s="208">
        <f t="shared" si="28"/>
        <v>0</v>
      </c>
      <c r="Z70" s="208">
        <f t="shared" si="24"/>
        <v>0</v>
      </c>
      <c r="AA70" s="208">
        <f t="shared" si="10"/>
        <v>0</v>
      </c>
      <c r="AB70" s="208">
        <f t="shared" si="11"/>
        <v>0</v>
      </c>
      <c r="AC70" s="209">
        <f t="shared" si="12"/>
        <v>0</v>
      </c>
      <c r="AD70" s="210">
        <f t="shared" si="13"/>
        <v>14092.349999999999</v>
      </c>
      <c r="AE70" s="417">
        <f t="shared" si="14"/>
        <v>0</v>
      </c>
    </row>
    <row r="71" spans="2:31" s="167" customFormat="1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/>
      <c r="P71" s="206"/>
      <c r="Q71" s="206">
        <f t="shared" si="7"/>
        <v>0</v>
      </c>
      <c r="R71" s="206">
        <f t="shared" si="26"/>
        <v>12.96</v>
      </c>
      <c r="S71" s="206">
        <f t="shared" si="27"/>
        <v>12653.755200000001</v>
      </c>
      <c r="T71" s="208">
        <f t="shared" si="20"/>
        <v>0</v>
      </c>
      <c r="U71" s="208">
        <f t="shared" si="21"/>
        <v>0</v>
      </c>
      <c r="V71" s="208">
        <f t="shared" si="25"/>
        <v>0</v>
      </c>
      <c r="W71" s="208">
        <f t="shared" si="22"/>
        <v>0</v>
      </c>
      <c r="X71" s="208">
        <f t="shared" si="23"/>
        <v>0</v>
      </c>
      <c r="Y71" s="208">
        <f t="shared" si="28"/>
        <v>0</v>
      </c>
      <c r="Z71" s="208">
        <f t="shared" si="24"/>
        <v>0</v>
      </c>
      <c r="AA71" s="208">
        <f t="shared" si="10"/>
        <v>0</v>
      </c>
      <c r="AB71" s="208">
        <f t="shared" si="11"/>
        <v>0</v>
      </c>
      <c r="AC71" s="209">
        <f t="shared" si="12"/>
        <v>0</v>
      </c>
      <c r="AD71" s="210">
        <f t="shared" si="13"/>
        <v>12653.755200000001</v>
      </c>
      <c r="AE71" s="417">
        <f t="shared" si="14"/>
        <v>0</v>
      </c>
    </row>
    <row r="72" spans="2:31" s="167" customFormat="1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/>
      <c r="P72" s="206"/>
      <c r="Q72" s="206">
        <f t="shared" si="7"/>
        <v>0</v>
      </c>
      <c r="R72" s="206">
        <f t="shared" si="26"/>
        <v>19.96</v>
      </c>
      <c r="S72" s="206">
        <f t="shared" si="27"/>
        <v>11574.804</v>
      </c>
      <c r="T72" s="208">
        <f t="shared" si="20"/>
        <v>0</v>
      </c>
      <c r="U72" s="208">
        <f t="shared" si="21"/>
        <v>0</v>
      </c>
      <c r="V72" s="208">
        <f t="shared" si="25"/>
        <v>0</v>
      </c>
      <c r="W72" s="208">
        <f t="shared" si="22"/>
        <v>0</v>
      </c>
      <c r="X72" s="208">
        <f t="shared" si="23"/>
        <v>0</v>
      </c>
      <c r="Y72" s="208">
        <f t="shared" si="28"/>
        <v>0</v>
      </c>
      <c r="Z72" s="208">
        <f t="shared" si="24"/>
        <v>0</v>
      </c>
      <c r="AA72" s="208">
        <f t="shared" si="10"/>
        <v>0</v>
      </c>
      <c r="AB72" s="208">
        <f t="shared" si="11"/>
        <v>0</v>
      </c>
      <c r="AC72" s="209">
        <f t="shared" si="12"/>
        <v>0</v>
      </c>
      <c r="AD72" s="210">
        <f t="shared" si="13"/>
        <v>11574.804</v>
      </c>
      <c r="AE72" s="417">
        <f t="shared" si="14"/>
        <v>0</v>
      </c>
    </row>
    <row r="73" spans="2:31" s="167" customFormat="1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/>
      <c r="P73" s="206"/>
      <c r="Q73" s="206">
        <f t="shared" si="7"/>
        <v>0</v>
      </c>
      <c r="R73" s="206">
        <f t="shared" si="26"/>
        <v>8</v>
      </c>
      <c r="S73" s="206">
        <f t="shared" si="27"/>
        <v>1098.4000000000001</v>
      </c>
      <c r="T73" s="208">
        <f t="shared" si="20"/>
        <v>0</v>
      </c>
      <c r="U73" s="208">
        <f t="shared" si="21"/>
        <v>0</v>
      </c>
      <c r="V73" s="208">
        <f t="shared" si="25"/>
        <v>0</v>
      </c>
      <c r="W73" s="208">
        <f t="shared" si="22"/>
        <v>0</v>
      </c>
      <c r="X73" s="208">
        <f t="shared" si="23"/>
        <v>0</v>
      </c>
      <c r="Y73" s="208">
        <f t="shared" si="28"/>
        <v>0</v>
      </c>
      <c r="Z73" s="208">
        <f t="shared" si="24"/>
        <v>0</v>
      </c>
      <c r="AA73" s="208">
        <f t="shared" si="10"/>
        <v>0</v>
      </c>
      <c r="AB73" s="208">
        <f t="shared" si="11"/>
        <v>0</v>
      </c>
      <c r="AC73" s="209">
        <f t="shared" si="12"/>
        <v>0</v>
      </c>
      <c r="AD73" s="210">
        <f t="shared" si="13"/>
        <v>1098.4000000000001</v>
      </c>
      <c r="AE73" s="417">
        <f t="shared" si="14"/>
        <v>0</v>
      </c>
    </row>
    <row r="74" spans="2:31" s="167" customFormat="1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>
        <f t="shared" si="7"/>
        <v>0</v>
      </c>
      <c r="R74" s="206"/>
      <c r="S74" s="206"/>
      <c r="T74" s="208">
        <f t="shared" si="20"/>
        <v>0</v>
      </c>
      <c r="U74" s="208">
        <f t="shared" si="21"/>
        <v>0</v>
      </c>
      <c r="V74" s="208">
        <f t="shared" si="25"/>
        <v>0</v>
      </c>
      <c r="W74" s="208">
        <f t="shared" si="22"/>
        <v>0</v>
      </c>
      <c r="X74" s="208">
        <f t="shared" si="23"/>
        <v>0</v>
      </c>
      <c r="Y74" s="208">
        <f t="shared" si="28"/>
        <v>0</v>
      </c>
      <c r="Z74" s="208">
        <f t="shared" si="24"/>
        <v>0</v>
      </c>
      <c r="AA74" s="208">
        <f t="shared" si="10"/>
        <v>0</v>
      </c>
      <c r="AB74" s="208">
        <f t="shared" si="11"/>
        <v>0</v>
      </c>
      <c r="AC74" s="209">
        <f t="shared" si="12"/>
        <v>0</v>
      </c>
      <c r="AD74" s="210">
        <f t="shared" si="13"/>
        <v>0</v>
      </c>
      <c r="AE74" s="417"/>
    </row>
    <row r="75" spans="2:31" s="167" customFormat="1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/>
      <c r="P75" s="206"/>
      <c r="Q75" s="206">
        <f t="shared" si="7"/>
        <v>0</v>
      </c>
      <c r="R75" s="206">
        <f t="shared" ref="R75:R80" si="29">G75-Q75</f>
        <v>997.11</v>
      </c>
      <c r="S75" s="206">
        <f t="shared" ref="S75:S80" si="30">F75*G75</f>
        <v>2732.0814</v>
      </c>
      <c r="T75" s="208">
        <f t="shared" si="20"/>
        <v>0</v>
      </c>
      <c r="U75" s="208">
        <f t="shared" si="21"/>
        <v>0</v>
      </c>
      <c r="V75" s="208">
        <f t="shared" si="25"/>
        <v>0</v>
      </c>
      <c r="W75" s="208">
        <f t="shared" si="22"/>
        <v>0</v>
      </c>
      <c r="X75" s="208">
        <f t="shared" si="23"/>
        <v>0</v>
      </c>
      <c r="Y75" s="208">
        <f t="shared" si="28"/>
        <v>0</v>
      </c>
      <c r="Z75" s="208">
        <f t="shared" si="24"/>
        <v>0</v>
      </c>
      <c r="AA75" s="208">
        <f t="shared" si="10"/>
        <v>0</v>
      </c>
      <c r="AB75" s="208">
        <f t="shared" si="11"/>
        <v>0</v>
      </c>
      <c r="AC75" s="209">
        <f t="shared" si="12"/>
        <v>0</v>
      </c>
      <c r="AD75" s="210">
        <f t="shared" si="13"/>
        <v>2732.0814</v>
      </c>
      <c r="AE75" s="417">
        <f t="shared" si="14"/>
        <v>0</v>
      </c>
    </row>
    <row r="76" spans="2:31" s="167" customFormat="1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/>
      <c r="P76" s="206"/>
      <c r="Q76" s="206">
        <f t="shared" si="7"/>
        <v>0</v>
      </c>
      <c r="R76" s="206">
        <f t="shared" si="29"/>
        <v>997.11</v>
      </c>
      <c r="S76" s="206">
        <f t="shared" si="30"/>
        <v>9831.5046000000002</v>
      </c>
      <c r="T76" s="208">
        <f t="shared" si="20"/>
        <v>0</v>
      </c>
      <c r="U76" s="208">
        <f t="shared" si="21"/>
        <v>0</v>
      </c>
      <c r="V76" s="208">
        <f t="shared" si="25"/>
        <v>0</v>
      </c>
      <c r="W76" s="208">
        <f t="shared" si="22"/>
        <v>0</v>
      </c>
      <c r="X76" s="208">
        <f t="shared" si="23"/>
        <v>0</v>
      </c>
      <c r="Y76" s="208">
        <f t="shared" si="28"/>
        <v>0</v>
      </c>
      <c r="Z76" s="208">
        <f t="shared" si="24"/>
        <v>0</v>
      </c>
      <c r="AA76" s="208">
        <f t="shared" si="10"/>
        <v>0</v>
      </c>
      <c r="AB76" s="208">
        <f t="shared" si="11"/>
        <v>0</v>
      </c>
      <c r="AC76" s="209">
        <f t="shared" si="12"/>
        <v>0</v>
      </c>
      <c r="AD76" s="210">
        <f t="shared" si="13"/>
        <v>9831.5046000000002</v>
      </c>
      <c r="AE76" s="417">
        <f t="shared" si="14"/>
        <v>0</v>
      </c>
    </row>
    <row r="77" spans="2:31" s="167" customFormat="1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/>
      <c r="P77" s="206"/>
      <c r="Q77" s="206">
        <f t="shared" si="7"/>
        <v>0</v>
      </c>
      <c r="R77" s="206">
        <f t="shared" si="29"/>
        <v>997.11</v>
      </c>
      <c r="S77" s="206">
        <f t="shared" si="30"/>
        <v>12124.857600000001</v>
      </c>
      <c r="T77" s="208">
        <f t="shared" si="20"/>
        <v>0</v>
      </c>
      <c r="U77" s="208">
        <f t="shared" si="21"/>
        <v>0</v>
      </c>
      <c r="V77" s="208">
        <f t="shared" si="25"/>
        <v>0</v>
      </c>
      <c r="W77" s="208">
        <f t="shared" si="22"/>
        <v>0</v>
      </c>
      <c r="X77" s="208">
        <f t="shared" si="23"/>
        <v>0</v>
      </c>
      <c r="Y77" s="208">
        <f t="shared" si="28"/>
        <v>0</v>
      </c>
      <c r="Z77" s="208">
        <f t="shared" si="24"/>
        <v>0</v>
      </c>
      <c r="AA77" s="208">
        <f t="shared" si="10"/>
        <v>0</v>
      </c>
      <c r="AB77" s="208">
        <f t="shared" si="11"/>
        <v>0</v>
      </c>
      <c r="AC77" s="209">
        <f t="shared" si="12"/>
        <v>0</v>
      </c>
      <c r="AD77" s="210">
        <f t="shared" si="13"/>
        <v>12124.857600000001</v>
      </c>
      <c r="AE77" s="417">
        <f t="shared" si="14"/>
        <v>0</v>
      </c>
    </row>
    <row r="78" spans="2:31" s="167" customFormat="1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/>
      <c r="P78" s="206"/>
      <c r="Q78" s="206">
        <f t="shared" si="7"/>
        <v>0</v>
      </c>
      <c r="R78" s="206">
        <f t="shared" si="29"/>
        <v>634.5</v>
      </c>
      <c r="S78" s="206">
        <f t="shared" si="30"/>
        <v>1966.95</v>
      </c>
      <c r="T78" s="208">
        <f t="shared" ref="T78:T109" si="31">F78*H78</f>
        <v>0</v>
      </c>
      <c r="U78" s="208">
        <f t="shared" ref="U78:U109" si="32">F78*I78</f>
        <v>0</v>
      </c>
      <c r="V78" s="208">
        <f t="shared" si="25"/>
        <v>0</v>
      </c>
      <c r="W78" s="208">
        <f t="shared" ref="W78:W109" si="33">TRUNC(F78*K78,2)</f>
        <v>0</v>
      </c>
      <c r="X78" s="208">
        <f t="shared" ref="X78:X109" si="34">TRUNC(F78*L78,2)</f>
        <v>0</v>
      </c>
      <c r="Y78" s="208">
        <f t="shared" si="28"/>
        <v>0</v>
      </c>
      <c r="Z78" s="208">
        <f t="shared" si="24"/>
        <v>0</v>
      </c>
      <c r="AA78" s="208">
        <f t="shared" si="10"/>
        <v>0</v>
      </c>
      <c r="AB78" s="208">
        <f t="shared" si="11"/>
        <v>0</v>
      </c>
      <c r="AC78" s="209">
        <f t="shared" si="12"/>
        <v>0</v>
      </c>
      <c r="AD78" s="210">
        <f t="shared" si="13"/>
        <v>1966.95</v>
      </c>
      <c r="AE78" s="417">
        <f t="shared" si="14"/>
        <v>0</v>
      </c>
    </row>
    <row r="79" spans="2:31" s="167" customFormat="1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/>
      <c r="P79" s="206"/>
      <c r="Q79" s="206">
        <f t="shared" ref="Q79:Q142" si="35">H79+I79+J79+K79+L79+M79+N79+O79+P79</f>
        <v>0</v>
      </c>
      <c r="R79" s="206">
        <f t="shared" si="29"/>
        <v>634.5</v>
      </c>
      <c r="S79" s="206">
        <f t="shared" si="30"/>
        <v>11059.334999999999</v>
      </c>
      <c r="T79" s="208">
        <f t="shared" si="31"/>
        <v>0</v>
      </c>
      <c r="U79" s="208">
        <f t="shared" si="32"/>
        <v>0</v>
      </c>
      <c r="V79" s="208">
        <f t="shared" si="25"/>
        <v>0</v>
      </c>
      <c r="W79" s="208">
        <f t="shared" si="33"/>
        <v>0</v>
      </c>
      <c r="X79" s="208">
        <f t="shared" si="34"/>
        <v>0</v>
      </c>
      <c r="Y79" s="208">
        <f t="shared" si="28"/>
        <v>0</v>
      </c>
      <c r="Z79" s="208">
        <f t="shared" ref="Z79:Z110" si="36">F79*N79</f>
        <v>0</v>
      </c>
      <c r="AA79" s="208">
        <f t="shared" ref="AA79:AA142" si="37">TRUNC(F79*O79,2)</f>
        <v>0</v>
      </c>
      <c r="AB79" s="208">
        <f t="shared" ref="AB79:AB142" si="38">TRUNC(F79*P79,2)</f>
        <v>0</v>
      </c>
      <c r="AC79" s="209">
        <f t="shared" ref="AC79:AC142" si="39">T79+U79+V79+W79+X79+Y79+Z79+AA79+AB79</f>
        <v>0</v>
      </c>
      <c r="AD79" s="210">
        <f t="shared" ref="AD79:AD142" si="40">S79-AC79</f>
        <v>11059.334999999999</v>
      </c>
      <c r="AE79" s="417">
        <f t="shared" ref="AE79:AE142" si="41">AC79/S79</f>
        <v>0</v>
      </c>
    </row>
    <row r="80" spans="2:31" s="167" customFormat="1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/>
      <c r="P80" s="206"/>
      <c r="Q80" s="206">
        <f t="shared" si="35"/>
        <v>0</v>
      </c>
      <c r="R80" s="206">
        <f t="shared" si="29"/>
        <v>634.5</v>
      </c>
      <c r="S80" s="206">
        <f t="shared" si="30"/>
        <v>8718.0300000000007</v>
      </c>
      <c r="T80" s="208">
        <f t="shared" si="31"/>
        <v>0</v>
      </c>
      <c r="U80" s="208">
        <f t="shared" si="32"/>
        <v>0</v>
      </c>
      <c r="V80" s="208">
        <f t="shared" si="25"/>
        <v>0</v>
      </c>
      <c r="W80" s="208">
        <f t="shared" si="33"/>
        <v>0</v>
      </c>
      <c r="X80" s="208">
        <f t="shared" si="34"/>
        <v>0</v>
      </c>
      <c r="Y80" s="208">
        <f t="shared" si="28"/>
        <v>0</v>
      </c>
      <c r="Z80" s="208">
        <f t="shared" si="36"/>
        <v>0</v>
      </c>
      <c r="AA80" s="208">
        <f t="shared" si="37"/>
        <v>0</v>
      </c>
      <c r="AB80" s="208">
        <f t="shared" si="38"/>
        <v>0</v>
      </c>
      <c r="AC80" s="209">
        <f t="shared" si="39"/>
        <v>0</v>
      </c>
      <c r="AD80" s="210">
        <f t="shared" si="40"/>
        <v>8718.0300000000007</v>
      </c>
      <c r="AE80" s="417">
        <f t="shared" si="41"/>
        <v>0</v>
      </c>
    </row>
    <row r="81" spans="2:31" s="167" customFormat="1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>
        <f t="shared" si="35"/>
        <v>0</v>
      </c>
      <c r="R81" s="206"/>
      <c r="S81" s="206"/>
      <c r="T81" s="208">
        <f t="shared" si="31"/>
        <v>0</v>
      </c>
      <c r="U81" s="208">
        <f t="shared" si="32"/>
        <v>0</v>
      </c>
      <c r="V81" s="208">
        <f t="shared" si="25"/>
        <v>0</v>
      </c>
      <c r="W81" s="208">
        <f t="shared" si="33"/>
        <v>0</v>
      </c>
      <c r="X81" s="208">
        <f t="shared" si="34"/>
        <v>0</v>
      </c>
      <c r="Y81" s="208">
        <f t="shared" si="28"/>
        <v>0</v>
      </c>
      <c r="Z81" s="208">
        <f t="shared" si="36"/>
        <v>0</v>
      </c>
      <c r="AA81" s="208">
        <f t="shared" si="37"/>
        <v>0</v>
      </c>
      <c r="AB81" s="208">
        <f t="shared" si="38"/>
        <v>0</v>
      </c>
      <c r="AC81" s="209">
        <f t="shared" si="39"/>
        <v>0</v>
      </c>
      <c r="AD81" s="210">
        <f t="shared" si="40"/>
        <v>0</v>
      </c>
      <c r="AE81" s="417"/>
    </row>
    <row r="82" spans="2:31" s="167" customFormat="1" ht="45" x14ac:dyDescent="0.25">
      <c r="B82" s="332" t="s">
        <v>210</v>
      </c>
      <c r="C82" s="333">
        <v>87894</v>
      </c>
      <c r="D82" s="334" t="s">
        <v>212</v>
      </c>
      <c r="E82" s="335" t="s">
        <v>17</v>
      </c>
      <c r="F82" s="336">
        <v>5.72</v>
      </c>
      <c r="G82" s="336">
        <v>466.37</v>
      </c>
      <c r="H82" s="337"/>
      <c r="I82" s="338"/>
      <c r="J82" s="338"/>
      <c r="K82" s="337"/>
      <c r="L82" s="337"/>
      <c r="M82" s="337"/>
      <c r="N82" s="337">
        <f>'MEMORIAL DE CALCULO 07'!K421</f>
        <v>320.44</v>
      </c>
      <c r="O82" s="337">
        <f>'MEMORIAL DE CALCULO 08'!K424</f>
        <v>100</v>
      </c>
      <c r="P82" s="337"/>
      <c r="Q82" s="336">
        <f t="shared" si="35"/>
        <v>420.44</v>
      </c>
      <c r="R82" s="336">
        <f t="shared" ref="R82:R88" si="42">G82-Q82</f>
        <v>45.930000000000007</v>
      </c>
      <c r="S82" s="336">
        <f t="shared" ref="S82:S88" si="43">F82*G82</f>
        <v>2667.6363999999999</v>
      </c>
      <c r="T82" s="339">
        <f t="shared" si="31"/>
        <v>0</v>
      </c>
      <c r="U82" s="339">
        <f t="shared" si="32"/>
        <v>0</v>
      </c>
      <c r="V82" s="339">
        <f t="shared" si="25"/>
        <v>0</v>
      </c>
      <c r="W82" s="339">
        <f t="shared" si="33"/>
        <v>0</v>
      </c>
      <c r="X82" s="339">
        <f t="shared" si="34"/>
        <v>0</v>
      </c>
      <c r="Y82" s="339">
        <f t="shared" si="28"/>
        <v>0</v>
      </c>
      <c r="Z82" s="339">
        <f t="shared" si="36"/>
        <v>1832.9168</v>
      </c>
      <c r="AA82" s="339">
        <f t="shared" si="37"/>
        <v>572</v>
      </c>
      <c r="AB82" s="339">
        <f t="shared" si="38"/>
        <v>0</v>
      </c>
      <c r="AC82" s="340">
        <f t="shared" si="39"/>
        <v>2404.9168</v>
      </c>
      <c r="AD82" s="341">
        <f t="shared" si="40"/>
        <v>262.7195999999999</v>
      </c>
      <c r="AE82" s="417">
        <f t="shared" si="41"/>
        <v>0.90151596371979337</v>
      </c>
    </row>
    <row r="83" spans="2:31" s="167" customFormat="1" ht="56.25" x14ac:dyDescent="0.25">
      <c r="B83" s="332" t="s">
        <v>213</v>
      </c>
      <c r="C83" s="333">
        <v>104233</v>
      </c>
      <c r="D83" s="334" t="s">
        <v>215</v>
      </c>
      <c r="E83" s="335" t="s">
        <v>17</v>
      </c>
      <c r="F83" s="336">
        <v>31.53</v>
      </c>
      <c r="G83" s="336">
        <v>466.37</v>
      </c>
      <c r="H83" s="337"/>
      <c r="I83" s="338"/>
      <c r="J83" s="338"/>
      <c r="K83" s="337"/>
      <c r="L83" s="337"/>
      <c r="M83" s="337"/>
      <c r="N83" s="337"/>
      <c r="O83" s="337">
        <f>'MEMORIAL DE CALCULO 08'!K427</f>
        <v>278.39999999999998</v>
      </c>
      <c r="P83" s="337"/>
      <c r="Q83" s="336">
        <f t="shared" si="35"/>
        <v>278.39999999999998</v>
      </c>
      <c r="R83" s="336">
        <f t="shared" si="42"/>
        <v>187.97000000000003</v>
      </c>
      <c r="S83" s="336">
        <f t="shared" si="43"/>
        <v>14704.6461</v>
      </c>
      <c r="T83" s="339">
        <f t="shared" si="31"/>
        <v>0</v>
      </c>
      <c r="U83" s="339">
        <f t="shared" si="32"/>
        <v>0</v>
      </c>
      <c r="V83" s="339">
        <f t="shared" si="25"/>
        <v>0</v>
      </c>
      <c r="W83" s="339">
        <f t="shared" si="33"/>
        <v>0</v>
      </c>
      <c r="X83" s="339">
        <f t="shared" si="34"/>
        <v>0</v>
      </c>
      <c r="Y83" s="339">
        <f t="shared" si="28"/>
        <v>0</v>
      </c>
      <c r="Z83" s="339">
        <f t="shared" si="36"/>
        <v>0</v>
      </c>
      <c r="AA83" s="339">
        <f t="shared" si="37"/>
        <v>8777.9500000000007</v>
      </c>
      <c r="AB83" s="339">
        <f t="shared" si="38"/>
        <v>0</v>
      </c>
      <c r="AC83" s="340">
        <f t="shared" si="39"/>
        <v>8777.9500000000007</v>
      </c>
      <c r="AD83" s="341">
        <f t="shared" si="40"/>
        <v>5926.6960999999992</v>
      </c>
      <c r="AE83" s="417">
        <f t="shared" si="41"/>
        <v>0.59695078278694524</v>
      </c>
    </row>
    <row r="84" spans="2:31" s="167" customFormat="1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07"/>
      <c r="O84" s="207"/>
      <c r="P84" s="207"/>
      <c r="Q84" s="206">
        <f t="shared" si="35"/>
        <v>0</v>
      </c>
      <c r="R84" s="206">
        <f t="shared" si="42"/>
        <v>32.5</v>
      </c>
      <c r="S84" s="206">
        <f t="shared" si="43"/>
        <v>5029.375</v>
      </c>
      <c r="T84" s="208">
        <f t="shared" si="31"/>
        <v>0</v>
      </c>
      <c r="U84" s="208">
        <f t="shared" si="32"/>
        <v>0</v>
      </c>
      <c r="V84" s="208">
        <f t="shared" si="25"/>
        <v>0</v>
      </c>
      <c r="W84" s="208">
        <f t="shared" si="33"/>
        <v>0</v>
      </c>
      <c r="X84" s="208">
        <f t="shared" si="34"/>
        <v>0</v>
      </c>
      <c r="Y84" s="208">
        <f t="shared" si="28"/>
        <v>0</v>
      </c>
      <c r="Z84" s="208">
        <f t="shared" si="36"/>
        <v>0</v>
      </c>
      <c r="AA84" s="208">
        <f t="shared" si="37"/>
        <v>0</v>
      </c>
      <c r="AB84" s="208">
        <f t="shared" si="38"/>
        <v>0</v>
      </c>
      <c r="AC84" s="209">
        <f t="shared" si="39"/>
        <v>0</v>
      </c>
      <c r="AD84" s="210">
        <f t="shared" si="40"/>
        <v>5029.375</v>
      </c>
      <c r="AE84" s="417">
        <f t="shared" si="41"/>
        <v>0</v>
      </c>
    </row>
    <row r="85" spans="2:31" s="167" customFormat="1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/>
      <c r="P85" s="206"/>
      <c r="Q85" s="206">
        <f t="shared" si="35"/>
        <v>0</v>
      </c>
      <c r="R85" s="206">
        <f t="shared" si="42"/>
        <v>29.5</v>
      </c>
      <c r="S85" s="206">
        <f t="shared" si="43"/>
        <v>6743.7</v>
      </c>
      <c r="T85" s="208">
        <f t="shared" si="31"/>
        <v>0</v>
      </c>
      <c r="U85" s="208">
        <f t="shared" si="32"/>
        <v>0</v>
      </c>
      <c r="V85" s="208">
        <f t="shared" si="25"/>
        <v>0</v>
      </c>
      <c r="W85" s="208">
        <f t="shared" si="33"/>
        <v>0</v>
      </c>
      <c r="X85" s="208">
        <f t="shared" si="34"/>
        <v>0</v>
      </c>
      <c r="Y85" s="208">
        <f t="shared" si="28"/>
        <v>0</v>
      </c>
      <c r="Z85" s="208">
        <f t="shared" si="36"/>
        <v>0</v>
      </c>
      <c r="AA85" s="208">
        <f t="shared" si="37"/>
        <v>0</v>
      </c>
      <c r="AB85" s="208">
        <f t="shared" si="38"/>
        <v>0</v>
      </c>
      <c r="AC85" s="209">
        <f t="shared" si="39"/>
        <v>0</v>
      </c>
      <c r="AD85" s="210">
        <f t="shared" si="40"/>
        <v>6743.7</v>
      </c>
      <c r="AE85" s="417">
        <f t="shared" si="41"/>
        <v>0</v>
      </c>
    </row>
    <row r="86" spans="2:31" s="167" customFormat="1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/>
      <c r="P86" s="206"/>
      <c r="Q86" s="206">
        <f t="shared" si="35"/>
        <v>0</v>
      </c>
      <c r="R86" s="206">
        <f t="shared" si="42"/>
        <v>404.37</v>
      </c>
      <c r="S86" s="206">
        <f t="shared" si="43"/>
        <v>1107.9738000000002</v>
      </c>
      <c r="T86" s="208">
        <f t="shared" si="31"/>
        <v>0</v>
      </c>
      <c r="U86" s="208">
        <f t="shared" si="32"/>
        <v>0</v>
      </c>
      <c r="V86" s="208">
        <f t="shared" si="25"/>
        <v>0</v>
      </c>
      <c r="W86" s="208">
        <f t="shared" si="33"/>
        <v>0</v>
      </c>
      <c r="X86" s="208">
        <f t="shared" si="34"/>
        <v>0</v>
      </c>
      <c r="Y86" s="208">
        <f t="shared" si="28"/>
        <v>0</v>
      </c>
      <c r="Z86" s="208">
        <f t="shared" si="36"/>
        <v>0</v>
      </c>
      <c r="AA86" s="208">
        <f t="shared" si="37"/>
        <v>0</v>
      </c>
      <c r="AB86" s="208">
        <f t="shared" si="38"/>
        <v>0</v>
      </c>
      <c r="AC86" s="209">
        <f t="shared" si="39"/>
        <v>0</v>
      </c>
      <c r="AD86" s="210">
        <f t="shared" si="40"/>
        <v>1107.9738000000002</v>
      </c>
      <c r="AE86" s="417">
        <f t="shared" si="41"/>
        <v>0</v>
      </c>
    </row>
    <row r="87" spans="2:31" s="167" customFormat="1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/>
      <c r="P87" s="206"/>
      <c r="Q87" s="206">
        <f t="shared" si="35"/>
        <v>0</v>
      </c>
      <c r="R87" s="206">
        <f t="shared" si="42"/>
        <v>404.37</v>
      </c>
      <c r="S87" s="206">
        <f t="shared" si="43"/>
        <v>6918.7707</v>
      </c>
      <c r="T87" s="208">
        <f t="shared" si="31"/>
        <v>0</v>
      </c>
      <c r="U87" s="208">
        <f t="shared" si="32"/>
        <v>0</v>
      </c>
      <c r="V87" s="208">
        <f t="shared" si="25"/>
        <v>0</v>
      </c>
      <c r="W87" s="208">
        <f t="shared" si="33"/>
        <v>0</v>
      </c>
      <c r="X87" s="208">
        <f t="shared" si="34"/>
        <v>0</v>
      </c>
      <c r="Y87" s="208">
        <f t="shared" si="28"/>
        <v>0</v>
      </c>
      <c r="Z87" s="208">
        <f t="shared" si="36"/>
        <v>0</v>
      </c>
      <c r="AA87" s="208">
        <f t="shared" si="37"/>
        <v>0</v>
      </c>
      <c r="AB87" s="208">
        <f t="shared" si="38"/>
        <v>0</v>
      </c>
      <c r="AC87" s="209">
        <f t="shared" si="39"/>
        <v>0</v>
      </c>
      <c r="AD87" s="210">
        <f t="shared" si="40"/>
        <v>6918.7707</v>
      </c>
      <c r="AE87" s="417">
        <f t="shared" si="41"/>
        <v>0</v>
      </c>
    </row>
    <row r="88" spans="2:31" s="167" customFormat="1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/>
      <c r="P88" s="206"/>
      <c r="Q88" s="206">
        <f t="shared" si="35"/>
        <v>0</v>
      </c>
      <c r="R88" s="206">
        <f t="shared" si="42"/>
        <v>404.37</v>
      </c>
      <c r="S88" s="206">
        <f t="shared" si="43"/>
        <v>4917.1392000000005</v>
      </c>
      <c r="T88" s="208">
        <f t="shared" si="31"/>
        <v>0</v>
      </c>
      <c r="U88" s="208">
        <f t="shared" si="32"/>
        <v>0</v>
      </c>
      <c r="V88" s="208">
        <f t="shared" si="25"/>
        <v>0</v>
      </c>
      <c r="W88" s="208">
        <f t="shared" si="33"/>
        <v>0</v>
      </c>
      <c r="X88" s="208">
        <f t="shared" si="34"/>
        <v>0</v>
      </c>
      <c r="Y88" s="208">
        <f t="shared" si="28"/>
        <v>0</v>
      </c>
      <c r="Z88" s="208">
        <f t="shared" si="36"/>
        <v>0</v>
      </c>
      <c r="AA88" s="208">
        <f t="shared" si="37"/>
        <v>0</v>
      </c>
      <c r="AB88" s="208">
        <f t="shared" si="38"/>
        <v>0</v>
      </c>
      <c r="AC88" s="209">
        <f t="shared" si="39"/>
        <v>0</v>
      </c>
      <c r="AD88" s="210">
        <f t="shared" si="40"/>
        <v>4917.1392000000005</v>
      </c>
      <c r="AE88" s="417">
        <f t="shared" si="41"/>
        <v>0</v>
      </c>
    </row>
    <row r="89" spans="2:31" s="167" customFormat="1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>
        <f t="shared" si="35"/>
        <v>0</v>
      </c>
      <c r="R89" s="206"/>
      <c r="S89" s="206"/>
      <c r="T89" s="208">
        <f t="shared" si="31"/>
        <v>0</v>
      </c>
      <c r="U89" s="208">
        <f t="shared" si="32"/>
        <v>0</v>
      </c>
      <c r="V89" s="208">
        <f t="shared" si="25"/>
        <v>0</v>
      </c>
      <c r="W89" s="208">
        <f t="shared" si="33"/>
        <v>0</v>
      </c>
      <c r="X89" s="208">
        <f t="shared" si="34"/>
        <v>0</v>
      </c>
      <c r="Y89" s="208">
        <f t="shared" si="28"/>
        <v>0</v>
      </c>
      <c r="Z89" s="208">
        <f t="shared" si="36"/>
        <v>0</v>
      </c>
      <c r="AA89" s="208">
        <f t="shared" si="37"/>
        <v>0</v>
      </c>
      <c r="AB89" s="208">
        <f t="shared" si="38"/>
        <v>0</v>
      </c>
      <c r="AC89" s="209">
        <f t="shared" si="39"/>
        <v>0</v>
      </c>
      <c r="AD89" s="210">
        <f t="shared" si="40"/>
        <v>0</v>
      </c>
      <c r="AE89" s="417"/>
    </row>
    <row r="90" spans="2:31" s="167" customFormat="1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/>
      <c r="P90" s="206"/>
      <c r="Q90" s="206">
        <f t="shared" si="35"/>
        <v>0</v>
      </c>
      <c r="R90" s="206">
        <f t="shared" ref="R90:R117" si="44">G90-Q90</f>
        <v>117</v>
      </c>
      <c r="S90" s="206">
        <f t="shared" ref="S90:S117" si="45">F90*G90</f>
        <v>1573.6499999999999</v>
      </c>
      <c r="T90" s="208">
        <f t="shared" si="31"/>
        <v>0</v>
      </c>
      <c r="U90" s="208">
        <f t="shared" si="32"/>
        <v>0</v>
      </c>
      <c r="V90" s="208">
        <f t="shared" si="25"/>
        <v>0</v>
      </c>
      <c r="W90" s="208">
        <f t="shared" si="33"/>
        <v>0</v>
      </c>
      <c r="X90" s="208">
        <f t="shared" si="34"/>
        <v>0</v>
      </c>
      <c r="Y90" s="208">
        <f t="shared" si="28"/>
        <v>0</v>
      </c>
      <c r="Z90" s="208">
        <f t="shared" si="36"/>
        <v>0</v>
      </c>
      <c r="AA90" s="208">
        <f t="shared" si="37"/>
        <v>0</v>
      </c>
      <c r="AB90" s="208">
        <f t="shared" si="38"/>
        <v>0</v>
      </c>
      <c r="AC90" s="209">
        <f t="shared" si="39"/>
        <v>0</v>
      </c>
      <c r="AD90" s="210">
        <f t="shared" si="40"/>
        <v>1573.6499999999999</v>
      </c>
      <c r="AE90" s="417">
        <f t="shared" si="41"/>
        <v>0</v>
      </c>
    </row>
    <row r="91" spans="2:31" s="167" customFormat="1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/>
      <c r="P91" s="206"/>
      <c r="Q91" s="206">
        <f t="shared" si="35"/>
        <v>0</v>
      </c>
      <c r="R91" s="206">
        <f t="shared" si="44"/>
        <v>76</v>
      </c>
      <c r="S91" s="206">
        <f t="shared" si="45"/>
        <v>846.6400000000001</v>
      </c>
      <c r="T91" s="208">
        <f t="shared" si="31"/>
        <v>0</v>
      </c>
      <c r="U91" s="208">
        <f t="shared" si="32"/>
        <v>0</v>
      </c>
      <c r="V91" s="208">
        <f t="shared" ref="V91:V122" si="46">F91*J91</f>
        <v>0</v>
      </c>
      <c r="W91" s="208">
        <f t="shared" si="33"/>
        <v>0</v>
      </c>
      <c r="X91" s="208">
        <f t="shared" si="34"/>
        <v>0</v>
      </c>
      <c r="Y91" s="208">
        <f t="shared" si="28"/>
        <v>0</v>
      </c>
      <c r="Z91" s="208">
        <f t="shared" si="36"/>
        <v>0</v>
      </c>
      <c r="AA91" s="208">
        <f t="shared" si="37"/>
        <v>0</v>
      </c>
      <c r="AB91" s="208">
        <f t="shared" si="38"/>
        <v>0</v>
      </c>
      <c r="AC91" s="209">
        <f t="shared" si="39"/>
        <v>0</v>
      </c>
      <c r="AD91" s="210">
        <f t="shared" si="40"/>
        <v>846.6400000000001</v>
      </c>
      <c r="AE91" s="417">
        <f t="shared" si="41"/>
        <v>0</v>
      </c>
    </row>
    <row r="92" spans="2:31" s="167" customFormat="1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/>
      <c r="P92" s="206"/>
      <c r="Q92" s="206">
        <f t="shared" si="35"/>
        <v>0</v>
      </c>
      <c r="R92" s="206">
        <f t="shared" si="44"/>
        <v>1253.8</v>
      </c>
      <c r="S92" s="206">
        <f t="shared" si="45"/>
        <v>3385.26</v>
      </c>
      <c r="T92" s="208">
        <f t="shared" si="31"/>
        <v>0</v>
      </c>
      <c r="U92" s="208">
        <f t="shared" si="32"/>
        <v>0</v>
      </c>
      <c r="V92" s="208">
        <f t="shared" si="46"/>
        <v>0</v>
      </c>
      <c r="W92" s="208">
        <f t="shared" si="33"/>
        <v>0</v>
      </c>
      <c r="X92" s="208">
        <f t="shared" si="34"/>
        <v>0</v>
      </c>
      <c r="Y92" s="208">
        <f t="shared" si="28"/>
        <v>0</v>
      </c>
      <c r="Z92" s="208">
        <f t="shared" si="36"/>
        <v>0</v>
      </c>
      <c r="AA92" s="208">
        <f t="shared" si="37"/>
        <v>0</v>
      </c>
      <c r="AB92" s="208">
        <f t="shared" si="38"/>
        <v>0</v>
      </c>
      <c r="AC92" s="209">
        <f t="shared" si="39"/>
        <v>0</v>
      </c>
      <c r="AD92" s="210">
        <f t="shared" si="40"/>
        <v>3385.26</v>
      </c>
      <c r="AE92" s="417">
        <f t="shared" si="41"/>
        <v>0</v>
      </c>
    </row>
    <row r="93" spans="2:31" s="167" customFormat="1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/>
      <c r="P93" s="206"/>
      <c r="Q93" s="206">
        <f t="shared" si="35"/>
        <v>0</v>
      </c>
      <c r="R93" s="206">
        <f t="shared" si="44"/>
        <v>1496.3</v>
      </c>
      <c r="S93" s="206">
        <f t="shared" si="45"/>
        <v>5955.2739999999994</v>
      </c>
      <c r="T93" s="208">
        <f t="shared" si="31"/>
        <v>0</v>
      </c>
      <c r="U93" s="208">
        <f t="shared" si="32"/>
        <v>0</v>
      </c>
      <c r="V93" s="208">
        <f t="shared" si="46"/>
        <v>0</v>
      </c>
      <c r="W93" s="208">
        <f t="shared" si="33"/>
        <v>0</v>
      </c>
      <c r="X93" s="208">
        <f t="shared" si="34"/>
        <v>0</v>
      </c>
      <c r="Y93" s="208">
        <f t="shared" si="28"/>
        <v>0</v>
      </c>
      <c r="Z93" s="208">
        <f t="shared" si="36"/>
        <v>0</v>
      </c>
      <c r="AA93" s="208">
        <f t="shared" si="37"/>
        <v>0</v>
      </c>
      <c r="AB93" s="208">
        <f t="shared" si="38"/>
        <v>0</v>
      </c>
      <c r="AC93" s="209">
        <f t="shared" si="39"/>
        <v>0</v>
      </c>
      <c r="AD93" s="210">
        <f t="shared" si="40"/>
        <v>5955.2739999999994</v>
      </c>
      <c r="AE93" s="417">
        <f t="shared" si="41"/>
        <v>0</v>
      </c>
    </row>
    <row r="94" spans="2:31" s="167" customFormat="1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16"/>
      <c r="P94" s="216"/>
      <c r="Q94" s="206">
        <f t="shared" si="35"/>
        <v>0</v>
      </c>
      <c r="R94" s="206">
        <f t="shared" si="44"/>
        <v>284.60000000000002</v>
      </c>
      <c r="S94" s="206">
        <f t="shared" si="45"/>
        <v>1773.0580000000002</v>
      </c>
      <c r="T94" s="208">
        <f t="shared" si="31"/>
        <v>0</v>
      </c>
      <c r="U94" s="208">
        <f t="shared" si="32"/>
        <v>0</v>
      </c>
      <c r="V94" s="208">
        <f t="shared" si="46"/>
        <v>0</v>
      </c>
      <c r="W94" s="208">
        <f t="shared" si="33"/>
        <v>0</v>
      </c>
      <c r="X94" s="208">
        <f t="shared" si="34"/>
        <v>0</v>
      </c>
      <c r="Y94" s="208">
        <f t="shared" si="28"/>
        <v>0</v>
      </c>
      <c r="Z94" s="208">
        <f t="shared" si="36"/>
        <v>0</v>
      </c>
      <c r="AA94" s="208">
        <f t="shared" si="37"/>
        <v>0</v>
      </c>
      <c r="AB94" s="208">
        <f t="shared" si="38"/>
        <v>0</v>
      </c>
      <c r="AC94" s="209">
        <f t="shared" si="39"/>
        <v>0</v>
      </c>
      <c r="AD94" s="210">
        <f t="shared" si="40"/>
        <v>1773.0580000000002</v>
      </c>
      <c r="AE94" s="417">
        <f t="shared" si="41"/>
        <v>0</v>
      </c>
    </row>
    <row r="95" spans="2:31" s="167" customFormat="1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/>
      <c r="P95" s="206"/>
      <c r="Q95" s="206">
        <f t="shared" si="35"/>
        <v>0</v>
      </c>
      <c r="R95" s="206">
        <f t="shared" si="44"/>
        <v>224</v>
      </c>
      <c r="S95" s="206">
        <f t="shared" si="45"/>
        <v>2130.2399999999998</v>
      </c>
      <c r="T95" s="208">
        <f t="shared" si="31"/>
        <v>0</v>
      </c>
      <c r="U95" s="208">
        <f t="shared" si="32"/>
        <v>0</v>
      </c>
      <c r="V95" s="208">
        <f t="shared" si="46"/>
        <v>0</v>
      </c>
      <c r="W95" s="208">
        <f t="shared" si="33"/>
        <v>0</v>
      </c>
      <c r="X95" s="208">
        <f t="shared" si="34"/>
        <v>0</v>
      </c>
      <c r="Y95" s="208">
        <f t="shared" si="28"/>
        <v>0</v>
      </c>
      <c r="Z95" s="208">
        <f t="shared" si="36"/>
        <v>0</v>
      </c>
      <c r="AA95" s="208">
        <f t="shared" si="37"/>
        <v>0</v>
      </c>
      <c r="AB95" s="208">
        <f t="shared" si="38"/>
        <v>0</v>
      </c>
      <c r="AC95" s="209">
        <f t="shared" si="39"/>
        <v>0</v>
      </c>
      <c r="AD95" s="210">
        <f t="shared" si="40"/>
        <v>2130.2399999999998</v>
      </c>
      <c r="AE95" s="417">
        <f t="shared" si="41"/>
        <v>0</v>
      </c>
    </row>
    <row r="96" spans="2:31" s="167" customFormat="1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/>
      <c r="P96" s="206"/>
      <c r="Q96" s="206">
        <f t="shared" si="35"/>
        <v>0</v>
      </c>
      <c r="R96" s="206">
        <f t="shared" si="44"/>
        <v>2</v>
      </c>
      <c r="S96" s="206">
        <f t="shared" si="45"/>
        <v>202.34</v>
      </c>
      <c r="T96" s="208">
        <f t="shared" si="31"/>
        <v>0</v>
      </c>
      <c r="U96" s="208">
        <f t="shared" si="32"/>
        <v>0</v>
      </c>
      <c r="V96" s="208">
        <f t="shared" si="46"/>
        <v>0</v>
      </c>
      <c r="W96" s="208">
        <f t="shared" si="33"/>
        <v>0</v>
      </c>
      <c r="X96" s="208">
        <f t="shared" si="34"/>
        <v>0</v>
      </c>
      <c r="Y96" s="208">
        <f t="shared" si="28"/>
        <v>0</v>
      </c>
      <c r="Z96" s="208">
        <f t="shared" si="36"/>
        <v>0</v>
      </c>
      <c r="AA96" s="208">
        <f t="shared" si="37"/>
        <v>0</v>
      </c>
      <c r="AB96" s="208">
        <f t="shared" si="38"/>
        <v>0</v>
      </c>
      <c r="AC96" s="209">
        <f t="shared" si="39"/>
        <v>0</v>
      </c>
      <c r="AD96" s="210">
        <f t="shared" si="40"/>
        <v>202.34</v>
      </c>
      <c r="AE96" s="417">
        <f t="shared" si="41"/>
        <v>0</v>
      </c>
    </row>
    <row r="97" spans="2:31" s="167" customFormat="1" ht="22.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/>
      <c r="P97" s="206"/>
      <c r="Q97" s="206">
        <f t="shared" si="35"/>
        <v>0</v>
      </c>
      <c r="R97" s="206">
        <f t="shared" si="44"/>
        <v>19</v>
      </c>
      <c r="S97" s="206">
        <f t="shared" si="45"/>
        <v>291.64999999999998</v>
      </c>
      <c r="T97" s="208">
        <f t="shared" si="31"/>
        <v>0</v>
      </c>
      <c r="U97" s="208">
        <f t="shared" si="32"/>
        <v>0</v>
      </c>
      <c r="V97" s="208">
        <f t="shared" si="46"/>
        <v>0</v>
      </c>
      <c r="W97" s="208">
        <f t="shared" si="33"/>
        <v>0</v>
      </c>
      <c r="X97" s="208">
        <f t="shared" si="34"/>
        <v>0</v>
      </c>
      <c r="Y97" s="208">
        <f t="shared" si="28"/>
        <v>0</v>
      </c>
      <c r="Z97" s="208">
        <f t="shared" si="36"/>
        <v>0</v>
      </c>
      <c r="AA97" s="208">
        <f t="shared" si="37"/>
        <v>0</v>
      </c>
      <c r="AB97" s="208">
        <f t="shared" si="38"/>
        <v>0</v>
      </c>
      <c r="AC97" s="209">
        <f t="shared" si="39"/>
        <v>0</v>
      </c>
      <c r="AD97" s="210">
        <f t="shared" si="40"/>
        <v>291.64999999999998</v>
      </c>
      <c r="AE97" s="417">
        <f t="shared" si="41"/>
        <v>0</v>
      </c>
    </row>
    <row r="98" spans="2:31" s="167" customFormat="1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/>
      <c r="P98" s="206"/>
      <c r="Q98" s="206">
        <f t="shared" si="35"/>
        <v>0</v>
      </c>
      <c r="R98" s="206">
        <f t="shared" si="44"/>
        <v>1</v>
      </c>
      <c r="S98" s="206">
        <f t="shared" si="45"/>
        <v>73.97</v>
      </c>
      <c r="T98" s="208">
        <f t="shared" si="31"/>
        <v>0</v>
      </c>
      <c r="U98" s="208">
        <f t="shared" si="32"/>
        <v>0</v>
      </c>
      <c r="V98" s="208">
        <f t="shared" si="46"/>
        <v>0</v>
      </c>
      <c r="W98" s="208">
        <f t="shared" si="33"/>
        <v>0</v>
      </c>
      <c r="X98" s="208">
        <f t="shared" si="34"/>
        <v>0</v>
      </c>
      <c r="Y98" s="208">
        <f t="shared" ref="Y98:Y129" si="47">M98*F98</f>
        <v>0</v>
      </c>
      <c r="Z98" s="208">
        <f t="shared" si="36"/>
        <v>0</v>
      </c>
      <c r="AA98" s="208">
        <f t="shared" si="37"/>
        <v>0</v>
      </c>
      <c r="AB98" s="208">
        <f t="shared" si="38"/>
        <v>0</v>
      </c>
      <c r="AC98" s="209">
        <f t="shared" si="39"/>
        <v>0</v>
      </c>
      <c r="AD98" s="210">
        <f t="shared" si="40"/>
        <v>73.97</v>
      </c>
      <c r="AE98" s="417">
        <f t="shared" si="41"/>
        <v>0</v>
      </c>
    </row>
    <row r="99" spans="2:31" s="167" customFormat="1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/>
      <c r="P99" s="206"/>
      <c r="Q99" s="206">
        <f t="shared" si="35"/>
        <v>0</v>
      </c>
      <c r="R99" s="206">
        <f t="shared" si="44"/>
        <v>1</v>
      </c>
      <c r="S99" s="206">
        <f t="shared" si="45"/>
        <v>77.569999999999993</v>
      </c>
      <c r="T99" s="208">
        <f t="shared" si="31"/>
        <v>0</v>
      </c>
      <c r="U99" s="208">
        <f t="shared" si="32"/>
        <v>0</v>
      </c>
      <c r="V99" s="208">
        <f t="shared" si="46"/>
        <v>0</v>
      </c>
      <c r="W99" s="208">
        <f t="shared" si="33"/>
        <v>0</v>
      </c>
      <c r="X99" s="208">
        <f t="shared" si="34"/>
        <v>0</v>
      </c>
      <c r="Y99" s="208">
        <f t="shared" si="47"/>
        <v>0</v>
      </c>
      <c r="Z99" s="208">
        <f t="shared" si="36"/>
        <v>0</v>
      </c>
      <c r="AA99" s="208">
        <f t="shared" si="37"/>
        <v>0</v>
      </c>
      <c r="AB99" s="208">
        <f t="shared" si="38"/>
        <v>0</v>
      </c>
      <c r="AC99" s="209">
        <f t="shared" si="39"/>
        <v>0</v>
      </c>
      <c r="AD99" s="210">
        <f t="shared" si="40"/>
        <v>77.569999999999993</v>
      </c>
      <c r="AE99" s="417">
        <f t="shared" si="41"/>
        <v>0</v>
      </c>
    </row>
    <row r="100" spans="2:31" s="167" customFormat="1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/>
      <c r="P100" s="206"/>
      <c r="Q100" s="206">
        <f t="shared" si="35"/>
        <v>0</v>
      </c>
      <c r="R100" s="206">
        <f t="shared" si="44"/>
        <v>6</v>
      </c>
      <c r="S100" s="206">
        <f t="shared" si="45"/>
        <v>448.86</v>
      </c>
      <c r="T100" s="208">
        <f t="shared" si="31"/>
        <v>0</v>
      </c>
      <c r="U100" s="208">
        <f t="shared" si="32"/>
        <v>0</v>
      </c>
      <c r="V100" s="208">
        <f t="shared" si="46"/>
        <v>0</v>
      </c>
      <c r="W100" s="208">
        <f t="shared" si="33"/>
        <v>0</v>
      </c>
      <c r="X100" s="208">
        <f t="shared" si="34"/>
        <v>0</v>
      </c>
      <c r="Y100" s="208">
        <f t="shared" si="47"/>
        <v>0</v>
      </c>
      <c r="Z100" s="208">
        <f t="shared" si="36"/>
        <v>0</v>
      </c>
      <c r="AA100" s="208">
        <f t="shared" si="37"/>
        <v>0</v>
      </c>
      <c r="AB100" s="208">
        <f t="shared" si="38"/>
        <v>0</v>
      </c>
      <c r="AC100" s="209">
        <f t="shared" si="39"/>
        <v>0</v>
      </c>
      <c r="AD100" s="210">
        <f t="shared" si="40"/>
        <v>448.86</v>
      </c>
      <c r="AE100" s="417">
        <f t="shared" si="41"/>
        <v>0</v>
      </c>
    </row>
    <row r="101" spans="2:31" s="167" customFormat="1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/>
      <c r="P101" s="206"/>
      <c r="Q101" s="206">
        <f t="shared" si="35"/>
        <v>0</v>
      </c>
      <c r="R101" s="206">
        <f t="shared" si="44"/>
        <v>1</v>
      </c>
      <c r="S101" s="206">
        <f t="shared" si="45"/>
        <v>136.80000000000001</v>
      </c>
      <c r="T101" s="208">
        <f t="shared" si="31"/>
        <v>0</v>
      </c>
      <c r="U101" s="208">
        <f t="shared" si="32"/>
        <v>0</v>
      </c>
      <c r="V101" s="208">
        <f t="shared" si="46"/>
        <v>0</v>
      </c>
      <c r="W101" s="208">
        <f t="shared" si="33"/>
        <v>0</v>
      </c>
      <c r="X101" s="208">
        <f t="shared" si="34"/>
        <v>0</v>
      </c>
      <c r="Y101" s="208">
        <f t="shared" si="47"/>
        <v>0</v>
      </c>
      <c r="Z101" s="208">
        <f t="shared" si="36"/>
        <v>0</v>
      </c>
      <c r="AA101" s="208">
        <f t="shared" si="37"/>
        <v>0</v>
      </c>
      <c r="AB101" s="208">
        <f t="shared" si="38"/>
        <v>0</v>
      </c>
      <c r="AC101" s="209">
        <f t="shared" si="39"/>
        <v>0</v>
      </c>
      <c r="AD101" s="210">
        <f t="shared" si="40"/>
        <v>136.80000000000001</v>
      </c>
      <c r="AE101" s="417">
        <f t="shared" si="41"/>
        <v>0</v>
      </c>
    </row>
    <row r="102" spans="2:31" s="167" customFormat="1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/>
      <c r="P102" s="206"/>
      <c r="Q102" s="206">
        <f t="shared" si="35"/>
        <v>0</v>
      </c>
      <c r="R102" s="206">
        <f t="shared" si="44"/>
        <v>1</v>
      </c>
      <c r="S102" s="206">
        <f t="shared" si="45"/>
        <v>139.25</v>
      </c>
      <c r="T102" s="208">
        <f t="shared" si="31"/>
        <v>0</v>
      </c>
      <c r="U102" s="208">
        <f t="shared" si="32"/>
        <v>0</v>
      </c>
      <c r="V102" s="208">
        <f t="shared" si="46"/>
        <v>0</v>
      </c>
      <c r="W102" s="208">
        <f t="shared" si="33"/>
        <v>0</v>
      </c>
      <c r="X102" s="208">
        <f t="shared" si="34"/>
        <v>0</v>
      </c>
      <c r="Y102" s="208">
        <f t="shared" si="47"/>
        <v>0</v>
      </c>
      <c r="Z102" s="208">
        <f t="shared" si="36"/>
        <v>0</v>
      </c>
      <c r="AA102" s="208">
        <f t="shared" si="37"/>
        <v>0</v>
      </c>
      <c r="AB102" s="208">
        <f t="shared" si="38"/>
        <v>0</v>
      </c>
      <c r="AC102" s="209">
        <f t="shared" si="39"/>
        <v>0</v>
      </c>
      <c r="AD102" s="210">
        <f t="shared" si="40"/>
        <v>139.25</v>
      </c>
      <c r="AE102" s="417">
        <f t="shared" si="41"/>
        <v>0</v>
      </c>
    </row>
    <row r="103" spans="2:31" s="167" customFormat="1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/>
      <c r="P103" s="206"/>
      <c r="Q103" s="206">
        <f t="shared" si="35"/>
        <v>0</v>
      </c>
      <c r="R103" s="206">
        <f t="shared" si="44"/>
        <v>23</v>
      </c>
      <c r="S103" s="206">
        <f t="shared" si="45"/>
        <v>593.4</v>
      </c>
      <c r="T103" s="208">
        <f t="shared" si="31"/>
        <v>0</v>
      </c>
      <c r="U103" s="208">
        <f t="shared" si="32"/>
        <v>0</v>
      </c>
      <c r="V103" s="208">
        <f t="shared" si="46"/>
        <v>0</v>
      </c>
      <c r="W103" s="208">
        <f t="shared" si="33"/>
        <v>0</v>
      </c>
      <c r="X103" s="208">
        <f t="shared" si="34"/>
        <v>0</v>
      </c>
      <c r="Y103" s="208">
        <f t="shared" si="47"/>
        <v>0</v>
      </c>
      <c r="Z103" s="208">
        <f t="shared" si="36"/>
        <v>0</v>
      </c>
      <c r="AA103" s="208">
        <f t="shared" si="37"/>
        <v>0</v>
      </c>
      <c r="AB103" s="208">
        <f t="shared" si="38"/>
        <v>0</v>
      </c>
      <c r="AC103" s="209">
        <f t="shared" si="39"/>
        <v>0</v>
      </c>
      <c r="AD103" s="210">
        <f t="shared" si="40"/>
        <v>593.4</v>
      </c>
      <c r="AE103" s="417">
        <f t="shared" si="41"/>
        <v>0</v>
      </c>
    </row>
    <row r="104" spans="2:31" s="167" customFormat="1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/>
      <c r="P104" s="206"/>
      <c r="Q104" s="206">
        <f t="shared" si="35"/>
        <v>0</v>
      </c>
      <c r="R104" s="206">
        <f t="shared" si="44"/>
        <v>1</v>
      </c>
      <c r="S104" s="206">
        <f t="shared" si="45"/>
        <v>53.44</v>
      </c>
      <c r="T104" s="208">
        <f t="shared" si="31"/>
        <v>0</v>
      </c>
      <c r="U104" s="208">
        <f t="shared" si="32"/>
        <v>0</v>
      </c>
      <c r="V104" s="208">
        <f t="shared" si="46"/>
        <v>0</v>
      </c>
      <c r="W104" s="208">
        <f t="shared" si="33"/>
        <v>0</v>
      </c>
      <c r="X104" s="208">
        <f t="shared" si="34"/>
        <v>0</v>
      </c>
      <c r="Y104" s="208">
        <f t="shared" si="47"/>
        <v>0</v>
      </c>
      <c r="Z104" s="208">
        <f t="shared" si="36"/>
        <v>0</v>
      </c>
      <c r="AA104" s="208">
        <f t="shared" si="37"/>
        <v>0</v>
      </c>
      <c r="AB104" s="208">
        <f t="shared" si="38"/>
        <v>0</v>
      </c>
      <c r="AC104" s="209">
        <f t="shared" si="39"/>
        <v>0</v>
      </c>
      <c r="AD104" s="210">
        <f t="shared" si="40"/>
        <v>53.44</v>
      </c>
      <c r="AE104" s="417">
        <f t="shared" si="41"/>
        <v>0</v>
      </c>
    </row>
    <row r="105" spans="2:31" s="167" customFormat="1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/>
      <c r="P105" s="206"/>
      <c r="Q105" s="206">
        <f t="shared" si="35"/>
        <v>0</v>
      </c>
      <c r="R105" s="206">
        <f t="shared" si="44"/>
        <v>54</v>
      </c>
      <c r="S105" s="206">
        <f t="shared" si="45"/>
        <v>1468.26</v>
      </c>
      <c r="T105" s="208">
        <f t="shared" si="31"/>
        <v>0</v>
      </c>
      <c r="U105" s="208">
        <f t="shared" si="32"/>
        <v>0</v>
      </c>
      <c r="V105" s="208">
        <f t="shared" si="46"/>
        <v>0</v>
      </c>
      <c r="W105" s="208">
        <f t="shared" si="33"/>
        <v>0</v>
      </c>
      <c r="X105" s="208">
        <f t="shared" si="34"/>
        <v>0</v>
      </c>
      <c r="Y105" s="208">
        <f t="shared" si="47"/>
        <v>0</v>
      </c>
      <c r="Z105" s="208">
        <f t="shared" si="36"/>
        <v>0</v>
      </c>
      <c r="AA105" s="208">
        <f t="shared" si="37"/>
        <v>0</v>
      </c>
      <c r="AB105" s="208">
        <f t="shared" si="38"/>
        <v>0</v>
      </c>
      <c r="AC105" s="209">
        <f t="shared" si="39"/>
        <v>0</v>
      </c>
      <c r="AD105" s="210">
        <f t="shared" si="40"/>
        <v>1468.26</v>
      </c>
      <c r="AE105" s="417">
        <f t="shared" si="41"/>
        <v>0</v>
      </c>
    </row>
    <row r="106" spans="2:31" s="167" customFormat="1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/>
      <c r="P106" s="206"/>
      <c r="Q106" s="206">
        <f t="shared" si="35"/>
        <v>0</v>
      </c>
      <c r="R106" s="206">
        <f t="shared" si="44"/>
        <v>8</v>
      </c>
      <c r="S106" s="206">
        <f t="shared" si="45"/>
        <v>338.8</v>
      </c>
      <c r="T106" s="208">
        <f t="shared" si="31"/>
        <v>0</v>
      </c>
      <c r="U106" s="208">
        <f t="shared" si="32"/>
        <v>0</v>
      </c>
      <c r="V106" s="208">
        <f t="shared" si="46"/>
        <v>0</v>
      </c>
      <c r="W106" s="208">
        <f t="shared" si="33"/>
        <v>0</v>
      </c>
      <c r="X106" s="208">
        <f t="shared" si="34"/>
        <v>0</v>
      </c>
      <c r="Y106" s="208">
        <f t="shared" si="47"/>
        <v>0</v>
      </c>
      <c r="Z106" s="208">
        <f t="shared" si="36"/>
        <v>0</v>
      </c>
      <c r="AA106" s="208">
        <f t="shared" si="37"/>
        <v>0</v>
      </c>
      <c r="AB106" s="208">
        <f t="shared" si="38"/>
        <v>0</v>
      </c>
      <c r="AC106" s="209">
        <f t="shared" si="39"/>
        <v>0</v>
      </c>
      <c r="AD106" s="210">
        <f t="shared" si="40"/>
        <v>338.8</v>
      </c>
      <c r="AE106" s="417">
        <f t="shared" si="41"/>
        <v>0</v>
      </c>
    </row>
    <row r="107" spans="2:31" s="167" customFormat="1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16"/>
      <c r="P107" s="216"/>
      <c r="Q107" s="206">
        <f t="shared" si="35"/>
        <v>0</v>
      </c>
      <c r="R107" s="206">
        <f t="shared" si="44"/>
        <v>2</v>
      </c>
      <c r="S107" s="206">
        <f t="shared" si="45"/>
        <v>79.239999999999995</v>
      </c>
      <c r="T107" s="208">
        <f t="shared" si="31"/>
        <v>0</v>
      </c>
      <c r="U107" s="208">
        <f t="shared" si="32"/>
        <v>0</v>
      </c>
      <c r="V107" s="208">
        <f t="shared" si="46"/>
        <v>0</v>
      </c>
      <c r="W107" s="208">
        <f t="shared" si="33"/>
        <v>0</v>
      </c>
      <c r="X107" s="208">
        <f t="shared" si="34"/>
        <v>0</v>
      </c>
      <c r="Y107" s="208">
        <f t="shared" si="47"/>
        <v>0</v>
      </c>
      <c r="Z107" s="208">
        <f t="shared" si="36"/>
        <v>0</v>
      </c>
      <c r="AA107" s="208">
        <f t="shared" si="37"/>
        <v>0</v>
      </c>
      <c r="AB107" s="208">
        <f t="shared" si="38"/>
        <v>0</v>
      </c>
      <c r="AC107" s="209">
        <f t="shared" si="39"/>
        <v>0</v>
      </c>
      <c r="AD107" s="210">
        <f t="shared" si="40"/>
        <v>79.239999999999995</v>
      </c>
      <c r="AE107" s="417">
        <f t="shared" si="41"/>
        <v>0</v>
      </c>
    </row>
    <row r="108" spans="2:31" s="167" customFormat="1" ht="33.75" x14ac:dyDescent="0.25">
      <c r="B108" s="332" t="s">
        <v>284</v>
      </c>
      <c r="C108" s="333">
        <v>91834</v>
      </c>
      <c r="D108" s="342" t="s">
        <v>286</v>
      </c>
      <c r="E108" s="414" t="s">
        <v>37</v>
      </c>
      <c r="F108" s="414">
        <v>9.77</v>
      </c>
      <c r="G108" s="336">
        <v>830.48</v>
      </c>
      <c r="H108" s="343"/>
      <c r="I108" s="343"/>
      <c r="J108" s="338"/>
      <c r="K108" s="343"/>
      <c r="L108" s="343"/>
      <c r="M108" s="338">
        <f>'MEMORIAL DE CALCULO 06'!K413</f>
        <v>150</v>
      </c>
      <c r="N108" s="343"/>
      <c r="O108" s="338">
        <f>'MEMORIAL DE CALCULO 08'!K434</f>
        <v>200</v>
      </c>
      <c r="P108" s="343"/>
      <c r="Q108" s="336">
        <f t="shared" si="35"/>
        <v>350</v>
      </c>
      <c r="R108" s="336">
        <f t="shared" si="44"/>
        <v>480.48</v>
      </c>
      <c r="S108" s="336">
        <f t="shared" si="45"/>
        <v>8113.7896000000001</v>
      </c>
      <c r="T108" s="339">
        <f t="shared" si="31"/>
        <v>0</v>
      </c>
      <c r="U108" s="339">
        <f t="shared" si="32"/>
        <v>0</v>
      </c>
      <c r="V108" s="339">
        <f t="shared" si="46"/>
        <v>0</v>
      </c>
      <c r="W108" s="339">
        <f t="shared" si="33"/>
        <v>0</v>
      </c>
      <c r="X108" s="339">
        <f t="shared" si="34"/>
        <v>0</v>
      </c>
      <c r="Y108" s="339">
        <f t="shared" si="47"/>
        <v>1465.5</v>
      </c>
      <c r="Z108" s="339">
        <f t="shared" si="36"/>
        <v>0</v>
      </c>
      <c r="AA108" s="339">
        <f t="shared" si="37"/>
        <v>1954</v>
      </c>
      <c r="AB108" s="339">
        <f t="shared" si="38"/>
        <v>0</v>
      </c>
      <c r="AC108" s="340">
        <f t="shared" si="39"/>
        <v>3419.5</v>
      </c>
      <c r="AD108" s="341">
        <f t="shared" si="40"/>
        <v>4694.2896000000001</v>
      </c>
      <c r="AE108" s="417">
        <f t="shared" si="41"/>
        <v>0.42144302090357383</v>
      </c>
    </row>
    <row r="109" spans="2:31" s="167" customFormat="1" ht="33.75" x14ac:dyDescent="0.25">
      <c r="B109" s="332" t="s">
        <v>287</v>
      </c>
      <c r="C109" s="333">
        <v>91868</v>
      </c>
      <c r="D109" s="334" t="s">
        <v>289</v>
      </c>
      <c r="E109" s="414" t="s">
        <v>37</v>
      </c>
      <c r="F109" s="414">
        <v>13.05</v>
      </c>
      <c r="G109" s="336">
        <v>55.97</v>
      </c>
      <c r="H109" s="337"/>
      <c r="I109" s="337"/>
      <c r="J109" s="338"/>
      <c r="K109" s="337"/>
      <c r="L109" s="337"/>
      <c r="M109" s="337"/>
      <c r="N109" s="336"/>
      <c r="O109" s="337">
        <f>'MEMORIAL DE CALCULO 08'!K436</f>
        <v>55.97</v>
      </c>
      <c r="P109" s="336"/>
      <c r="Q109" s="336">
        <f t="shared" si="35"/>
        <v>55.97</v>
      </c>
      <c r="R109" s="336">
        <f t="shared" si="44"/>
        <v>0</v>
      </c>
      <c r="S109" s="336">
        <f t="shared" si="45"/>
        <v>730.4085</v>
      </c>
      <c r="T109" s="339">
        <f t="shared" si="31"/>
        <v>0</v>
      </c>
      <c r="U109" s="339">
        <f t="shared" si="32"/>
        <v>0</v>
      </c>
      <c r="V109" s="339">
        <f t="shared" si="46"/>
        <v>0</v>
      </c>
      <c r="W109" s="339">
        <f t="shared" si="33"/>
        <v>0</v>
      </c>
      <c r="X109" s="339">
        <f t="shared" si="34"/>
        <v>0</v>
      </c>
      <c r="Y109" s="339">
        <f t="shared" si="47"/>
        <v>0</v>
      </c>
      <c r="Z109" s="339">
        <f t="shared" si="36"/>
        <v>0</v>
      </c>
      <c r="AA109" s="339">
        <f t="shared" si="37"/>
        <v>730.4</v>
      </c>
      <c r="AB109" s="339">
        <f t="shared" si="38"/>
        <v>0</v>
      </c>
      <c r="AC109" s="340">
        <f t="shared" si="39"/>
        <v>730.4</v>
      </c>
      <c r="AD109" s="341">
        <f t="shared" si="40"/>
        <v>8.5000000000263753E-3</v>
      </c>
      <c r="AE109" s="417">
        <f t="shared" si="41"/>
        <v>0.99998836267650226</v>
      </c>
    </row>
    <row r="110" spans="2:31" s="167" customFormat="1" ht="33.75" x14ac:dyDescent="0.25">
      <c r="B110" s="332" t="s">
        <v>290</v>
      </c>
      <c r="C110" s="333">
        <v>91867</v>
      </c>
      <c r="D110" s="334" t="s">
        <v>292</v>
      </c>
      <c r="E110" s="414" t="s">
        <v>37</v>
      </c>
      <c r="F110" s="414">
        <v>9.18</v>
      </c>
      <c r="G110" s="336">
        <v>36.19</v>
      </c>
      <c r="H110" s="337"/>
      <c r="I110" s="337"/>
      <c r="J110" s="338"/>
      <c r="K110" s="337"/>
      <c r="L110" s="337"/>
      <c r="M110" s="337"/>
      <c r="N110" s="336"/>
      <c r="O110" s="337">
        <f>'MEMORIAL DE CALCULO 08'!K438</f>
        <v>36.19</v>
      </c>
      <c r="P110" s="336"/>
      <c r="Q110" s="336">
        <f t="shared" si="35"/>
        <v>36.19</v>
      </c>
      <c r="R110" s="336">
        <f t="shared" si="44"/>
        <v>0</v>
      </c>
      <c r="S110" s="336">
        <f t="shared" si="45"/>
        <v>332.2242</v>
      </c>
      <c r="T110" s="339">
        <f t="shared" ref="T110:T141" si="48">F110*H110</f>
        <v>0</v>
      </c>
      <c r="U110" s="339">
        <f t="shared" ref="U110:U141" si="49">F110*I110</f>
        <v>0</v>
      </c>
      <c r="V110" s="339">
        <f t="shared" si="46"/>
        <v>0</v>
      </c>
      <c r="W110" s="339">
        <f t="shared" ref="W110:W141" si="50">TRUNC(F110*K110,2)</f>
        <v>0</v>
      </c>
      <c r="X110" s="339">
        <f t="shared" ref="X110:X141" si="51">TRUNC(F110*L110,2)</f>
        <v>0</v>
      </c>
      <c r="Y110" s="339">
        <f t="shared" si="47"/>
        <v>0</v>
      </c>
      <c r="Z110" s="339">
        <f t="shared" si="36"/>
        <v>0</v>
      </c>
      <c r="AA110" s="339">
        <f t="shared" si="37"/>
        <v>332.22</v>
      </c>
      <c r="AB110" s="339">
        <f t="shared" si="38"/>
        <v>0</v>
      </c>
      <c r="AC110" s="340">
        <f t="shared" si="39"/>
        <v>332.22</v>
      </c>
      <c r="AD110" s="341">
        <f t="shared" si="40"/>
        <v>4.1999999999688953E-3</v>
      </c>
      <c r="AE110" s="417">
        <f t="shared" si="41"/>
        <v>0.99998735793479232</v>
      </c>
    </row>
    <row r="111" spans="2:31" s="167" customFormat="1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/>
      <c r="P111" s="206"/>
      <c r="Q111" s="206">
        <f t="shared" si="35"/>
        <v>0</v>
      </c>
      <c r="R111" s="206">
        <f t="shared" si="44"/>
        <v>15</v>
      </c>
      <c r="S111" s="206">
        <f t="shared" si="45"/>
        <v>4348.95</v>
      </c>
      <c r="T111" s="208">
        <f t="shared" si="48"/>
        <v>0</v>
      </c>
      <c r="U111" s="208">
        <f t="shared" si="49"/>
        <v>0</v>
      </c>
      <c r="V111" s="208">
        <f t="shared" si="46"/>
        <v>0</v>
      </c>
      <c r="W111" s="208">
        <f t="shared" si="50"/>
        <v>0</v>
      </c>
      <c r="X111" s="208">
        <f t="shared" si="51"/>
        <v>0</v>
      </c>
      <c r="Y111" s="208">
        <f t="shared" si="47"/>
        <v>0</v>
      </c>
      <c r="Z111" s="208">
        <f t="shared" ref="Z111:Z142" si="52">F111*N111</f>
        <v>0</v>
      </c>
      <c r="AA111" s="208">
        <f t="shared" si="37"/>
        <v>0</v>
      </c>
      <c r="AB111" s="208">
        <f t="shared" si="38"/>
        <v>0</v>
      </c>
      <c r="AC111" s="209">
        <f t="shared" si="39"/>
        <v>0</v>
      </c>
      <c r="AD111" s="210">
        <f t="shared" si="40"/>
        <v>4348.95</v>
      </c>
      <c r="AE111" s="417">
        <f t="shared" si="41"/>
        <v>0</v>
      </c>
    </row>
    <row r="112" spans="2:31" s="167" customFormat="1" ht="22.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/>
      <c r="P112" s="206"/>
      <c r="Q112" s="206">
        <f t="shared" si="35"/>
        <v>0</v>
      </c>
      <c r="R112" s="206">
        <f t="shared" si="44"/>
        <v>76</v>
      </c>
      <c r="S112" s="206">
        <f t="shared" si="45"/>
        <v>2536.88</v>
      </c>
      <c r="T112" s="208">
        <f t="shared" si="48"/>
        <v>0</v>
      </c>
      <c r="U112" s="208">
        <f t="shared" si="49"/>
        <v>0</v>
      </c>
      <c r="V112" s="208">
        <f t="shared" si="46"/>
        <v>0</v>
      </c>
      <c r="W112" s="208">
        <f t="shared" si="50"/>
        <v>0</v>
      </c>
      <c r="X112" s="208">
        <f t="shared" si="51"/>
        <v>0</v>
      </c>
      <c r="Y112" s="208">
        <f t="shared" si="47"/>
        <v>0</v>
      </c>
      <c r="Z112" s="208">
        <f t="shared" si="52"/>
        <v>0</v>
      </c>
      <c r="AA112" s="208">
        <f t="shared" si="37"/>
        <v>0</v>
      </c>
      <c r="AB112" s="208">
        <f t="shared" si="38"/>
        <v>0</v>
      </c>
      <c r="AC112" s="209">
        <f t="shared" si="39"/>
        <v>0</v>
      </c>
      <c r="AD112" s="210">
        <f t="shared" si="40"/>
        <v>2536.88</v>
      </c>
      <c r="AE112" s="417">
        <f t="shared" si="41"/>
        <v>0</v>
      </c>
    </row>
    <row r="113" spans="2:31" s="167" customFormat="1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/>
      <c r="P113" s="206"/>
      <c r="Q113" s="206">
        <f t="shared" si="35"/>
        <v>0</v>
      </c>
      <c r="R113" s="206">
        <f t="shared" si="44"/>
        <v>1</v>
      </c>
      <c r="S113" s="206">
        <f t="shared" si="45"/>
        <v>1759.39</v>
      </c>
      <c r="T113" s="208">
        <f t="shared" si="48"/>
        <v>0</v>
      </c>
      <c r="U113" s="208">
        <f t="shared" si="49"/>
        <v>0</v>
      </c>
      <c r="V113" s="208">
        <f t="shared" si="46"/>
        <v>0</v>
      </c>
      <c r="W113" s="208">
        <f t="shared" si="50"/>
        <v>0</v>
      </c>
      <c r="X113" s="208">
        <f t="shared" si="51"/>
        <v>0</v>
      </c>
      <c r="Y113" s="208">
        <f t="shared" si="47"/>
        <v>0</v>
      </c>
      <c r="Z113" s="208">
        <f t="shared" si="52"/>
        <v>0</v>
      </c>
      <c r="AA113" s="208">
        <f t="shared" si="37"/>
        <v>0</v>
      </c>
      <c r="AB113" s="208">
        <f t="shared" si="38"/>
        <v>0</v>
      </c>
      <c r="AC113" s="209">
        <f t="shared" si="39"/>
        <v>0</v>
      </c>
      <c r="AD113" s="210">
        <f t="shared" si="40"/>
        <v>1759.39</v>
      </c>
      <c r="AE113" s="417">
        <f t="shared" si="41"/>
        <v>0</v>
      </c>
    </row>
    <row r="114" spans="2:31" s="167" customFormat="1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/>
      <c r="P114" s="206"/>
      <c r="Q114" s="206">
        <f t="shared" si="35"/>
        <v>0</v>
      </c>
      <c r="R114" s="206">
        <f t="shared" si="44"/>
        <v>1</v>
      </c>
      <c r="S114" s="206">
        <f t="shared" si="45"/>
        <v>924.88</v>
      </c>
      <c r="T114" s="208">
        <f t="shared" si="48"/>
        <v>0</v>
      </c>
      <c r="U114" s="208">
        <f t="shared" si="49"/>
        <v>0</v>
      </c>
      <c r="V114" s="208">
        <f t="shared" si="46"/>
        <v>0</v>
      </c>
      <c r="W114" s="208">
        <f t="shared" si="50"/>
        <v>0</v>
      </c>
      <c r="X114" s="208">
        <f t="shared" si="51"/>
        <v>0</v>
      </c>
      <c r="Y114" s="208">
        <f t="shared" si="47"/>
        <v>0</v>
      </c>
      <c r="Z114" s="208">
        <f t="shared" si="52"/>
        <v>0</v>
      </c>
      <c r="AA114" s="208">
        <f t="shared" si="37"/>
        <v>0</v>
      </c>
      <c r="AB114" s="208">
        <f t="shared" si="38"/>
        <v>0</v>
      </c>
      <c r="AC114" s="209">
        <f t="shared" si="39"/>
        <v>0</v>
      </c>
      <c r="AD114" s="210">
        <f t="shared" si="40"/>
        <v>924.88</v>
      </c>
      <c r="AE114" s="417">
        <f t="shared" si="41"/>
        <v>0</v>
      </c>
    </row>
    <row r="115" spans="2:31" s="167" customFormat="1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/>
      <c r="P115" s="206"/>
      <c r="Q115" s="206">
        <f t="shared" si="35"/>
        <v>0</v>
      </c>
      <c r="R115" s="206">
        <f t="shared" si="44"/>
        <v>1</v>
      </c>
      <c r="S115" s="206">
        <f t="shared" si="45"/>
        <v>555.51</v>
      </c>
      <c r="T115" s="208">
        <f t="shared" si="48"/>
        <v>0</v>
      </c>
      <c r="U115" s="208">
        <f t="shared" si="49"/>
        <v>0</v>
      </c>
      <c r="V115" s="208">
        <f t="shared" si="46"/>
        <v>0</v>
      </c>
      <c r="W115" s="208">
        <f t="shared" si="50"/>
        <v>0</v>
      </c>
      <c r="X115" s="208">
        <f t="shared" si="51"/>
        <v>0</v>
      </c>
      <c r="Y115" s="208">
        <f t="shared" si="47"/>
        <v>0</v>
      </c>
      <c r="Z115" s="208">
        <f t="shared" si="52"/>
        <v>0</v>
      </c>
      <c r="AA115" s="208">
        <f t="shared" si="37"/>
        <v>0</v>
      </c>
      <c r="AB115" s="208">
        <f t="shared" si="38"/>
        <v>0</v>
      </c>
      <c r="AC115" s="209">
        <f t="shared" si="39"/>
        <v>0</v>
      </c>
      <c r="AD115" s="210">
        <f t="shared" si="40"/>
        <v>555.51</v>
      </c>
      <c r="AE115" s="417">
        <f t="shared" si="41"/>
        <v>0</v>
      </c>
    </row>
    <row r="116" spans="2:31" s="167" customFormat="1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/>
      <c r="P116" s="206"/>
      <c r="Q116" s="206">
        <f t="shared" si="35"/>
        <v>0</v>
      </c>
      <c r="R116" s="206">
        <f t="shared" si="44"/>
        <v>1</v>
      </c>
      <c r="S116" s="206">
        <f t="shared" si="45"/>
        <v>924.88</v>
      </c>
      <c r="T116" s="208">
        <f t="shared" si="48"/>
        <v>0</v>
      </c>
      <c r="U116" s="208">
        <f t="shared" si="49"/>
        <v>0</v>
      </c>
      <c r="V116" s="208">
        <f t="shared" si="46"/>
        <v>0</v>
      </c>
      <c r="W116" s="208">
        <f t="shared" si="50"/>
        <v>0</v>
      </c>
      <c r="X116" s="208">
        <f t="shared" si="51"/>
        <v>0</v>
      </c>
      <c r="Y116" s="208">
        <f t="shared" si="47"/>
        <v>0</v>
      </c>
      <c r="Z116" s="208">
        <f t="shared" si="52"/>
        <v>0</v>
      </c>
      <c r="AA116" s="208">
        <f t="shared" si="37"/>
        <v>0</v>
      </c>
      <c r="AB116" s="208">
        <f t="shared" si="38"/>
        <v>0</v>
      </c>
      <c r="AC116" s="209">
        <f t="shared" si="39"/>
        <v>0</v>
      </c>
      <c r="AD116" s="210">
        <f t="shared" si="40"/>
        <v>924.88</v>
      </c>
      <c r="AE116" s="417">
        <f t="shared" si="41"/>
        <v>0</v>
      </c>
    </row>
    <row r="117" spans="2:31" s="167" customFormat="1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/>
      <c r="P117" s="206"/>
      <c r="Q117" s="206">
        <f t="shared" si="35"/>
        <v>0</v>
      </c>
      <c r="R117" s="206">
        <f t="shared" si="44"/>
        <v>5</v>
      </c>
      <c r="S117" s="206">
        <f t="shared" si="45"/>
        <v>219.4</v>
      </c>
      <c r="T117" s="208">
        <f t="shared" si="48"/>
        <v>0</v>
      </c>
      <c r="U117" s="208">
        <f t="shared" si="49"/>
        <v>0</v>
      </c>
      <c r="V117" s="208">
        <f t="shared" si="46"/>
        <v>0</v>
      </c>
      <c r="W117" s="208">
        <f t="shared" si="50"/>
        <v>0</v>
      </c>
      <c r="X117" s="208">
        <f t="shared" si="51"/>
        <v>0</v>
      </c>
      <c r="Y117" s="208">
        <f t="shared" si="47"/>
        <v>0</v>
      </c>
      <c r="Z117" s="208">
        <f t="shared" si="52"/>
        <v>0</v>
      </c>
      <c r="AA117" s="208">
        <f t="shared" si="37"/>
        <v>0</v>
      </c>
      <c r="AB117" s="208">
        <f t="shared" si="38"/>
        <v>0</v>
      </c>
      <c r="AC117" s="209">
        <f t="shared" si="39"/>
        <v>0</v>
      </c>
      <c r="AD117" s="210">
        <f t="shared" si="40"/>
        <v>219.4</v>
      </c>
      <c r="AE117" s="417">
        <f t="shared" si="41"/>
        <v>0</v>
      </c>
    </row>
    <row r="118" spans="2:31" s="167" customFormat="1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>
        <f t="shared" si="35"/>
        <v>0</v>
      </c>
      <c r="R118" s="206"/>
      <c r="S118" s="206"/>
      <c r="T118" s="208">
        <f t="shared" si="48"/>
        <v>0</v>
      </c>
      <c r="U118" s="208">
        <f t="shared" si="49"/>
        <v>0</v>
      </c>
      <c r="V118" s="208">
        <f t="shared" si="46"/>
        <v>0</v>
      </c>
      <c r="W118" s="208">
        <f t="shared" si="50"/>
        <v>0</v>
      </c>
      <c r="X118" s="208">
        <f t="shared" si="51"/>
        <v>0</v>
      </c>
      <c r="Y118" s="208">
        <f t="shared" si="47"/>
        <v>0</v>
      </c>
      <c r="Z118" s="208">
        <f t="shared" si="52"/>
        <v>0</v>
      </c>
      <c r="AA118" s="208">
        <f t="shared" si="37"/>
        <v>0</v>
      </c>
      <c r="AB118" s="208">
        <f t="shared" si="38"/>
        <v>0</v>
      </c>
      <c r="AC118" s="209">
        <f t="shared" si="39"/>
        <v>0</v>
      </c>
      <c r="AD118" s="210">
        <f t="shared" si="40"/>
        <v>0</v>
      </c>
      <c r="AE118" s="417"/>
    </row>
    <row r="119" spans="2:31" s="167" customFormat="1" ht="22.5" x14ac:dyDescent="0.25">
      <c r="B119" s="332" t="s">
        <v>314</v>
      </c>
      <c r="C119" s="333">
        <v>96620</v>
      </c>
      <c r="D119" s="334" t="s">
        <v>316</v>
      </c>
      <c r="E119" s="335" t="s">
        <v>41</v>
      </c>
      <c r="F119" s="414">
        <v>593.44000000000005</v>
      </c>
      <c r="G119" s="336">
        <v>31.73</v>
      </c>
      <c r="H119" s="337"/>
      <c r="I119" s="337"/>
      <c r="J119" s="338"/>
      <c r="K119" s="337"/>
      <c r="L119" s="337"/>
      <c r="M119" s="337"/>
      <c r="N119" s="337">
        <v>10.199999999999999</v>
      </c>
      <c r="O119" s="337">
        <f>'MEMORIAL DE CALCULO 08'!K441</f>
        <v>21.53</v>
      </c>
      <c r="P119" s="337"/>
      <c r="Q119" s="336">
        <f t="shared" si="35"/>
        <v>31.73</v>
      </c>
      <c r="R119" s="336">
        <f t="shared" ref="R119:R126" si="53">G119-Q119</f>
        <v>0</v>
      </c>
      <c r="S119" s="336">
        <f t="shared" ref="S119:S126" si="54">F119*G119</f>
        <v>18829.851200000001</v>
      </c>
      <c r="T119" s="339">
        <f t="shared" si="48"/>
        <v>0</v>
      </c>
      <c r="U119" s="339">
        <f t="shared" si="49"/>
        <v>0</v>
      </c>
      <c r="V119" s="339">
        <f t="shared" si="46"/>
        <v>0</v>
      </c>
      <c r="W119" s="339">
        <f t="shared" si="50"/>
        <v>0</v>
      </c>
      <c r="X119" s="339">
        <f t="shared" si="51"/>
        <v>0</v>
      </c>
      <c r="Y119" s="339">
        <f t="shared" si="47"/>
        <v>0</v>
      </c>
      <c r="Z119" s="339">
        <f t="shared" si="52"/>
        <v>6053.0879999999997</v>
      </c>
      <c r="AA119" s="339">
        <f t="shared" si="37"/>
        <v>12776.76</v>
      </c>
      <c r="AB119" s="339">
        <f t="shared" si="38"/>
        <v>0</v>
      </c>
      <c r="AC119" s="340">
        <f t="shared" si="39"/>
        <v>18829.847999999998</v>
      </c>
      <c r="AD119" s="341">
        <f t="shared" si="40"/>
        <v>3.2000000028347131E-3</v>
      </c>
      <c r="AE119" s="417">
        <f t="shared" si="41"/>
        <v>0.99999983005707438</v>
      </c>
    </row>
    <row r="120" spans="2:31" s="167" customFormat="1" ht="67.5" x14ac:dyDescent="0.25">
      <c r="B120" s="332" t="s">
        <v>317</v>
      </c>
      <c r="C120" s="333">
        <v>94439</v>
      </c>
      <c r="D120" s="334" t="s">
        <v>319</v>
      </c>
      <c r="E120" s="335" t="s">
        <v>17</v>
      </c>
      <c r="F120" s="414">
        <v>46.08</v>
      </c>
      <c r="G120" s="336">
        <v>634.5</v>
      </c>
      <c r="H120" s="337"/>
      <c r="I120" s="337"/>
      <c r="J120" s="338"/>
      <c r="K120" s="337"/>
      <c r="L120" s="337"/>
      <c r="M120" s="337"/>
      <c r="N120" s="336"/>
      <c r="O120" s="337">
        <f>'MEMORIAL DE CALCULO 08'!K443</f>
        <v>116.27</v>
      </c>
      <c r="P120" s="336"/>
      <c r="Q120" s="336">
        <f t="shared" si="35"/>
        <v>116.27</v>
      </c>
      <c r="R120" s="336">
        <f t="shared" si="53"/>
        <v>518.23</v>
      </c>
      <c r="S120" s="336">
        <f t="shared" si="54"/>
        <v>29237.759999999998</v>
      </c>
      <c r="T120" s="339">
        <f t="shared" si="48"/>
        <v>0</v>
      </c>
      <c r="U120" s="339">
        <f t="shared" si="49"/>
        <v>0</v>
      </c>
      <c r="V120" s="339">
        <f t="shared" si="46"/>
        <v>0</v>
      </c>
      <c r="W120" s="339">
        <f t="shared" si="50"/>
        <v>0</v>
      </c>
      <c r="X120" s="339">
        <f t="shared" si="51"/>
        <v>0</v>
      </c>
      <c r="Y120" s="339">
        <f t="shared" si="47"/>
        <v>0</v>
      </c>
      <c r="Z120" s="339">
        <f t="shared" si="52"/>
        <v>0</v>
      </c>
      <c r="AA120" s="339">
        <f t="shared" si="37"/>
        <v>5357.72</v>
      </c>
      <c r="AB120" s="339">
        <f t="shared" si="38"/>
        <v>0</v>
      </c>
      <c r="AC120" s="340">
        <f t="shared" si="39"/>
        <v>5357.72</v>
      </c>
      <c r="AD120" s="341">
        <f t="shared" si="40"/>
        <v>23880.039999999997</v>
      </c>
      <c r="AE120" s="417">
        <f t="shared" si="41"/>
        <v>0.18324659618247091</v>
      </c>
    </row>
    <row r="121" spans="2:31" s="167" customFormat="1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/>
      <c r="P121" s="206"/>
      <c r="Q121" s="206">
        <f t="shared" si="35"/>
        <v>0</v>
      </c>
      <c r="R121" s="206">
        <f t="shared" si="53"/>
        <v>634.5</v>
      </c>
      <c r="S121" s="206">
        <f t="shared" si="54"/>
        <v>60366.33</v>
      </c>
      <c r="T121" s="208">
        <f t="shared" si="48"/>
        <v>0</v>
      </c>
      <c r="U121" s="208">
        <f t="shared" si="49"/>
        <v>0</v>
      </c>
      <c r="V121" s="208">
        <f t="shared" si="46"/>
        <v>0</v>
      </c>
      <c r="W121" s="208">
        <f t="shared" si="50"/>
        <v>0</v>
      </c>
      <c r="X121" s="208">
        <f t="shared" si="51"/>
        <v>0</v>
      </c>
      <c r="Y121" s="208">
        <f t="shared" si="47"/>
        <v>0</v>
      </c>
      <c r="Z121" s="208">
        <f t="shared" si="52"/>
        <v>0</v>
      </c>
      <c r="AA121" s="208">
        <f t="shared" si="37"/>
        <v>0</v>
      </c>
      <c r="AB121" s="208">
        <f t="shared" si="38"/>
        <v>0</v>
      </c>
      <c r="AC121" s="209">
        <f t="shared" si="39"/>
        <v>0</v>
      </c>
      <c r="AD121" s="210">
        <f t="shared" si="40"/>
        <v>60366.33</v>
      </c>
      <c r="AE121" s="417">
        <f t="shared" si="41"/>
        <v>0</v>
      </c>
    </row>
    <row r="122" spans="2:31" s="167" customFormat="1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/>
      <c r="P122" s="206"/>
      <c r="Q122" s="206">
        <f t="shared" si="35"/>
        <v>0</v>
      </c>
      <c r="R122" s="206">
        <f t="shared" si="53"/>
        <v>629.38</v>
      </c>
      <c r="S122" s="206">
        <f t="shared" si="54"/>
        <v>32173.905599999998</v>
      </c>
      <c r="T122" s="208">
        <f t="shared" si="48"/>
        <v>0</v>
      </c>
      <c r="U122" s="208">
        <f t="shared" si="49"/>
        <v>0</v>
      </c>
      <c r="V122" s="208">
        <f t="shared" si="46"/>
        <v>0</v>
      </c>
      <c r="W122" s="208">
        <f t="shared" si="50"/>
        <v>0</v>
      </c>
      <c r="X122" s="208">
        <f t="shared" si="51"/>
        <v>0</v>
      </c>
      <c r="Y122" s="208">
        <f t="shared" si="47"/>
        <v>0</v>
      </c>
      <c r="Z122" s="208">
        <f t="shared" si="52"/>
        <v>0</v>
      </c>
      <c r="AA122" s="208">
        <f t="shared" si="37"/>
        <v>0</v>
      </c>
      <c r="AB122" s="208">
        <f t="shared" si="38"/>
        <v>0</v>
      </c>
      <c r="AC122" s="209">
        <f t="shared" si="39"/>
        <v>0</v>
      </c>
      <c r="AD122" s="210">
        <f t="shared" si="40"/>
        <v>32173.905599999998</v>
      </c>
      <c r="AE122" s="417">
        <f t="shared" si="41"/>
        <v>0</v>
      </c>
    </row>
    <row r="123" spans="2:31" s="167" customFormat="1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/>
      <c r="P123" s="206"/>
      <c r="Q123" s="206">
        <f t="shared" si="35"/>
        <v>0</v>
      </c>
      <c r="R123" s="206">
        <f t="shared" si="53"/>
        <v>126.37</v>
      </c>
      <c r="S123" s="206">
        <f t="shared" si="54"/>
        <v>5970.9825000000001</v>
      </c>
      <c r="T123" s="208">
        <f t="shared" si="48"/>
        <v>0</v>
      </c>
      <c r="U123" s="208">
        <f t="shared" si="49"/>
        <v>0</v>
      </c>
      <c r="V123" s="208">
        <f t="shared" ref="V123:V154" si="55">F123*J123</f>
        <v>0</v>
      </c>
      <c r="W123" s="208">
        <f t="shared" si="50"/>
        <v>0</v>
      </c>
      <c r="X123" s="208">
        <f t="shared" si="51"/>
        <v>0</v>
      </c>
      <c r="Y123" s="208">
        <f t="shared" si="47"/>
        <v>0</v>
      </c>
      <c r="Z123" s="208">
        <f t="shared" si="52"/>
        <v>0</v>
      </c>
      <c r="AA123" s="208">
        <f t="shared" si="37"/>
        <v>0</v>
      </c>
      <c r="AB123" s="208">
        <f t="shared" si="38"/>
        <v>0</v>
      </c>
      <c r="AC123" s="209">
        <f t="shared" si="39"/>
        <v>0</v>
      </c>
      <c r="AD123" s="210">
        <f t="shared" si="40"/>
        <v>5970.9825000000001</v>
      </c>
      <c r="AE123" s="417">
        <f t="shared" si="41"/>
        <v>0</v>
      </c>
    </row>
    <row r="124" spans="2:31" s="167" customFormat="1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/>
      <c r="P124" s="206"/>
      <c r="Q124" s="206">
        <f t="shared" si="35"/>
        <v>0</v>
      </c>
      <c r="R124" s="206">
        <f t="shared" si="53"/>
        <v>7.46</v>
      </c>
      <c r="S124" s="206">
        <f t="shared" si="54"/>
        <v>527.94420000000002</v>
      </c>
      <c r="T124" s="208">
        <f t="shared" si="48"/>
        <v>0</v>
      </c>
      <c r="U124" s="208">
        <f t="shared" si="49"/>
        <v>0</v>
      </c>
      <c r="V124" s="208">
        <f t="shared" si="55"/>
        <v>0</v>
      </c>
      <c r="W124" s="208">
        <f t="shared" si="50"/>
        <v>0</v>
      </c>
      <c r="X124" s="208">
        <f t="shared" si="51"/>
        <v>0</v>
      </c>
      <c r="Y124" s="208">
        <f t="shared" si="47"/>
        <v>0</v>
      </c>
      <c r="Z124" s="208">
        <f t="shared" si="52"/>
        <v>0</v>
      </c>
      <c r="AA124" s="208">
        <f t="shared" si="37"/>
        <v>0</v>
      </c>
      <c r="AB124" s="208">
        <f t="shared" si="38"/>
        <v>0</v>
      </c>
      <c r="AC124" s="209">
        <f t="shared" si="39"/>
        <v>0</v>
      </c>
      <c r="AD124" s="210">
        <f t="shared" si="40"/>
        <v>527.94420000000002</v>
      </c>
      <c r="AE124" s="417">
        <f t="shared" si="41"/>
        <v>0</v>
      </c>
    </row>
    <row r="125" spans="2:31" s="167" customFormat="1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/>
      <c r="P125" s="206"/>
      <c r="Q125" s="206">
        <f t="shared" si="35"/>
        <v>0</v>
      </c>
      <c r="R125" s="206">
        <f t="shared" si="53"/>
        <v>25.6</v>
      </c>
      <c r="S125" s="206">
        <f t="shared" si="54"/>
        <v>406.27199999999999</v>
      </c>
      <c r="T125" s="208">
        <f t="shared" si="48"/>
        <v>0</v>
      </c>
      <c r="U125" s="208">
        <f t="shared" si="49"/>
        <v>0</v>
      </c>
      <c r="V125" s="208">
        <f t="shared" si="55"/>
        <v>0</v>
      </c>
      <c r="W125" s="208">
        <f t="shared" si="50"/>
        <v>0</v>
      </c>
      <c r="X125" s="208">
        <f t="shared" si="51"/>
        <v>0</v>
      </c>
      <c r="Y125" s="208">
        <f t="shared" si="47"/>
        <v>0</v>
      </c>
      <c r="Z125" s="208">
        <f t="shared" si="52"/>
        <v>0</v>
      </c>
      <c r="AA125" s="208">
        <f t="shared" si="37"/>
        <v>0</v>
      </c>
      <c r="AB125" s="208">
        <f t="shared" si="38"/>
        <v>0</v>
      </c>
      <c r="AC125" s="209">
        <f t="shared" si="39"/>
        <v>0</v>
      </c>
      <c r="AD125" s="210">
        <f t="shared" si="40"/>
        <v>406.27199999999999</v>
      </c>
      <c r="AE125" s="417">
        <f t="shared" si="41"/>
        <v>0</v>
      </c>
    </row>
    <row r="126" spans="2:31" s="167" customFormat="1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/>
      <c r="P126" s="206"/>
      <c r="Q126" s="206">
        <f t="shared" si="35"/>
        <v>0</v>
      </c>
      <c r="R126" s="206">
        <f t="shared" si="53"/>
        <v>39.6</v>
      </c>
      <c r="S126" s="206">
        <f t="shared" si="54"/>
        <v>4671.2160000000003</v>
      </c>
      <c r="T126" s="208">
        <f t="shared" si="48"/>
        <v>0</v>
      </c>
      <c r="U126" s="208">
        <f t="shared" si="49"/>
        <v>0</v>
      </c>
      <c r="V126" s="208">
        <f t="shared" si="55"/>
        <v>0</v>
      </c>
      <c r="W126" s="208">
        <f t="shared" si="50"/>
        <v>0</v>
      </c>
      <c r="X126" s="208">
        <f t="shared" si="51"/>
        <v>0</v>
      </c>
      <c r="Y126" s="208">
        <f t="shared" si="47"/>
        <v>0</v>
      </c>
      <c r="Z126" s="208">
        <f t="shared" si="52"/>
        <v>0</v>
      </c>
      <c r="AA126" s="208">
        <f t="shared" si="37"/>
        <v>0</v>
      </c>
      <c r="AB126" s="208">
        <f t="shared" si="38"/>
        <v>0</v>
      </c>
      <c r="AC126" s="209">
        <f t="shared" si="39"/>
        <v>0</v>
      </c>
      <c r="AD126" s="210">
        <f t="shared" si="40"/>
        <v>4671.2160000000003</v>
      </c>
      <c r="AE126" s="417">
        <f t="shared" si="41"/>
        <v>0</v>
      </c>
    </row>
    <row r="127" spans="2:31" s="167" customFormat="1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>
        <f t="shared" si="35"/>
        <v>0</v>
      </c>
      <c r="R127" s="206"/>
      <c r="S127" s="206"/>
      <c r="T127" s="208">
        <f t="shared" si="48"/>
        <v>0</v>
      </c>
      <c r="U127" s="208">
        <f t="shared" si="49"/>
        <v>0</v>
      </c>
      <c r="V127" s="208">
        <f t="shared" si="55"/>
        <v>0</v>
      </c>
      <c r="W127" s="208">
        <f t="shared" si="50"/>
        <v>0</v>
      </c>
      <c r="X127" s="208">
        <f t="shared" si="51"/>
        <v>0</v>
      </c>
      <c r="Y127" s="208">
        <f t="shared" si="47"/>
        <v>0</v>
      </c>
      <c r="Z127" s="208">
        <f t="shared" si="52"/>
        <v>0</v>
      </c>
      <c r="AA127" s="208">
        <f t="shared" si="37"/>
        <v>0</v>
      </c>
      <c r="AB127" s="208">
        <f t="shared" si="38"/>
        <v>0</v>
      </c>
      <c r="AC127" s="209">
        <f t="shared" si="39"/>
        <v>0</v>
      </c>
      <c r="AD127" s="210">
        <f t="shared" si="40"/>
        <v>0</v>
      </c>
      <c r="AE127" s="417"/>
    </row>
    <row r="128" spans="2:31" s="167" customFormat="1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/>
      <c r="P128" s="206"/>
      <c r="Q128" s="206">
        <f t="shared" si="35"/>
        <v>0</v>
      </c>
      <c r="R128" s="206">
        <f t="shared" ref="R128:R136" si="56">G128-Q128</f>
        <v>610.20000000000005</v>
      </c>
      <c r="S128" s="206">
        <f t="shared" ref="S128:S136" si="57">F128*G128</f>
        <v>42213.636000000006</v>
      </c>
      <c r="T128" s="208">
        <f t="shared" si="48"/>
        <v>0</v>
      </c>
      <c r="U128" s="208">
        <f t="shared" si="49"/>
        <v>0</v>
      </c>
      <c r="V128" s="208">
        <f t="shared" si="55"/>
        <v>0</v>
      </c>
      <c r="W128" s="208">
        <f t="shared" si="50"/>
        <v>0</v>
      </c>
      <c r="X128" s="208">
        <f t="shared" si="51"/>
        <v>0</v>
      </c>
      <c r="Y128" s="208">
        <f t="shared" si="47"/>
        <v>0</v>
      </c>
      <c r="Z128" s="208">
        <f t="shared" si="52"/>
        <v>0</v>
      </c>
      <c r="AA128" s="208">
        <f t="shared" si="37"/>
        <v>0</v>
      </c>
      <c r="AB128" s="208">
        <f t="shared" si="38"/>
        <v>0</v>
      </c>
      <c r="AC128" s="209">
        <f t="shared" si="39"/>
        <v>0</v>
      </c>
      <c r="AD128" s="210">
        <f t="shared" si="40"/>
        <v>42213.636000000006</v>
      </c>
      <c r="AE128" s="417">
        <f t="shared" si="41"/>
        <v>0</v>
      </c>
    </row>
    <row r="129" spans="2:31" s="167" customFormat="1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/>
      <c r="P129" s="206"/>
      <c r="Q129" s="206">
        <f t="shared" si="35"/>
        <v>0</v>
      </c>
      <c r="R129" s="206">
        <f t="shared" si="56"/>
        <v>181.61</v>
      </c>
      <c r="S129" s="206">
        <f t="shared" si="57"/>
        <v>19815.467100000002</v>
      </c>
      <c r="T129" s="208">
        <f t="shared" si="48"/>
        <v>0</v>
      </c>
      <c r="U129" s="208">
        <f t="shared" si="49"/>
        <v>0</v>
      </c>
      <c r="V129" s="208">
        <f t="shared" si="55"/>
        <v>0</v>
      </c>
      <c r="W129" s="208">
        <f t="shared" si="50"/>
        <v>0</v>
      </c>
      <c r="X129" s="208">
        <f t="shared" si="51"/>
        <v>0</v>
      </c>
      <c r="Y129" s="208">
        <f t="shared" si="47"/>
        <v>0</v>
      </c>
      <c r="Z129" s="208">
        <f t="shared" si="52"/>
        <v>0</v>
      </c>
      <c r="AA129" s="208">
        <f t="shared" si="37"/>
        <v>0</v>
      </c>
      <c r="AB129" s="208">
        <f t="shared" si="38"/>
        <v>0</v>
      </c>
      <c r="AC129" s="209">
        <f t="shared" si="39"/>
        <v>0</v>
      </c>
      <c r="AD129" s="210">
        <f t="shared" si="40"/>
        <v>19815.467100000002</v>
      </c>
      <c r="AE129" s="417">
        <f t="shared" si="41"/>
        <v>0</v>
      </c>
    </row>
    <row r="130" spans="2:31" s="167" customFormat="1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/>
      <c r="P130" s="206"/>
      <c r="Q130" s="206">
        <f t="shared" si="35"/>
        <v>0</v>
      </c>
      <c r="R130" s="206">
        <f t="shared" si="56"/>
        <v>181.61</v>
      </c>
      <c r="S130" s="206">
        <f t="shared" si="57"/>
        <v>8375.8531999999996</v>
      </c>
      <c r="T130" s="208">
        <f t="shared" si="48"/>
        <v>0</v>
      </c>
      <c r="U130" s="208">
        <f t="shared" si="49"/>
        <v>0</v>
      </c>
      <c r="V130" s="208">
        <f t="shared" si="55"/>
        <v>0</v>
      </c>
      <c r="W130" s="208">
        <f t="shared" si="50"/>
        <v>0</v>
      </c>
      <c r="X130" s="208">
        <f t="shared" si="51"/>
        <v>0</v>
      </c>
      <c r="Y130" s="208">
        <f t="shared" ref="Y130:Y161" si="58">M130*F130</f>
        <v>0</v>
      </c>
      <c r="Z130" s="208">
        <f t="shared" si="52"/>
        <v>0</v>
      </c>
      <c r="AA130" s="208">
        <f t="shared" si="37"/>
        <v>0</v>
      </c>
      <c r="AB130" s="208">
        <f t="shared" si="38"/>
        <v>0</v>
      </c>
      <c r="AC130" s="209">
        <f t="shared" si="39"/>
        <v>0</v>
      </c>
      <c r="AD130" s="210">
        <f t="shared" si="40"/>
        <v>8375.8531999999996</v>
      </c>
      <c r="AE130" s="417">
        <f t="shared" si="41"/>
        <v>0</v>
      </c>
    </row>
    <row r="131" spans="2:31" s="167" customFormat="1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/>
      <c r="P131" s="206"/>
      <c r="Q131" s="206">
        <f t="shared" si="35"/>
        <v>0</v>
      </c>
      <c r="R131" s="206">
        <f t="shared" si="56"/>
        <v>10</v>
      </c>
      <c r="S131" s="206">
        <f t="shared" si="57"/>
        <v>24720.7</v>
      </c>
      <c r="T131" s="208">
        <f t="shared" si="48"/>
        <v>0</v>
      </c>
      <c r="U131" s="208">
        <f t="shared" si="49"/>
        <v>0</v>
      </c>
      <c r="V131" s="208">
        <f t="shared" si="55"/>
        <v>0</v>
      </c>
      <c r="W131" s="208">
        <f t="shared" si="50"/>
        <v>0</v>
      </c>
      <c r="X131" s="208">
        <f t="shared" si="51"/>
        <v>0</v>
      </c>
      <c r="Y131" s="208">
        <f t="shared" si="58"/>
        <v>0</v>
      </c>
      <c r="Z131" s="208">
        <f t="shared" si="52"/>
        <v>0</v>
      </c>
      <c r="AA131" s="208">
        <f t="shared" si="37"/>
        <v>0</v>
      </c>
      <c r="AB131" s="208">
        <f t="shared" si="38"/>
        <v>0</v>
      </c>
      <c r="AC131" s="209">
        <f t="shared" si="39"/>
        <v>0</v>
      </c>
      <c r="AD131" s="210">
        <f t="shared" si="40"/>
        <v>24720.7</v>
      </c>
      <c r="AE131" s="417">
        <f t="shared" si="41"/>
        <v>0</v>
      </c>
    </row>
    <row r="132" spans="2:31" s="167" customFormat="1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/>
      <c r="P132" s="206"/>
      <c r="Q132" s="206">
        <f t="shared" si="35"/>
        <v>0</v>
      </c>
      <c r="R132" s="206">
        <f t="shared" si="56"/>
        <v>10</v>
      </c>
      <c r="S132" s="206">
        <f t="shared" si="57"/>
        <v>27661.399999999998</v>
      </c>
      <c r="T132" s="208">
        <f t="shared" si="48"/>
        <v>0</v>
      </c>
      <c r="U132" s="208">
        <f t="shared" si="49"/>
        <v>0</v>
      </c>
      <c r="V132" s="208">
        <f t="shared" si="55"/>
        <v>0</v>
      </c>
      <c r="W132" s="208">
        <f t="shared" si="50"/>
        <v>0</v>
      </c>
      <c r="X132" s="208">
        <f t="shared" si="51"/>
        <v>0</v>
      </c>
      <c r="Y132" s="208">
        <f t="shared" si="58"/>
        <v>0</v>
      </c>
      <c r="Z132" s="208">
        <f t="shared" si="52"/>
        <v>0</v>
      </c>
      <c r="AA132" s="208">
        <f t="shared" si="37"/>
        <v>0</v>
      </c>
      <c r="AB132" s="208">
        <f t="shared" si="38"/>
        <v>0</v>
      </c>
      <c r="AC132" s="209">
        <f t="shared" si="39"/>
        <v>0</v>
      </c>
      <c r="AD132" s="210">
        <f t="shared" si="40"/>
        <v>27661.399999999998</v>
      </c>
      <c r="AE132" s="417">
        <f t="shared" si="41"/>
        <v>0</v>
      </c>
    </row>
    <row r="133" spans="2:31" s="167" customFormat="1" ht="33.7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/>
      <c r="P133" s="206"/>
      <c r="Q133" s="206">
        <f t="shared" si="35"/>
        <v>0</v>
      </c>
      <c r="R133" s="206">
        <f t="shared" si="56"/>
        <v>610.20000000000005</v>
      </c>
      <c r="S133" s="206">
        <f t="shared" si="57"/>
        <v>9336.0600000000013</v>
      </c>
      <c r="T133" s="208">
        <f t="shared" si="48"/>
        <v>0</v>
      </c>
      <c r="U133" s="208">
        <f t="shared" si="49"/>
        <v>0</v>
      </c>
      <c r="V133" s="208">
        <f t="shared" si="55"/>
        <v>0</v>
      </c>
      <c r="W133" s="208">
        <f t="shared" si="50"/>
        <v>0</v>
      </c>
      <c r="X133" s="208">
        <f t="shared" si="51"/>
        <v>0</v>
      </c>
      <c r="Y133" s="208">
        <f t="shared" si="58"/>
        <v>0</v>
      </c>
      <c r="Z133" s="208">
        <f t="shared" si="52"/>
        <v>0</v>
      </c>
      <c r="AA133" s="208">
        <f t="shared" si="37"/>
        <v>0</v>
      </c>
      <c r="AB133" s="208">
        <f t="shared" si="38"/>
        <v>0</v>
      </c>
      <c r="AC133" s="209">
        <f t="shared" si="39"/>
        <v>0</v>
      </c>
      <c r="AD133" s="210">
        <f t="shared" si="40"/>
        <v>9336.0600000000013</v>
      </c>
      <c r="AE133" s="417">
        <f t="shared" si="41"/>
        <v>0</v>
      </c>
    </row>
    <row r="134" spans="2:31" s="167" customFormat="1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/>
      <c r="P134" s="206"/>
      <c r="Q134" s="206">
        <f t="shared" si="35"/>
        <v>0</v>
      </c>
      <c r="R134" s="206">
        <f t="shared" si="56"/>
        <v>113.1</v>
      </c>
      <c r="S134" s="206">
        <f t="shared" si="57"/>
        <v>9567.128999999999</v>
      </c>
      <c r="T134" s="208">
        <f t="shared" si="48"/>
        <v>0</v>
      </c>
      <c r="U134" s="208">
        <f t="shared" si="49"/>
        <v>0</v>
      </c>
      <c r="V134" s="208">
        <f t="shared" si="55"/>
        <v>0</v>
      </c>
      <c r="W134" s="208">
        <f t="shared" si="50"/>
        <v>0</v>
      </c>
      <c r="X134" s="208">
        <f t="shared" si="51"/>
        <v>0</v>
      </c>
      <c r="Y134" s="208">
        <f t="shared" si="58"/>
        <v>0</v>
      </c>
      <c r="Z134" s="208">
        <f t="shared" si="52"/>
        <v>0</v>
      </c>
      <c r="AA134" s="208">
        <f t="shared" si="37"/>
        <v>0</v>
      </c>
      <c r="AB134" s="208">
        <f t="shared" si="38"/>
        <v>0</v>
      </c>
      <c r="AC134" s="209">
        <f t="shared" si="39"/>
        <v>0</v>
      </c>
      <c r="AD134" s="210">
        <f t="shared" si="40"/>
        <v>9567.128999999999</v>
      </c>
      <c r="AE134" s="417">
        <f t="shared" si="41"/>
        <v>0</v>
      </c>
    </row>
    <row r="135" spans="2:31" s="167" customFormat="1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/>
      <c r="P135" s="206"/>
      <c r="Q135" s="206">
        <f t="shared" si="35"/>
        <v>0</v>
      </c>
      <c r="R135" s="206">
        <f t="shared" si="56"/>
        <v>52.64</v>
      </c>
      <c r="S135" s="206">
        <f t="shared" si="57"/>
        <v>8687.7055999999993</v>
      </c>
      <c r="T135" s="208">
        <f t="shared" si="48"/>
        <v>0</v>
      </c>
      <c r="U135" s="208">
        <f t="shared" si="49"/>
        <v>0</v>
      </c>
      <c r="V135" s="208">
        <f t="shared" si="55"/>
        <v>0</v>
      </c>
      <c r="W135" s="208">
        <f t="shared" si="50"/>
        <v>0</v>
      </c>
      <c r="X135" s="208">
        <f t="shared" si="51"/>
        <v>0</v>
      </c>
      <c r="Y135" s="208">
        <f t="shared" si="58"/>
        <v>0</v>
      </c>
      <c r="Z135" s="208">
        <f t="shared" si="52"/>
        <v>0</v>
      </c>
      <c r="AA135" s="208">
        <f t="shared" si="37"/>
        <v>0</v>
      </c>
      <c r="AB135" s="208">
        <f t="shared" si="38"/>
        <v>0</v>
      </c>
      <c r="AC135" s="209">
        <f t="shared" si="39"/>
        <v>0</v>
      </c>
      <c r="AD135" s="210">
        <f t="shared" si="40"/>
        <v>8687.7055999999993</v>
      </c>
      <c r="AE135" s="417">
        <f t="shared" si="41"/>
        <v>0</v>
      </c>
    </row>
    <row r="136" spans="2:31" s="167" customFormat="1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/>
      <c r="P136" s="206"/>
      <c r="Q136" s="206">
        <f t="shared" si="35"/>
        <v>0</v>
      </c>
      <c r="R136" s="206">
        <f t="shared" si="56"/>
        <v>634.5</v>
      </c>
      <c r="S136" s="206">
        <f t="shared" si="57"/>
        <v>21731.625</v>
      </c>
      <c r="T136" s="208">
        <f t="shared" si="48"/>
        <v>0</v>
      </c>
      <c r="U136" s="208">
        <f t="shared" si="49"/>
        <v>0</v>
      </c>
      <c r="V136" s="208">
        <f t="shared" si="55"/>
        <v>0</v>
      </c>
      <c r="W136" s="208">
        <f t="shared" si="50"/>
        <v>0</v>
      </c>
      <c r="X136" s="208">
        <f t="shared" si="51"/>
        <v>0</v>
      </c>
      <c r="Y136" s="208">
        <f t="shared" si="58"/>
        <v>0</v>
      </c>
      <c r="Z136" s="208">
        <f t="shared" si="52"/>
        <v>0</v>
      </c>
      <c r="AA136" s="208">
        <f t="shared" si="37"/>
        <v>0</v>
      </c>
      <c r="AB136" s="208">
        <f t="shared" si="38"/>
        <v>0</v>
      </c>
      <c r="AC136" s="209">
        <f t="shared" si="39"/>
        <v>0</v>
      </c>
      <c r="AD136" s="210">
        <f t="shared" si="40"/>
        <v>21731.625</v>
      </c>
      <c r="AE136" s="417">
        <f t="shared" si="41"/>
        <v>0</v>
      </c>
    </row>
    <row r="137" spans="2:31" s="167" customFormat="1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>
        <f t="shared" si="35"/>
        <v>0</v>
      </c>
      <c r="R137" s="206"/>
      <c r="S137" s="206"/>
      <c r="T137" s="208">
        <f t="shared" si="48"/>
        <v>0</v>
      </c>
      <c r="U137" s="208">
        <f t="shared" si="49"/>
        <v>0</v>
      </c>
      <c r="V137" s="208">
        <f t="shared" si="55"/>
        <v>0</v>
      </c>
      <c r="W137" s="208">
        <f t="shared" si="50"/>
        <v>0</v>
      </c>
      <c r="X137" s="208">
        <f t="shared" si="51"/>
        <v>0</v>
      </c>
      <c r="Y137" s="208">
        <f t="shared" si="58"/>
        <v>0</v>
      </c>
      <c r="Z137" s="208">
        <f t="shared" si="52"/>
        <v>0</v>
      </c>
      <c r="AA137" s="208">
        <f t="shared" si="37"/>
        <v>0</v>
      </c>
      <c r="AB137" s="208">
        <f t="shared" si="38"/>
        <v>0</v>
      </c>
      <c r="AC137" s="209">
        <f t="shared" si="39"/>
        <v>0</v>
      </c>
      <c r="AD137" s="210">
        <f t="shared" si="40"/>
        <v>0</v>
      </c>
      <c r="AE137" s="417"/>
    </row>
    <row r="138" spans="2:31" s="167" customFormat="1" ht="56.25" x14ac:dyDescent="0.25">
      <c r="B138" s="332" t="s">
        <v>369</v>
      </c>
      <c r="C138" s="333">
        <v>91785</v>
      </c>
      <c r="D138" s="334" t="s">
        <v>371</v>
      </c>
      <c r="E138" s="335" t="s">
        <v>37</v>
      </c>
      <c r="F138" s="414">
        <v>39.15</v>
      </c>
      <c r="G138" s="336">
        <v>98.77</v>
      </c>
      <c r="H138" s="338"/>
      <c r="I138" s="337"/>
      <c r="J138" s="338"/>
      <c r="K138" s="337"/>
      <c r="L138" s="337"/>
      <c r="M138" s="337"/>
      <c r="N138" s="337"/>
      <c r="O138" s="337">
        <v>98.77</v>
      </c>
      <c r="P138" s="337"/>
      <c r="Q138" s="336">
        <f t="shared" si="35"/>
        <v>98.77</v>
      </c>
      <c r="R138" s="336">
        <f t="shared" ref="R138:R159" si="59">G138-Q138</f>
        <v>0</v>
      </c>
      <c r="S138" s="336">
        <f t="shared" ref="S138:S159" si="60">F138*G138</f>
        <v>3866.8454999999999</v>
      </c>
      <c r="T138" s="339">
        <f t="shared" si="48"/>
        <v>0</v>
      </c>
      <c r="U138" s="339">
        <f t="shared" si="49"/>
        <v>0</v>
      </c>
      <c r="V138" s="339">
        <f t="shared" si="55"/>
        <v>0</v>
      </c>
      <c r="W138" s="339">
        <f t="shared" si="50"/>
        <v>0</v>
      </c>
      <c r="X138" s="339">
        <f t="shared" si="51"/>
        <v>0</v>
      </c>
      <c r="Y138" s="339">
        <f t="shared" si="58"/>
        <v>0</v>
      </c>
      <c r="Z138" s="339">
        <f t="shared" si="52"/>
        <v>0</v>
      </c>
      <c r="AA138" s="339">
        <f t="shared" si="37"/>
        <v>3866.84</v>
      </c>
      <c r="AB138" s="339">
        <f t="shared" si="38"/>
        <v>0</v>
      </c>
      <c r="AC138" s="340">
        <f t="shared" si="39"/>
        <v>3866.84</v>
      </c>
      <c r="AD138" s="341">
        <f t="shared" si="40"/>
        <v>5.4999999997562554E-3</v>
      </c>
      <c r="AE138" s="417">
        <f t="shared" si="41"/>
        <v>0.99999857765199052</v>
      </c>
    </row>
    <row r="139" spans="2:31" s="167" customFormat="1" ht="56.25" x14ac:dyDescent="0.25">
      <c r="B139" s="332" t="s">
        <v>372</v>
      </c>
      <c r="C139" s="333">
        <v>91784</v>
      </c>
      <c r="D139" s="334" t="s">
        <v>374</v>
      </c>
      <c r="E139" s="335" t="s">
        <v>37</v>
      </c>
      <c r="F139" s="414">
        <v>40.17</v>
      </c>
      <c r="G139" s="336">
        <v>62.17</v>
      </c>
      <c r="H139" s="338"/>
      <c r="I139" s="337"/>
      <c r="J139" s="338"/>
      <c r="K139" s="337"/>
      <c r="L139" s="337"/>
      <c r="M139" s="337"/>
      <c r="N139" s="337"/>
      <c r="O139" s="337">
        <v>62.17</v>
      </c>
      <c r="P139" s="337"/>
      <c r="Q139" s="336">
        <f t="shared" si="35"/>
        <v>62.17</v>
      </c>
      <c r="R139" s="336">
        <f t="shared" si="59"/>
        <v>0</v>
      </c>
      <c r="S139" s="336">
        <f t="shared" si="60"/>
        <v>2497.3689000000004</v>
      </c>
      <c r="T139" s="339">
        <f t="shared" si="48"/>
        <v>0</v>
      </c>
      <c r="U139" s="339">
        <f t="shared" si="49"/>
        <v>0</v>
      </c>
      <c r="V139" s="339">
        <f t="shared" si="55"/>
        <v>0</v>
      </c>
      <c r="W139" s="339">
        <f t="shared" si="50"/>
        <v>0</v>
      </c>
      <c r="X139" s="339">
        <f t="shared" si="51"/>
        <v>0</v>
      </c>
      <c r="Y139" s="339">
        <f t="shared" si="58"/>
        <v>0</v>
      </c>
      <c r="Z139" s="339">
        <f t="shared" si="52"/>
        <v>0</v>
      </c>
      <c r="AA139" s="339">
        <f t="shared" si="37"/>
        <v>2497.36</v>
      </c>
      <c r="AB139" s="339">
        <f t="shared" si="38"/>
        <v>0</v>
      </c>
      <c r="AC139" s="340">
        <f t="shared" si="39"/>
        <v>2497.36</v>
      </c>
      <c r="AD139" s="341">
        <f t="shared" si="40"/>
        <v>8.9000000002670276E-3</v>
      </c>
      <c r="AE139" s="417">
        <f t="shared" si="41"/>
        <v>0.99999643624936618</v>
      </c>
    </row>
    <row r="140" spans="2:31" s="167" customFormat="1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7"/>
      <c r="O140" s="207"/>
      <c r="P140" s="207"/>
      <c r="Q140" s="206">
        <f t="shared" si="35"/>
        <v>0</v>
      </c>
      <c r="R140" s="206">
        <f t="shared" si="59"/>
        <v>24.75</v>
      </c>
      <c r="S140" s="206">
        <f t="shared" si="60"/>
        <v>752.64750000000004</v>
      </c>
      <c r="T140" s="208">
        <f t="shared" si="48"/>
        <v>0</v>
      </c>
      <c r="U140" s="208">
        <f t="shared" si="49"/>
        <v>0</v>
      </c>
      <c r="V140" s="208">
        <f t="shared" si="55"/>
        <v>0</v>
      </c>
      <c r="W140" s="208">
        <f t="shared" si="50"/>
        <v>0</v>
      </c>
      <c r="X140" s="208">
        <f t="shared" si="51"/>
        <v>0</v>
      </c>
      <c r="Y140" s="208">
        <f t="shared" si="58"/>
        <v>0</v>
      </c>
      <c r="Z140" s="208">
        <f t="shared" si="52"/>
        <v>0</v>
      </c>
      <c r="AA140" s="208">
        <f t="shared" si="37"/>
        <v>0</v>
      </c>
      <c r="AB140" s="208">
        <f t="shared" si="38"/>
        <v>0</v>
      </c>
      <c r="AC140" s="209">
        <f t="shared" si="39"/>
        <v>0</v>
      </c>
      <c r="AD140" s="210">
        <f t="shared" si="40"/>
        <v>752.64750000000004</v>
      </c>
      <c r="AE140" s="417">
        <f t="shared" si="41"/>
        <v>0</v>
      </c>
    </row>
    <row r="141" spans="2:31" s="167" customFormat="1" ht="4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7"/>
      <c r="O141" s="207"/>
      <c r="P141" s="207"/>
      <c r="Q141" s="206">
        <f t="shared" si="35"/>
        <v>0</v>
      </c>
      <c r="R141" s="206">
        <f t="shared" si="59"/>
        <v>25.92</v>
      </c>
      <c r="S141" s="206">
        <f t="shared" si="60"/>
        <v>955.41120000000001</v>
      </c>
      <c r="T141" s="208">
        <f t="shared" si="48"/>
        <v>0</v>
      </c>
      <c r="U141" s="208">
        <f t="shared" si="49"/>
        <v>0</v>
      </c>
      <c r="V141" s="208">
        <f t="shared" si="55"/>
        <v>0</v>
      </c>
      <c r="W141" s="208">
        <f t="shared" si="50"/>
        <v>0</v>
      </c>
      <c r="X141" s="208">
        <f t="shared" si="51"/>
        <v>0</v>
      </c>
      <c r="Y141" s="208">
        <f t="shared" si="58"/>
        <v>0</v>
      </c>
      <c r="Z141" s="208">
        <f t="shared" si="52"/>
        <v>0</v>
      </c>
      <c r="AA141" s="208">
        <f t="shared" si="37"/>
        <v>0</v>
      </c>
      <c r="AB141" s="208">
        <f t="shared" si="38"/>
        <v>0</v>
      </c>
      <c r="AC141" s="209">
        <f t="shared" si="39"/>
        <v>0</v>
      </c>
      <c r="AD141" s="210">
        <f t="shared" si="40"/>
        <v>955.41120000000001</v>
      </c>
      <c r="AE141" s="417">
        <f t="shared" si="41"/>
        <v>0</v>
      </c>
    </row>
    <row r="142" spans="2:31" s="167" customFormat="1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7"/>
      <c r="O142" s="207"/>
      <c r="P142" s="207"/>
      <c r="Q142" s="206">
        <f t="shared" si="35"/>
        <v>0</v>
      </c>
      <c r="R142" s="206">
        <f t="shared" si="59"/>
        <v>10</v>
      </c>
      <c r="S142" s="206">
        <f t="shared" si="60"/>
        <v>1027.3</v>
      </c>
      <c r="T142" s="208">
        <f t="shared" ref="T142:T173" si="61">F142*H142</f>
        <v>0</v>
      </c>
      <c r="U142" s="208">
        <f t="shared" ref="U142:U173" si="62">F142*I142</f>
        <v>0</v>
      </c>
      <c r="V142" s="208">
        <f t="shared" si="55"/>
        <v>0</v>
      </c>
      <c r="W142" s="208">
        <f t="shared" ref="W142:W173" si="63">TRUNC(F142*K142,2)</f>
        <v>0</v>
      </c>
      <c r="X142" s="208">
        <f t="shared" ref="X142:X173" si="64">TRUNC(F142*L142,2)</f>
        <v>0</v>
      </c>
      <c r="Y142" s="208">
        <f t="shared" si="58"/>
        <v>0</v>
      </c>
      <c r="Z142" s="208">
        <f t="shared" si="52"/>
        <v>0</v>
      </c>
      <c r="AA142" s="208">
        <f t="shared" si="37"/>
        <v>0</v>
      </c>
      <c r="AB142" s="208">
        <f t="shared" si="38"/>
        <v>0</v>
      </c>
      <c r="AC142" s="209">
        <f t="shared" si="39"/>
        <v>0</v>
      </c>
      <c r="AD142" s="210">
        <f t="shared" si="40"/>
        <v>1027.3</v>
      </c>
      <c r="AE142" s="417">
        <f t="shared" si="41"/>
        <v>0</v>
      </c>
    </row>
    <row r="143" spans="2:31" s="167" customFormat="1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7"/>
      <c r="O143" s="207"/>
      <c r="P143" s="207"/>
      <c r="Q143" s="206">
        <f t="shared" ref="Q143:Q195" si="65">H143+I143+J143+K143+L143+M143+N143+O143+P143</f>
        <v>0</v>
      </c>
      <c r="R143" s="206">
        <f t="shared" si="59"/>
        <v>2</v>
      </c>
      <c r="S143" s="206">
        <f t="shared" si="60"/>
        <v>59.92</v>
      </c>
      <c r="T143" s="208">
        <f t="shared" si="61"/>
        <v>0</v>
      </c>
      <c r="U143" s="208">
        <f t="shared" si="62"/>
        <v>0</v>
      </c>
      <c r="V143" s="208">
        <f t="shared" si="55"/>
        <v>0</v>
      </c>
      <c r="W143" s="208">
        <f t="shared" si="63"/>
        <v>0</v>
      </c>
      <c r="X143" s="208">
        <f t="shared" si="64"/>
        <v>0</v>
      </c>
      <c r="Y143" s="208">
        <f t="shared" si="58"/>
        <v>0</v>
      </c>
      <c r="Z143" s="208">
        <f t="shared" ref="Z143:Z174" si="66">F143*N143</f>
        <v>0</v>
      </c>
      <c r="AA143" s="208">
        <f t="shared" ref="AA143:AA195" si="67">TRUNC(F143*O143,2)</f>
        <v>0</v>
      </c>
      <c r="AB143" s="208">
        <f t="shared" ref="AB143:AB195" si="68">TRUNC(F143*P143,2)</f>
        <v>0</v>
      </c>
      <c r="AC143" s="209">
        <f t="shared" ref="AC143:AC195" si="69">T143+U143+V143+W143+X143+Y143+Z143+AA143+AB143</f>
        <v>0</v>
      </c>
      <c r="AD143" s="210">
        <f t="shared" ref="AD143:AD196" si="70">S143-AC143</f>
        <v>59.92</v>
      </c>
      <c r="AE143" s="417">
        <f t="shared" ref="AE143:AE196" si="71">AC143/S143</f>
        <v>0</v>
      </c>
    </row>
    <row r="144" spans="2:31" s="167" customFormat="1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/>
      <c r="P144" s="206"/>
      <c r="Q144" s="206">
        <f t="shared" si="65"/>
        <v>0</v>
      </c>
      <c r="R144" s="206">
        <f t="shared" si="59"/>
        <v>6</v>
      </c>
      <c r="S144" s="206">
        <f t="shared" si="60"/>
        <v>584.28</v>
      </c>
      <c r="T144" s="208">
        <f t="shared" si="61"/>
        <v>0</v>
      </c>
      <c r="U144" s="208">
        <f t="shared" si="62"/>
        <v>0</v>
      </c>
      <c r="V144" s="208">
        <f t="shared" si="55"/>
        <v>0</v>
      </c>
      <c r="W144" s="208">
        <f t="shared" si="63"/>
        <v>0</v>
      </c>
      <c r="X144" s="208">
        <f t="shared" si="64"/>
        <v>0</v>
      </c>
      <c r="Y144" s="208">
        <f t="shared" si="58"/>
        <v>0</v>
      </c>
      <c r="Z144" s="208">
        <f t="shared" si="66"/>
        <v>0</v>
      </c>
      <c r="AA144" s="208">
        <f t="shared" si="67"/>
        <v>0</v>
      </c>
      <c r="AB144" s="208">
        <f t="shared" si="68"/>
        <v>0</v>
      </c>
      <c r="AC144" s="209">
        <f t="shared" si="69"/>
        <v>0</v>
      </c>
      <c r="AD144" s="210">
        <f t="shared" si="70"/>
        <v>584.28</v>
      </c>
      <c r="AE144" s="417">
        <f t="shared" si="71"/>
        <v>0</v>
      </c>
    </row>
    <row r="145" spans="2:31" s="167" customFormat="1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/>
      <c r="P145" s="206"/>
      <c r="Q145" s="206">
        <f t="shared" si="65"/>
        <v>0</v>
      </c>
      <c r="R145" s="206">
        <f t="shared" si="59"/>
        <v>2</v>
      </c>
      <c r="S145" s="206">
        <f t="shared" si="60"/>
        <v>1485</v>
      </c>
      <c r="T145" s="208">
        <f t="shared" si="61"/>
        <v>0</v>
      </c>
      <c r="U145" s="208">
        <f t="shared" si="62"/>
        <v>0</v>
      </c>
      <c r="V145" s="208">
        <f t="shared" si="55"/>
        <v>0</v>
      </c>
      <c r="W145" s="208">
        <f t="shared" si="63"/>
        <v>0</v>
      </c>
      <c r="X145" s="208">
        <f t="shared" si="64"/>
        <v>0</v>
      </c>
      <c r="Y145" s="208">
        <f t="shared" si="58"/>
        <v>0</v>
      </c>
      <c r="Z145" s="208">
        <f t="shared" si="66"/>
        <v>0</v>
      </c>
      <c r="AA145" s="208">
        <f t="shared" si="67"/>
        <v>0</v>
      </c>
      <c r="AB145" s="208">
        <f t="shared" si="68"/>
        <v>0</v>
      </c>
      <c r="AC145" s="209">
        <f t="shared" si="69"/>
        <v>0</v>
      </c>
      <c r="AD145" s="210">
        <f t="shared" si="70"/>
        <v>1485</v>
      </c>
      <c r="AE145" s="417">
        <f t="shared" si="71"/>
        <v>0</v>
      </c>
    </row>
    <row r="146" spans="2:31" s="167" customFormat="1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/>
      <c r="P146" s="206"/>
      <c r="Q146" s="206">
        <f t="shared" si="65"/>
        <v>0</v>
      </c>
      <c r="R146" s="206">
        <f t="shared" si="59"/>
        <v>2</v>
      </c>
      <c r="S146" s="206">
        <f t="shared" si="60"/>
        <v>2759.8</v>
      </c>
      <c r="T146" s="208">
        <f t="shared" si="61"/>
        <v>0</v>
      </c>
      <c r="U146" s="208">
        <f t="shared" si="62"/>
        <v>0</v>
      </c>
      <c r="V146" s="208">
        <f t="shared" si="55"/>
        <v>0</v>
      </c>
      <c r="W146" s="208">
        <f t="shared" si="63"/>
        <v>0</v>
      </c>
      <c r="X146" s="208">
        <f t="shared" si="64"/>
        <v>0</v>
      </c>
      <c r="Y146" s="208">
        <f t="shared" si="58"/>
        <v>0</v>
      </c>
      <c r="Z146" s="208">
        <f t="shared" si="66"/>
        <v>0</v>
      </c>
      <c r="AA146" s="208">
        <f t="shared" si="67"/>
        <v>0</v>
      </c>
      <c r="AB146" s="208">
        <f t="shared" si="68"/>
        <v>0</v>
      </c>
      <c r="AC146" s="209">
        <f t="shared" si="69"/>
        <v>0</v>
      </c>
      <c r="AD146" s="210">
        <f t="shared" si="70"/>
        <v>2759.8</v>
      </c>
      <c r="AE146" s="417">
        <f t="shared" si="71"/>
        <v>0</v>
      </c>
    </row>
    <row r="147" spans="2:31" s="167" customFormat="1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/>
      <c r="P147" s="206"/>
      <c r="Q147" s="206">
        <f t="shared" si="65"/>
        <v>0</v>
      </c>
      <c r="R147" s="206">
        <f t="shared" si="59"/>
        <v>4</v>
      </c>
      <c r="S147" s="206">
        <f t="shared" si="60"/>
        <v>188</v>
      </c>
      <c r="T147" s="208">
        <f t="shared" si="61"/>
        <v>0</v>
      </c>
      <c r="U147" s="208">
        <f t="shared" si="62"/>
        <v>0</v>
      </c>
      <c r="V147" s="208">
        <f t="shared" si="55"/>
        <v>0</v>
      </c>
      <c r="W147" s="208">
        <f t="shared" si="63"/>
        <v>0</v>
      </c>
      <c r="X147" s="208">
        <f t="shared" si="64"/>
        <v>0</v>
      </c>
      <c r="Y147" s="208">
        <f t="shared" si="58"/>
        <v>0</v>
      </c>
      <c r="Z147" s="208">
        <f t="shared" si="66"/>
        <v>0</v>
      </c>
      <c r="AA147" s="208">
        <f t="shared" si="67"/>
        <v>0</v>
      </c>
      <c r="AB147" s="208">
        <f t="shared" si="68"/>
        <v>0</v>
      </c>
      <c r="AC147" s="209">
        <f t="shared" si="69"/>
        <v>0</v>
      </c>
      <c r="AD147" s="210">
        <f t="shared" si="70"/>
        <v>188</v>
      </c>
      <c r="AE147" s="417">
        <f t="shared" si="71"/>
        <v>0</v>
      </c>
    </row>
    <row r="148" spans="2:31" s="167" customFormat="1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/>
      <c r="P148" s="206"/>
      <c r="Q148" s="206">
        <f t="shared" si="65"/>
        <v>0</v>
      </c>
      <c r="R148" s="206">
        <f t="shared" si="59"/>
        <v>4</v>
      </c>
      <c r="S148" s="206">
        <f t="shared" si="60"/>
        <v>163.96</v>
      </c>
      <c r="T148" s="208">
        <f t="shared" si="61"/>
        <v>0</v>
      </c>
      <c r="U148" s="208">
        <f t="shared" si="62"/>
        <v>0</v>
      </c>
      <c r="V148" s="208">
        <f t="shared" si="55"/>
        <v>0</v>
      </c>
      <c r="W148" s="208">
        <f t="shared" si="63"/>
        <v>0</v>
      </c>
      <c r="X148" s="208">
        <f t="shared" si="64"/>
        <v>0</v>
      </c>
      <c r="Y148" s="208">
        <f t="shared" si="58"/>
        <v>0</v>
      </c>
      <c r="Z148" s="208">
        <f t="shared" si="66"/>
        <v>0</v>
      </c>
      <c r="AA148" s="208">
        <f t="shared" si="67"/>
        <v>0</v>
      </c>
      <c r="AB148" s="208">
        <f t="shared" si="68"/>
        <v>0</v>
      </c>
      <c r="AC148" s="209">
        <f t="shared" si="69"/>
        <v>0</v>
      </c>
      <c r="AD148" s="210">
        <f t="shared" si="70"/>
        <v>163.96</v>
      </c>
      <c r="AE148" s="417">
        <f t="shared" si="71"/>
        <v>0</v>
      </c>
    </row>
    <row r="149" spans="2:31" s="167" customFormat="1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/>
      <c r="P149" s="206"/>
      <c r="Q149" s="206">
        <f t="shared" si="65"/>
        <v>0</v>
      </c>
      <c r="R149" s="206">
        <f t="shared" si="59"/>
        <v>2</v>
      </c>
      <c r="S149" s="206">
        <f t="shared" si="60"/>
        <v>84.24</v>
      </c>
      <c r="T149" s="208">
        <f t="shared" si="61"/>
        <v>0</v>
      </c>
      <c r="U149" s="208">
        <f t="shared" si="62"/>
        <v>0</v>
      </c>
      <c r="V149" s="208">
        <f t="shared" si="55"/>
        <v>0</v>
      </c>
      <c r="W149" s="208">
        <f t="shared" si="63"/>
        <v>0</v>
      </c>
      <c r="X149" s="208">
        <f t="shared" si="64"/>
        <v>0</v>
      </c>
      <c r="Y149" s="208">
        <f t="shared" si="58"/>
        <v>0</v>
      </c>
      <c r="Z149" s="208">
        <f t="shared" si="66"/>
        <v>0</v>
      </c>
      <c r="AA149" s="208">
        <f t="shared" si="67"/>
        <v>0</v>
      </c>
      <c r="AB149" s="208">
        <f t="shared" si="68"/>
        <v>0</v>
      </c>
      <c r="AC149" s="209">
        <f t="shared" si="69"/>
        <v>0</v>
      </c>
      <c r="AD149" s="210">
        <f t="shared" si="70"/>
        <v>84.24</v>
      </c>
      <c r="AE149" s="417">
        <f t="shared" si="71"/>
        <v>0</v>
      </c>
    </row>
    <row r="150" spans="2:31" s="167" customFormat="1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/>
      <c r="P150" s="206"/>
      <c r="Q150" s="206">
        <f t="shared" si="65"/>
        <v>0</v>
      </c>
      <c r="R150" s="206">
        <f t="shared" si="59"/>
        <v>1</v>
      </c>
      <c r="S150" s="206">
        <f t="shared" si="60"/>
        <v>147.76</v>
      </c>
      <c r="T150" s="208">
        <f t="shared" si="61"/>
        <v>0</v>
      </c>
      <c r="U150" s="208">
        <f t="shared" si="62"/>
        <v>0</v>
      </c>
      <c r="V150" s="208">
        <f t="shared" si="55"/>
        <v>0</v>
      </c>
      <c r="W150" s="208">
        <f t="shared" si="63"/>
        <v>0</v>
      </c>
      <c r="X150" s="208">
        <f t="shared" si="64"/>
        <v>0</v>
      </c>
      <c r="Y150" s="208">
        <f t="shared" si="58"/>
        <v>0</v>
      </c>
      <c r="Z150" s="208">
        <f t="shared" si="66"/>
        <v>0</v>
      </c>
      <c r="AA150" s="208">
        <f t="shared" si="67"/>
        <v>0</v>
      </c>
      <c r="AB150" s="208">
        <f t="shared" si="68"/>
        <v>0</v>
      </c>
      <c r="AC150" s="209">
        <f t="shared" si="69"/>
        <v>0</v>
      </c>
      <c r="AD150" s="210">
        <f t="shared" si="70"/>
        <v>147.76</v>
      </c>
      <c r="AE150" s="417">
        <f t="shared" si="71"/>
        <v>0</v>
      </c>
    </row>
    <row r="151" spans="2:31" s="167" customFormat="1" ht="33.7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/>
      <c r="P151" s="206"/>
      <c r="Q151" s="206">
        <f t="shared" si="65"/>
        <v>0</v>
      </c>
      <c r="R151" s="206">
        <f t="shared" si="59"/>
        <v>7</v>
      </c>
      <c r="S151" s="206">
        <f t="shared" si="60"/>
        <v>3527.58</v>
      </c>
      <c r="T151" s="208">
        <f t="shared" si="61"/>
        <v>0</v>
      </c>
      <c r="U151" s="208">
        <f t="shared" si="62"/>
        <v>0</v>
      </c>
      <c r="V151" s="208">
        <f t="shared" si="55"/>
        <v>0</v>
      </c>
      <c r="W151" s="208">
        <f t="shared" si="63"/>
        <v>0</v>
      </c>
      <c r="X151" s="208">
        <f t="shared" si="64"/>
        <v>0</v>
      </c>
      <c r="Y151" s="208">
        <f t="shared" si="58"/>
        <v>0</v>
      </c>
      <c r="Z151" s="208">
        <f t="shared" si="66"/>
        <v>0</v>
      </c>
      <c r="AA151" s="208">
        <f t="shared" si="67"/>
        <v>0</v>
      </c>
      <c r="AB151" s="208">
        <f t="shared" si="68"/>
        <v>0</v>
      </c>
      <c r="AC151" s="209">
        <f t="shared" si="69"/>
        <v>0</v>
      </c>
      <c r="AD151" s="210">
        <f t="shared" si="70"/>
        <v>3527.58</v>
      </c>
      <c r="AE151" s="417">
        <f t="shared" si="71"/>
        <v>0</v>
      </c>
    </row>
    <row r="152" spans="2:31" s="167" customFormat="1" ht="33.7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/>
      <c r="P152" s="206"/>
      <c r="Q152" s="206">
        <f t="shared" si="65"/>
        <v>0</v>
      </c>
      <c r="R152" s="206">
        <f t="shared" si="59"/>
        <v>1</v>
      </c>
      <c r="S152" s="206">
        <f t="shared" si="60"/>
        <v>206.7</v>
      </c>
      <c r="T152" s="208">
        <f t="shared" si="61"/>
        <v>0</v>
      </c>
      <c r="U152" s="208">
        <f t="shared" si="62"/>
        <v>0</v>
      </c>
      <c r="V152" s="208">
        <f t="shared" si="55"/>
        <v>0</v>
      </c>
      <c r="W152" s="208">
        <f t="shared" si="63"/>
        <v>0</v>
      </c>
      <c r="X152" s="208">
        <f t="shared" si="64"/>
        <v>0</v>
      </c>
      <c r="Y152" s="208">
        <f t="shared" si="58"/>
        <v>0</v>
      </c>
      <c r="Z152" s="208">
        <f t="shared" si="66"/>
        <v>0</v>
      </c>
      <c r="AA152" s="208">
        <f t="shared" si="67"/>
        <v>0</v>
      </c>
      <c r="AB152" s="208">
        <f t="shared" si="68"/>
        <v>0</v>
      </c>
      <c r="AC152" s="209">
        <f t="shared" si="69"/>
        <v>0</v>
      </c>
      <c r="AD152" s="210">
        <f t="shared" si="70"/>
        <v>206.7</v>
      </c>
      <c r="AE152" s="417">
        <f t="shared" si="71"/>
        <v>0</v>
      </c>
    </row>
    <row r="153" spans="2:31" s="167" customFormat="1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/>
      <c r="P153" s="206"/>
      <c r="Q153" s="206">
        <f t="shared" si="65"/>
        <v>0</v>
      </c>
      <c r="R153" s="206">
        <f t="shared" si="59"/>
        <v>10</v>
      </c>
      <c r="S153" s="206">
        <f t="shared" si="60"/>
        <v>328.29999999999995</v>
      </c>
      <c r="T153" s="208">
        <f t="shared" si="61"/>
        <v>0</v>
      </c>
      <c r="U153" s="208">
        <f t="shared" si="62"/>
        <v>0</v>
      </c>
      <c r="V153" s="208">
        <f t="shared" si="55"/>
        <v>0</v>
      </c>
      <c r="W153" s="208">
        <f t="shared" si="63"/>
        <v>0</v>
      </c>
      <c r="X153" s="208">
        <f t="shared" si="64"/>
        <v>0</v>
      </c>
      <c r="Y153" s="208">
        <f t="shared" si="58"/>
        <v>0</v>
      </c>
      <c r="Z153" s="208">
        <f t="shared" si="66"/>
        <v>0</v>
      </c>
      <c r="AA153" s="208">
        <f t="shared" si="67"/>
        <v>0</v>
      </c>
      <c r="AB153" s="208">
        <f t="shared" si="68"/>
        <v>0</v>
      </c>
      <c r="AC153" s="209">
        <f t="shared" si="69"/>
        <v>0</v>
      </c>
      <c r="AD153" s="210">
        <f t="shared" si="70"/>
        <v>328.29999999999995</v>
      </c>
      <c r="AE153" s="417">
        <f t="shared" si="71"/>
        <v>0</v>
      </c>
    </row>
    <row r="154" spans="2:31" s="167" customFormat="1" ht="56.25" x14ac:dyDescent="0.25">
      <c r="B154" s="332" t="s">
        <v>417</v>
      </c>
      <c r="C154" s="333">
        <v>91792</v>
      </c>
      <c r="D154" s="334" t="s">
        <v>419</v>
      </c>
      <c r="E154" s="335" t="s">
        <v>37</v>
      </c>
      <c r="F154" s="414">
        <v>54.23</v>
      </c>
      <c r="G154" s="336">
        <v>38.85</v>
      </c>
      <c r="H154" s="338"/>
      <c r="I154" s="337"/>
      <c r="J154" s="338"/>
      <c r="K154" s="337"/>
      <c r="L154" s="337"/>
      <c r="M154" s="337"/>
      <c r="N154" s="337"/>
      <c r="O154" s="337">
        <f>'MEMORIAL DE CALCULO 08'!K498</f>
        <v>38.85</v>
      </c>
      <c r="P154" s="337"/>
      <c r="Q154" s="336">
        <f t="shared" si="65"/>
        <v>38.85</v>
      </c>
      <c r="R154" s="336">
        <f t="shared" si="59"/>
        <v>0</v>
      </c>
      <c r="S154" s="336">
        <f t="shared" si="60"/>
        <v>2106.8355000000001</v>
      </c>
      <c r="T154" s="339">
        <f t="shared" si="61"/>
        <v>0</v>
      </c>
      <c r="U154" s="339">
        <f t="shared" si="62"/>
        <v>0</v>
      </c>
      <c r="V154" s="339">
        <f t="shared" si="55"/>
        <v>0</v>
      </c>
      <c r="W154" s="339">
        <f t="shared" si="63"/>
        <v>0</v>
      </c>
      <c r="X154" s="339">
        <f t="shared" si="64"/>
        <v>0</v>
      </c>
      <c r="Y154" s="339">
        <f t="shared" si="58"/>
        <v>0</v>
      </c>
      <c r="Z154" s="339">
        <f t="shared" si="66"/>
        <v>0</v>
      </c>
      <c r="AA154" s="339">
        <f t="shared" si="67"/>
        <v>2106.83</v>
      </c>
      <c r="AB154" s="339">
        <f t="shared" si="68"/>
        <v>0</v>
      </c>
      <c r="AC154" s="340">
        <f t="shared" si="69"/>
        <v>2106.83</v>
      </c>
      <c r="AD154" s="341">
        <f t="shared" si="70"/>
        <v>5.5000000002110028E-3</v>
      </c>
      <c r="AE154" s="417">
        <f t="shared" si="71"/>
        <v>0.99999738944972205</v>
      </c>
    </row>
    <row r="155" spans="2:31" s="167" customFormat="1" ht="56.25" x14ac:dyDescent="0.25">
      <c r="B155" s="332" t="s">
        <v>420</v>
      </c>
      <c r="C155" s="333">
        <v>91793</v>
      </c>
      <c r="D155" s="334" t="s">
        <v>422</v>
      </c>
      <c r="E155" s="335" t="s">
        <v>37</v>
      </c>
      <c r="F155" s="414">
        <v>87.3</v>
      </c>
      <c r="G155" s="336">
        <v>46.51</v>
      </c>
      <c r="H155" s="338"/>
      <c r="I155" s="337"/>
      <c r="J155" s="338"/>
      <c r="K155" s="337"/>
      <c r="L155" s="337"/>
      <c r="M155" s="337"/>
      <c r="N155" s="337"/>
      <c r="O155" s="337">
        <f>'MEMORIAL DE CALCULO 08'!K501</f>
        <v>46.51</v>
      </c>
      <c r="P155" s="337"/>
      <c r="Q155" s="336">
        <f t="shared" si="65"/>
        <v>46.51</v>
      </c>
      <c r="R155" s="336">
        <f t="shared" si="59"/>
        <v>0</v>
      </c>
      <c r="S155" s="336">
        <f t="shared" si="60"/>
        <v>4060.3229999999999</v>
      </c>
      <c r="T155" s="339">
        <f t="shared" si="61"/>
        <v>0</v>
      </c>
      <c r="U155" s="339">
        <f t="shared" si="62"/>
        <v>0</v>
      </c>
      <c r="V155" s="339">
        <f t="shared" ref="V155:V186" si="72">F155*J155</f>
        <v>0</v>
      </c>
      <c r="W155" s="339">
        <f t="shared" si="63"/>
        <v>0</v>
      </c>
      <c r="X155" s="339">
        <f t="shared" si="64"/>
        <v>0</v>
      </c>
      <c r="Y155" s="339">
        <f t="shared" si="58"/>
        <v>0</v>
      </c>
      <c r="Z155" s="339">
        <f t="shared" si="66"/>
        <v>0</v>
      </c>
      <c r="AA155" s="339">
        <f t="shared" si="67"/>
        <v>4060.32</v>
      </c>
      <c r="AB155" s="339">
        <f t="shared" si="68"/>
        <v>0</v>
      </c>
      <c r="AC155" s="340">
        <f t="shared" si="69"/>
        <v>4060.32</v>
      </c>
      <c r="AD155" s="341">
        <f t="shared" si="70"/>
        <v>2.9999999997016857E-3</v>
      </c>
      <c r="AE155" s="417">
        <f t="shared" si="71"/>
        <v>0.99999926114252491</v>
      </c>
    </row>
    <row r="156" spans="2:31" s="167" customFormat="1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7"/>
      <c r="O156" s="207"/>
      <c r="P156" s="207"/>
      <c r="Q156" s="206">
        <f t="shared" si="65"/>
        <v>0</v>
      </c>
      <c r="R156" s="206">
        <f t="shared" si="59"/>
        <v>1</v>
      </c>
      <c r="S156" s="206">
        <f t="shared" si="60"/>
        <v>243.02</v>
      </c>
      <c r="T156" s="208">
        <f t="shared" si="61"/>
        <v>0</v>
      </c>
      <c r="U156" s="208">
        <f t="shared" si="62"/>
        <v>0</v>
      </c>
      <c r="V156" s="208">
        <f t="shared" si="72"/>
        <v>0</v>
      </c>
      <c r="W156" s="208">
        <f t="shared" si="63"/>
        <v>0</v>
      </c>
      <c r="X156" s="208">
        <f t="shared" si="64"/>
        <v>0</v>
      </c>
      <c r="Y156" s="208">
        <f t="shared" si="58"/>
        <v>0</v>
      </c>
      <c r="Z156" s="208">
        <f t="shared" si="66"/>
        <v>0</v>
      </c>
      <c r="AA156" s="208">
        <f t="shared" si="67"/>
        <v>0</v>
      </c>
      <c r="AB156" s="208">
        <f t="shared" si="68"/>
        <v>0</v>
      </c>
      <c r="AC156" s="209">
        <f t="shared" si="69"/>
        <v>0</v>
      </c>
      <c r="AD156" s="210">
        <f t="shared" si="70"/>
        <v>243.02</v>
      </c>
      <c r="AE156" s="417">
        <f t="shared" si="71"/>
        <v>0</v>
      </c>
    </row>
    <row r="157" spans="2:31" s="167" customFormat="1" ht="56.25" x14ac:dyDescent="0.25">
      <c r="B157" s="332" t="s">
        <v>426</v>
      </c>
      <c r="C157" s="333">
        <v>91795</v>
      </c>
      <c r="D157" s="334" t="s">
        <v>428</v>
      </c>
      <c r="E157" s="335" t="s">
        <v>37</v>
      </c>
      <c r="F157" s="414">
        <v>65.239999999999995</v>
      </c>
      <c r="G157" s="336">
        <v>132.77000000000001</v>
      </c>
      <c r="H157" s="338"/>
      <c r="I157" s="337"/>
      <c r="J157" s="338"/>
      <c r="K157" s="337"/>
      <c r="L157" s="337"/>
      <c r="M157" s="337"/>
      <c r="N157" s="337">
        <v>6</v>
      </c>
      <c r="O157" s="337">
        <f>'MEMORIAL DE CALCULO 08'!K507</f>
        <v>66.385000000000005</v>
      </c>
      <c r="P157" s="337"/>
      <c r="Q157" s="336">
        <f t="shared" si="65"/>
        <v>72.385000000000005</v>
      </c>
      <c r="R157" s="336">
        <f t="shared" si="59"/>
        <v>60.385000000000005</v>
      </c>
      <c r="S157" s="336">
        <f t="shared" si="60"/>
        <v>8661.9148000000005</v>
      </c>
      <c r="T157" s="339">
        <f t="shared" si="61"/>
        <v>0</v>
      </c>
      <c r="U157" s="339">
        <f t="shared" si="62"/>
        <v>0</v>
      </c>
      <c r="V157" s="339">
        <f t="shared" si="72"/>
        <v>0</v>
      </c>
      <c r="W157" s="339">
        <f t="shared" si="63"/>
        <v>0</v>
      </c>
      <c r="X157" s="339">
        <f t="shared" si="64"/>
        <v>0</v>
      </c>
      <c r="Y157" s="339">
        <f t="shared" si="58"/>
        <v>0</v>
      </c>
      <c r="Z157" s="339">
        <f t="shared" si="66"/>
        <v>391.43999999999994</v>
      </c>
      <c r="AA157" s="339">
        <f t="shared" si="67"/>
        <v>4330.95</v>
      </c>
      <c r="AB157" s="339">
        <f t="shared" si="68"/>
        <v>0</v>
      </c>
      <c r="AC157" s="340">
        <f t="shared" si="69"/>
        <v>4722.3899999999994</v>
      </c>
      <c r="AD157" s="341">
        <f t="shared" si="70"/>
        <v>3939.5248000000011</v>
      </c>
      <c r="AE157" s="417">
        <f t="shared" si="71"/>
        <v>0.54519007737180691</v>
      </c>
    </row>
    <row r="158" spans="2:31" s="167" customFormat="1" ht="33.7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16"/>
      <c r="P158" s="216"/>
      <c r="Q158" s="206">
        <f t="shared" si="65"/>
        <v>0</v>
      </c>
      <c r="R158" s="206">
        <f t="shared" si="59"/>
        <v>2</v>
      </c>
      <c r="S158" s="206">
        <f t="shared" si="60"/>
        <v>494.24</v>
      </c>
      <c r="T158" s="208">
        <f t="shared" si="61"/>
        <v>0</v>
      </c>
      <c r="U158" s="208">
        <f t="shared" si="62"/>
        <v>0</v>
      </c>
      <c r="V158" s="208">
        <f t="shared" si="72"/>
        <v>0</v>
      </c>
      <c r="W158" s="208">
        <f t="shared" si="63"/>
        <v>0</v>
      </c>
      <c r="X158" s="208">
        <f t="shared" si="64"/>
        <v>0</v>
      </c>
      <c r="Y158" s="208">
        <f t="shared" si="58"/>
        <v>0</v>
      </c>
      <c r="Z158" s="208">
        <f t="shared" si="66"/>
        <v>0</v>
      </c>
      <c r="AA158" s="208">
        <f t="shared" si="67"/>
        <v>0</v>
      </c>
      <c r="AB158" s="208">
        <f t="shared" si="68"/>
        <v>0</v>
      </c>
      <c r="AC158" s="209">
        <f t="shared" si="69"/>
        <v>0</v>
      </c>
      <c r="AD158" s="210">
        <f t="shared" si="70"/>
        <v>494.24</v>
      </c>
      <c r="AE158" s="417">
        <f t="shared" si="71"/>
        <v>0</v>
      </c>
    </row>
    <row r="159" spans="2:31" s="167" customFormat="1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9"/>
      <c r="O159" s="29"/>
      <c r="P159" s="29"/>
      <c r="Q159" s="206">
        <f t="shared" si="65"/>
        <v>0</v>
      </c>
      <c r="R159" s="206">
        <f t="shared" si="59"/>
        <v>43.01</v>
      </c>
      <c r="S159" s="206">
        <f t="shared" si="60"/>
        <v>2426.6241999999997</v>
      </c>
      <c r="T159" s="208">
        <f t="shared" si="61"/>
        <v>0</v>
      </c>
      <c r="U159" s="208">
        <f t="shared" si="62"/>
        <v>0</v>
      </c>
      <c r="V159" s="208">
        <f t="shared" si="72"/>
        <v>0</v>
      </c>
      <c r="W159" s="208">
        <f t="shared" si="63"/>
        <v>0</v>
      </c>
      <c r="X159" s="208">
        <f t="shared" si="64"/>
        <v>0</v>
      </c>
      <c r="Y159" s="208">
        <f t="shared" si="58"/>
        <v>0</v>
      </c>
      <c r="Z159" s="208">
        <f t="shared" si="66"/>
        <v>0</v>
      </c>
      <c r="AA159" s="208">
        <f t="shared" si="67"/>
        <v>0</v>
      </c>
      <c r="AB159" s="208">
        <f t="shared" si="68"/>
        <v>0</v>
      </c>
      <c r="AC159" s="209">
        <f t="shared" si="69"/>
        <v>0</v>
      </c>
      <c r="AD159" s="210">
        <f t="shared" si="70"/>
        <v>2426.6241999999997</v>
      </c>
      <c r="AE159" s="417">
        <f t="shared" si="71"/>
        <v>0</v>
      </c>
    </row>
    <row r="160" spans="2:31" s="167" customFormat="1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>
        <f t="shared" si="65"/>
        <v>0</v>
      </c>
      <c r="R160" s="206"/>
      <c r="S160" s="206"/>
      <c r="T160" s="208">
        <f t="shared" si="61"/>
        <v>0</v>
      </c>
      <c r="U160" s="208">
        <f t="shared" si="62"/>
        <v>0</v>
      </c>
      <c r="V160" s="208">
        <f t="shared" si="72"/>
        <v>0</v>
      </c>
      <c r="W160" s="208">
        <f t="shared" si="63"/>
        <v>0</v>
      </c>
      <c r="X160" s="208">
        <f t="shared" si="64"/>
        <v>0</v>
      </c>
      <c r="Y160" s="208">
        <f t="shared" si="58"/>
        <v>0</v>
      </c>
      <c r="Z160" s="208">
        <f t="shared" si="66"/>
        <v>0</v>
      </c>
      <c r="AA160" s="208">
        <f t="shared" si="67"/>
        <v>0</v>
      </c>
      <c r="AB160" s="208">
        <f t="shared" si="68"/>
        <v>0</v>
      </c>
      <c r="AC160" s="209">
        <f t="shared" si="69"/>
        <v>0</v>
      </c>
      <c r="AD160" s="210">
        <f t="shared" si="70"/>
        <v>0</v>
      </c>
      <c r="AE160" s="417"/>
    </row>
    <row r="161" spans="2:31" s="167" customFormat="1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/>
      <c r="P161" s="206"/>
      <c r="Q161" s="206">
        <f t="shared" si="65"/>
        <v>0</v>
      </c>
      <c r="R161" s="206">
        <f t="shared" ref="R161:R172" si="73">G161-Q161</f>
        <v>14.07</v>
      </c>
      <c r="S161" s="206">
        <f t="shared" ref="S161:S172" si="74">F161*G161</f>
        <v>7469.3409000000001</v>
      </c>
      <c r="T161" s="208">
        <f t="shared" si="61"/>
        <v>0</v>
      </c>
      <c r="U161" s="208">
        <f t="shared" si="62"/>
        <v>0</v>
      </c>
      <c r="V161" s="208">
        <f t="shared" si="72"/>
        <v>0</v>
      </c>
      <c r="W161" s="208">
        <f t="shared" si="63"/>
        <v>0</v>
      </c>
      <c r="X161" s="208">
        <f t="shared" si="64"/>
        <v>0</v>
      </c>
      <c r="Y161" s="208">
        <f t="shared" si="58"/>
        <v>0</v>
      </c>
      <c r="Z161" s="208">
        <f t="shared" si="66"/>
        <v>0</v>
      </c>
      <c r="AA161" s="208">
        <f t="shared" si="67"/>
        <v>0</v>
      </c>
      <c r="AB161" s="208">
        <f t="shared" si="68"/>
        <v>0</v>
      </c>
      <c r="AC161" s="209">
        <f t="shared" si="69"/>
        <v>0</v>
      </c>
      <c r="AD161" s="210">
        <f t="shared" si="70"/>
        <v>7469.3409000000001</v>
      </c>
      <c r="AE161" s="417">
        <f t="shared" si="71"/>
        <v>0</v>
      </c>
    </row>
    <row r="162" spans="2:31" s="167" customFormat="1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16"/>
      <c r="P162" s="216"/>
      <c r="Q162" s="206">
        <f t="shared" si="65"/>
        <v>0</v>
      </c>
      <c r="R162" s="206">
        <f t="shared" si="73"/>
        <v>10</v>
      </c>
      <c r="S162" s="206">
        <f t="shared" si="74"/>
        <v>706.4</v>
      </c>
      <c r="T162" s="208">
        <f t="shared" si="61"/>
        <v>0</v>
      </c>
      <c r="U162" s="208">
        <f t="shared" si="62"/>
        <v>0</v>
      </c>
      <c r="V162" s="208">
        <f t="shared" si="72"/>
        <v>0</v>
      </c>
      <c r="W162" s="208">
        <f t="shared" si="63"/>
        <v>0</v>
      </c>
      <c r="X162" s="208">
        <f t="shared" si="64"/>
        <v>0</v>
      </c>
      <c r="Y162" s="208">
        <f t="shared" ref="Y162:Y195" si="75">M162*F162</f>
        <v>0</v>
      </c>
      <c r="Z162" s="208">
        <f t="shared" si="66"/>
        <v>0</v>
      </c>
      <c r="AA162" s="208">
        <f t="shared" si="67"/>
        <v>0</v>
      </c>
      <c r="AB162" s="208">
        <f t="shared" si="68"/>
        <v>0</v>
      </c>
      <c r="AC162" s="209">
        <f t="shared" si="69"/>
        <v>0</v>
      </c>
      <c r="AD162" s="210">
        <f t="shared" si="70"/>
        <v>706.4</v>
      </c>
      <c r="AE162" s="417">
        <f t="shared" si="71"/>
        <v>0</v>
      </c>
    </row>
    <row r="163" spans="2:31" s="167" customFormat="1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/>
      <c r="P163" s="206"/>
      <c r="Q163" s="206">
        <f t="shared" si="65"/>
        <v>0</v>
      </c>
      <c r="R163" s="206">
        <f t="shared" si="73"/>
        <v>3</v>
      </c>
      <c r="S163" s="206">
        <f t="shared" si="74"/>
        <v>247.95000000000002</v>
      </c>
      <c r="T163" s="208">
        <f t="shared" si="61"/>
        <v>0</v>
      </c>
      <c r="U163" s="208">
        <f t="shared" si="62"/>
        <v>0</v>
      </c>
      <c r="V163" s="208">
        <f t="shared" si="72"/>
        <v>0</v>
      </c>
      <c r="W163" s="208">
        <f t="shared" si="63"/>
        <v>0</v>
      </c>
      <c r="X163" s="208">
        <f t="shared" si="64"/>
        <v>0</v>
      </c>
      <c r="Y163" s="208">
        <f t="shared" si="75"/>
        <v>0</v>
      </c>
      <c r="Z163" s="208">
        <f t="shared" si="66"/>
        <v>0</v>
      </c>
      <c r="AA163" s="208">
        <f t="shared" si="67"/>
        <v>0</v>
      </c>
      <c r="AB163" s="208">
        <f t="shared" si="68"/>
        <v>0</v>
      </c>
      <c r="AC163" s="209">
        <f t="shared" si="69"/>
        <v>0</v>
      </c>
      <c r="AD163" s="210">
        <f t="shared" si="70"/>
        <v>247.95000000000002</v>
      </c>
      <c r="AE163" s="417">
        <f t="shared" si="71"/>
        <v>0</v>
      </c>
    </row>
    <row r="164" spans="2:31" s="167" customFormat="1" ht="22.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/>
      <c r="P164" s="206"/>
      <c r="Q164" s="206">
        <f t="shared" si="65"/>
        <v>0</v>
      </c>
      <c r="R164" s="206">
        <f t="shared" si="73"/>
        <v>8</v>
      </c>
      <c r="S164" s="206">
        <f t="shared" si="74"/>
        <v>4006</v>
      </c>
      <c r="T164" s="208">
        <f t="shared" si="61"/>
        <v>0</v>
      </c>
      <c r="U164" s="208">
        <f t="shared" si="62"/>
        <v>0</v>
      </c>
      <c r="V164" s="208">
        <f t="shared" si="72"/>
        <v>0</v>
      </c>
      <c r="W164" s="208">
        <f t="shared" si="63"/>
        <v>0</v>
      </c>
      <c r="X164" s="208">
        <f t="shared" si="64"/>
        <v>0</v>
      </c>
      <c r="Y164" s="208">
        <f t="shared" si="75"/>
        <v>0</v>
      </c>
      <c r="Z164" s="208">
        <f t="shared" si="66"/>
        <v>0</v>
      </c>
      <c r="AA164" s="208">
        <f t="shared" si="67"/>
        <v>0</v>
      </c>
      <c r="AB164" s="208">
        <f t="shared" si="68"/>
        <v>0</v>
      </c>
      <c r="AC164" s="209">
        <f t="shared" si="69"/>
        <v>0</v>
      </c>
      <c r="AD164" s="210">
        <f t="shared" si="70"/>
        <v>4006</v>
      </c>
      <c r="AE164" s="417">
        <f t="shared" si="71"/>
        <v>0</v>
      </c>
    </row>
    <row r="165" spans="2:31" s="167" customFormat="1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/>
      <c r="P165" s="206"/>
      <c r="Q165" s="206">
        <f t="shared" si="65"/>
        <v>0</v>
      </c>
      <c r="R165" s="206">
        <f t="shared" si="73"/>
        <v>9</v>
      </c>
      <c r="S165" s="206">
        <f t="shared" si="74"/>
        <v>4773.1500000000005</v>
      </c>
      <c r="T165" s="208">
        <f t="shared" si="61"/>
        <v>0</v>
      </c>
      <c r="U165" s="208">
        <f t="shared" si="62"/>
        <v>0</v>
      </c>
      <c r="V165" s="208">
        <f t="shared" si="72"/>
        <v>0</v>
      </c>
      <c r="W165" s="208">
        <f t="shared" si="63"/>
        <v>0</v>
      </c>
      <c r="X165" s="208">
        <f t="shared" si="64"/>
        <v>0</v>
      </c>
      <c r="Y165" s="208">
        <f t="shared" si="75"/>
        <v>0</v>
      </c>
      <c r="Z165" s="208">
        <f t="shared" si="66"/>
        <v>0</v>
      </c>
      <c r="AA165" s="208">
        <f t="shared" si="67"/>
        <v>0</v>
      </c>
      <c r="AB165" s="208">
        <f t="shared" si="68"/>
        <v>0</v>
      </c>
      <c r="AC165" s="209">
        <f t="shared" si="69"/>
        <v>0</v>
      </c>
      <c r="AD165" s="210">
        <f t="shared" si="70"/>
        <v>4773.1500000000005</v>
      </c>
      <c r="AE165" s="417">
        <f t="shared" si="71"/>
        <v>0</v>
      </c>
    </row>
    <row r="166" spans="2:31" s="167" customFormat="1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/>
      <c r="P166" s="206"/>
      <c r="Q166" s="206">
        <f t="shared" si="65"/>
        <v>0</v>
      </c>
      <c r="R166" s="206">
        <f t="shared" si="73"/>
        <v>2</v>
      </c>
      <c r="S166" s="206">
        <f t="shared" si="74"/>
        <v>648.58000000000004</v>
      </c>
      <c r="T166" s="208">
        <f t="shared" si="61"/>
        <v>0</v>
      </c>
      <c r="U166" s="208">
        <f t="shared" si="62"/>
        <v>0</v>
      </c>
      <c r="V166" s="208">
        <f t="shared" si="72"/>
        <v>0</v>
      </c>
      <c r="W166" s="208">
        <f t="shared" si="63"/>
        <v>0</v>
      </c>
      <c r="X166" s="208">
        <f t="shared" si="64"/>
        <v>0</v>
      </c>
      <c r="Y166" s="208">
        <f t="shared" si="75"/>
        <v>0</v>
      </c>
      <c r="Z166" s="208">
        <f t="shared" si="66"/>
        <v>0</v>
      </c>
      <c r="AA166" s="208">
        <f t="shared" si="67"/>
        <v>0</v>
      </c>
      <c r="AB166" s="208">
        <f t="shared" si="68"/>
        <v>0</v>
      </c>
      <c r="AC166" s="209">
        <f t="shared" si="69"/>
        <v>0</v>
      </c>
      <c r="AD166" s="210">
        <f t="shared" si="70"/>
        <v>648.58000000000004</v>
      </c>
      <c r="AE166" s="417">
        <f t="shared" si="71"/>
        <v>0</v>
      </c>
    </row>
    <row r="167" spans="2:31" s="167" customFormat="1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/>
      <c r="P167" s="206"/>
      <c r="Q167" s="206">
        <f t="shared" si="65"/>
        <v>0</v>
      </c>
      <c r="R167" s="206">
        <f t="shared" si="73"/>
        <v>2</v>
      </c>
      <c r="S167" s="206">
        <f t="shared" si="74"/>
        <v>706.9</v>
      </c>
      <c r="T167" s="208">
        <f t="shared" si="61"/>
        <v>0</v>
      </c>
      <c r="U167" s="208">
        <f t="shared" si="62"/>
        <v>0</v>
      </c>
      <c r="V167" s="208">
        <f t="shared" si="72"/>
        <v>0</v>
      </c>
      <c r="W167" s="208">
        <f t="shared" si="63"/>
        <v>0</v>
      </c>
      <c r="X167" s="208">
        <f t="shared" si="64"/>
        <v>0</v>
      </c>
      <c r="Y167" s="208">
        <f t="shared" si="75"/>
        <v>0</v>
      </c>
      <c r="Z167" s="208">
        <f t="shared" si="66"/>
        <v>0</v>
      </c>
      <c r="AA167" s="208">
        <f t="shared" si="67"/>
        <v>0</v>
      </c>
      <c r="AB167" s="208">
        <f t="shared" si="68"/>
        <v>0</v>
      </c>
      <c r="AC167" s="209">
        <f t="shared" si="69"/>
        <v>0</v>
      </c>
      <c r="AD167" s="210">
        <f t="shared" si="70"/>
        <v>706.9</v>
      </c>
      <c r="AE167" s="417">
        <f t="shared" si="71"/>
        <v>0</v>
      </c>
    </row>
    <row r="168" spans="2:31" s="167" customFormat="1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/>
      <c r="P168" s="206"/>
      <c r="Q168" s="206">
        <f t="shared" si="65"/>
        <v>0</v>
      </c>
      <c r="R168" s="206">
        <f t="shared" si="73"/>
        <v>1</v>
      </c>
      <c r="S168" s="206">
        <f t="shared" si="74"/>
        <v>260.25</v>
      </c>
      <c r="T168" s="208">
        <f t="shared" si="61"/>
        <v>0</v>
      </c>
      <c r="U168" s="208">
        <f t="shared" si="62"/>
        <v>0</v>
      </c>
      <c r="V168" s="208">
        <f t="shared" si="72"/>
        <v>0</v>
      </c>
      <c r="W168" s="208">
        <f t="shared" si="63"/>
        <v>0</v>
      </c>
      <c r="X168" s="208">
        <f t="shared" si="64"/>
        <v>0</v>
      </c>
      <c r="Y168" s="208">
        <f t="shared" si="75"/>
        <v>0</v>
      </c>
      <c r="Z168" s="208">
        <f t="shared" si="66"/>
        <v>0</v>
      </c>
      <c r="AA168" s="208">
        <f t="shared" si="67"/>
        <v>0</v>
      </c>
      <c r="AB168" s="208">
        <f t="shared" si="68"/>
        <v>0</v>
      </c>
      <c r="AC168" s="209">
        <f t="shared" si="69"/>
        <v>0</v>
      </c>
      <c r="AD168" s="210">
        <f t="shared" si="70"/>
        <v>260.25</v>
      </c>
      <c r="AE168" s="417">
        <f t="shared" si="71"/>
        <v>0</v>
      </c>
    </row>
    <row r="169" spans="2:31" s="167" customFormat="1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/>
      <c r="P169" s="206"/>
      <c r="Q169" s="206">
        <f t="shared" si="65"/>
        <v>0</v>
      </c>
      <c r="R169" s="206">
        <f t="shared" si="73"/>
        <v>1</v>
      </c>
      <c r="S169" s="206">
        <f t="shared" si="74"/>
        <v>586.14</v>
      </c>
      <c r="T169" s="208">
        <f t="shared" si="61"/>
        <v>0</v>
      </c>
      <c r="U169" s="208">
        <f t="shared" si="62"/>
        <v>0</v>
      </c>
      <c r="V169" s="208">
        <f t="shared" si="72"/>
        <v>0</v>
      </c>
      <c r="W169" s="208">
        <f t="shared" si="63"/>
        <v>0</v>
      </c>
      <c r="X169" s="208">
        <f t="shared" si="64"/>
        <v>0</v>
      </c>
      <c r="Y169" s="208">
        <f t="shared" si="75"/>
        <v>0</v>
      </c>
      <c r="Z169" s="208">
        <f t="shared" si="66"/>
        <v>0</v>
      </c>
      <c r="AA169" s="208">
        <f t="shared" si="67"/>
        <v>0</v>
      </c>
      <c r="AB169" s="208">
        <f t="shared" si="68"/>
        <v>0</v>
      </c>
      <c r="AC169" s="209">
        <f t="shared" si="69"/>
        <v>0</v>
      </c>
      <c r="AD169" s="210">
        <f t="shared" si="70"/>
        <v>586.14</v>
      </c>
      <c r="AE169" s="417">
        <f t="shared" si="71"/>
        <v>0</v>
      </c>
    </row>
    <row r="170" spans="2:31" s="167" customFormat="1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/>
      <c r="P170" s="206"/>
      <c r="Q170" s="206">
        <f t="shared" si="65"/>
        <v>0</v>
      </c>
      <c r="R170" s="206">
        <f t="shared" si="73"/>
        <v>1</v>
      </c>
      <c r="S170" s="206">
        <f t="shared" si="74"/>
        <v>769.27</v>
      </c>
      <c r="T170" s="208">
        <f t="shared" si="61"/>
        <v>0</v>
      </c>
      <c r="U170" s="208">
        <f t="shared" si="62"/>
        <v>0</v>
      </c>
      <c r="V170" s="208">
        <f t="shared" si="72"/>
        <v>0</v>
      </c>
      <c r="W170" s="208">
        <f t="shared" si="63"/>
        <v>0</v>
      </c>
      <c r="X170" s="208">
        <f t="shared" si="64"/>
        <v>0</v>
      </c>
      <c r="Y170" s="208">
        <f t="shared" si="75"/>
        <v>0</v>
      </c>
      <c r="Z170" s="208">
        <f t="shared" si="66"/>
        <v>0</v>
      </c>
      <c r="AA170" s="208">
        <f t="shared" si="67"/>
        <v>0</v>
      </c>
      <c r="AB170" s="208">
        <f t="shared" si="68"/>
        <v>0</v>
      </c>
      <c r="AC170" s="209">
        <f t="shared" si="69"/>
        <v>0</v>
      </c>
      <c r="AD170" s="210">
        <f t="shared" si="70"/>
        <v>769.27</v>
      </c>
      <c r="AE170" s="417">
        <f t="shared" si="71"/>
        <v>0</v>
      </c>
    </row>
    <row r="171" spans="2:31" s="167" customFormat="1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/>
      <c r="P171" s="206"/>
      <c r="Q171" s="206">
        <f t="shared" si="65"/>
        <v>0</v>
      </c>
      <c r="R171" s="206">
        <f t="shared" si="73"/>
        <v>33.92</v>
      </c>
      <c r="S171" s="206">
        <f t="shared" si="74"/>
        <v>23493.670400000003</v>
      </c>
      <c r="T171" s="208">
        <f t="shared" si="61"/>
        <v>0</v>
      </c>
      <c r="U171" s="208">
        <f t="shared" si="62"/>
        <v>0</v>
      </c>
      <c r="V171" s="208">
        <f t="shared" si="72"/>
        <v>0</v>
      </c>
      <c r="W171" s="208">
        <f t="shared" si="63"/>
        <v>0</v>
      </c>
      <c r="X171" s="208">
        <f t="shared" si="64"/>
        <v>0</v>
      </c>
      <c r="Y171" s="208">
        <f t="shared" si="75"/>
        <v>0</v>
      </c>
      <c r="Z171" s="208">
        <f t="shared" si="66"/>
        <v>0</v>
      </c>
      <c r="AA171" s="208">
        <f t="shared" si="67"/>
        <v>0</v>
      </c>
      <c r="AB171" s="208">
        <f t="shared" si="68"/>
        <v>0</v>
      </c>
      <c r="AC171" s="209">
        <f t="shared" si="69"/>
        <v>0</v>
      </c>
      <c r="AD171" s="210">
        <f t="shared" si="70"/>
        <v>23493.670400000003</v>
      </c>
      <c r="AE171" s="417">
        <f t="shared" si="71"/>
        <v>0</v>
      </c>
    </row>
    <row r="172" spans="2:31" s="167" customFormat="1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/>
      <c r="P172" s="206"/>
      <c r="Q172" s="206">
        <f t="shared" si="65"/>
        <v>0</v>
      </c>
      <c r="R172" s="206">
        <f t="shared" si="73"/>
        <v>4</v>
      </c>
      <c r="S172" s="206">
        <f t="shared" si="74"/>
        <v>444.48</v>
      </c>
      <c r="T172" s="208">
        <f t="shared" si="61"/>
        <v>0</v>
      </c>
      <c r="U172" s="208">
        <f t="shared" si="62"/>
        <v>0</v>
      </c>
      <c r="V172" s="208">
        <f t="shared" si="72"/>
        <v>0</v>
      </c>
      <c r="W172" s="208">
        <f t="shared" si="63"/>
        <v>0</v>
      </c>
      <c r="X172" s="208">
        <f t="shared" si="64"/>
        <v>0</v>
      </c>
      <c r="Y172" s="208">
        <f t="shared" si="75"/>
        <v>0</v>
      </c>
      <c r="Z172" s="208">
        <f t="shared" si="66"/>
        <v>0</v>
      </c>
      <c r="AA172" s="208">
        <f t="shared" si="67"/>
        <v>0</v>
      </c>
      <c r="AB172" s="208">
        <f t="shared" si="68"/>
        <v>0</v>
      </c>
      <c r="AC172" s="209">
        <f t="shared" si="69"/>
        <v>0</v>
      </c>
      <c r="AD172" s="210">
        <f t="shared" si="70"/>
        <v>444.48</v>
      </c>
      <c r="AE172" s="417">
        <f t="shared" si="71"/>
        <v>0</v>
      </c>
    </row>
    <row r="173" spans="2:31" s="167" customFormat="1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>
        <f t="shared" si="65"/>
        <v>0</v>
      </c>
      <c r="R173" s="206"/>
      <c r="S173" s="206"/>
      <c r="T173" s="208">
        <f t="shared" si="61"/>
        <v>0</v>
      </c>
      <c r="U173" s="208">
        <f t="shared" si="62"/>
        <v>0</v>
      </c>
      <c r="V173" s="208">
        <f t="shared" si="72"/>
        <v>0</v>
      </c>
      <c r="W173" s="208">
        <f t="shared" si="63"/>
        <v>0</v>
      </c>
      <c r="X173" s="208">
        <f t="shared" si="64"/>
        <v>0</v>
      </c>
      <c r="Y173" s="208">
        <f t="shared" si="75"/>
        <v>0</v>
      </c>
      <c r="Z173" s="208">
        <f t="shared" si="66"/>
        <v>0</v>
      </c>
      <c r="AA173" s="208">
        <f t="shared" si="67"/>
        <v>0</v>
      </c>
      <c r="AB173" s="208">
        <f t="shared" si="68"/>
        <v>0</v>
      </c>
      <c r="AC173" s="209">
        <f t="shared" si="69"/>
        <v>0</v>
      </c>
      <c r="AD173" s="210">
        <f t="shared" si="70"/>
        <v>0</v>
      </c>
      <c r="AE173" s="417"/>
    </row>
    <row r="174" spans="2:31" s="167" customFormat="1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/>
      <c r="P174" s="206"/>
      <c r="Q174" s="206">
        <f t="shared" si="65"/>
        <v>130.85</v>
      </c>
      <c r="R174" s="206">
        <f t="shared" ref="R174:R192" si="76">G174-Q174</f>
        <v>0</v>
      </c>
      <c r="S174" s="206">
        <f t="shared" ref="S174:S192" si="77">F174*G174</f>
        <v>6856.54</v>
      </c>
      <c r="T174" s="208">
        <f t="shared" ref="T174:T195" si="78">F174*H174</f>
        <v>6856.54</v>
      </c>
      <c r="U174" s="208">
        <f t="shared" ref="U174:U195" si="79">F174*I174</f>
        <v>0</v>
      </c>
      <c r="V174" s="208">
        <f t="shared" si="72"/>
        <v>0</v>
      </c>
      <c r="W174" s="208">
        <f t="shared" ref="W174:W195" si="80">TRUNC(F174*K174,2)</f>
        <v>0</v>
      </c>
      <c r="X174" s="208">
        <f t="shared" ref="X174:X195" si="81">TRUNC(F174*L174,2)</f>
        <v>0</v>
      </c>
      <c r="Y174" s="208">
        <f t="shared" si="75"/>
        <v>0</v>
      </c>
      <c r="Z174" s="208">
        <f t="shared" si="66"/>
        <v>0</v>
      </c>
      <c r="AA174" s="208">
        <f t="shared" si="67"/>
        <v>0</v>
      </c>
      <c r="AB174" s="208">
        <f t="shared" si="68"/>
        <v>0</v>
      </c>
      <c r="AC174" s="209">
        <f t="shared" si="69"/>
        <v>6856.54</v>
      </c>
      <c r="AD174" s="210">
        <f t="shared" si="70"/>
        <v>0</v>
      </c>
      <c r="AE174" s="417">
        <f t="shared" si="71"/>
        <v>1</v>
      </c>
    </row>
    <row r="175" spans="2:31" s="167" customFormat="1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/>
      <c r="P175" s="206"/>
      <c r="Q175" s="206">
        <f t="shared" si="65"/>
        <v>32.68</v>
      </c>
      <c r="R175" s="206">
        <f t="shared" si="76"/>
        <v>0</v>
      </c>
      <c r="S175" s="206">
        <f t="shared" si="77"/>
        <v>2122.5660000000003</v>
      </c>
      <c r="T175" s="208">
        <f t="shared" si="78"/>
        <v>2122.5660000000003</v>
      </c>
      <c r="U175" s="208">
        <f t="shared" si="79"/>
        <v>0</v>
      </c>
      <c r="V175" s="208">
        <f t="shared" si="72"/>
        <v>0</v>
      </c>
      <c r="W175" s="208">
        <f t="shared" si="80"/>
        <v>0</v>
      </c>
      <c r="X175" s="208">
        <f t="shared" si="81"/>
        <v>0</v>
      </c>
      <c r="Y175" s="208">
        <f t="shared" si="75"/>
        <v>0</v>
      </c>
      <c r="Z175" s="208">
        <f t="shared" ref="Z175:Z195" si="82">F175*N175</f>
        <v>0</v>
      </c>
      <c r="AA175" s="208">
        <f t="shared" si="67"/>
        <v>0</v>
      </c>
      <c r="AB175" s="208">
        <f t="shared" si="68"/>
        <v>0</v>
      </c>
      <c r="AC175" s="209">
        <f t="shared" si="69"/>
        <v>2122.5660000000003</v>
      </c>
      <c r="AD175" s="210">
        <f t="shared" si="70"/>
        <v>0</v>
      </c>
      <c r="AE175" s="417">
        <f t="shared" si="71"/>
        <v>1</v>
      </c>
    </row>
    <row r="176" spans="2:31" s="167" customFormat="1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/>
      <c r="P176" s="206"/>
      <c r="Q176" s="206">
        <f t="shared" si="65"/>
        <v>11.01</v>
      </c>
      <c r="R176" s="206">
        <f t="shared" si="76"/>
        <v>0</v>
      </c>
      <c r="S176" s="206">
        <f t="shared" si="77"/>
        <v>433.46369999999996</v>
      </c>
      <c r="T176" s="208">
        <f t="shared" si="78"/>
        <v>0</v>
      </c>
      <c r="U176" s="208">
        <f t="shared" si="79"/>
        <v>433.46369999999996</v>
      </c>
      <c r="V176" s="208">
        <f t="shared" si="72"/>
        <v>0</v>
      </c>
      <c r="W176" s="208">
        <f t="shared" si="80"/>
        <v>0</v>
      </c>
      <c r="X176" s="208">
        <f t="shared" si="81"/>
        <v>0</v>
      </c>
      <c r="Y176" s="208">
        <f t="shared" si="75"/>
        <v>0</v>
      </c>
      <c r="Z176" s="208">
        <f t="shared" si="82"/>
        <v>0</v>
      </c>
      <c r="AA176" s="208">
        <f t="shared" si="67"/>
        <v>0</v>
      </c>
      <c r="AB176" s="208">
        <f t="shared" si="68"/>
        <v>0</v>
      </c>
      <c r="AC176" s="209">
        <f t="shared" si="69"/>
        <v>433.46369999999996</v>
      </c>
      <c r="AD176" s="210">
        <f t="shared" si="70"/>
        <v>0</v>
      </c>
      <c r="AE176" s="417">
        <f t="shared" si="71"/>
        <v>1</v>
      </c>
    </row>
    <row r="177" spans="2:31" s="168" customFormat="1" ht="22.5" x14ac:dyDescent="0.25">
      <c r="B177" s="203" t="s">
        <v>478</v>
      </c>
      <c r="C177" s="211">
        <v>93205</v>
      </c>
      <c r="D177" s="205" t="s">
        <v>480</v>
      </c>
      <c r="E177" s="217" t="s">
        <v>37</v>
      </c>
      <c r="F177" s="206">
        <v>39.79</v>
      </c>
      <c r="G177" s="206">
        <v>244.5</v>
      </c>
      <c r="H177" s="207"/>
      <c r="I177" s="207"/>
      <c r="J177" s="29">
        <f>'MEMORIAL DE CALCULO 03'!K524</f>
        <v>67.27</v>
      </c>
      <c r="K177" s="207">
        <f>'MEMORIAL DE CALCULO 04'!K617</f>
        <v>42.8</v>
      </c>
      <c r="L177" s="207">
        <f>'MEMORIAL DE CALCULO 05'!K622</f>
        <v>134.43</v>
      </c>
      <c r="M177" s="207"/>
      <c r="N177" s="206"/>
      <c r="O177" s="206"/>
      <c r="P177" s="206"/>
      <c r="Q177" s="206">
        <f t="shared" si="65"/>
        <v>244.5</v>
      </c>
      <c r="R177" s="206">
        <f t="shared" si="76"/>
        <v>0</v>
      </c>
      <c r="S177" s="206">
        <f t="shared" si="77"/>
        <v>9728.6550000000007</v>
      </c>
      <c r="T177" s="208">
        <f t="shared" si="78"/>
        <v>0</v>
      </c>
      <c r="U177" s="208">
        <f t="shared" si="79"/>
        <v>0</v>
      </c>
      <c r="V177" s="208">
        <f t="shared" si="72"/>
        <v>2676.6732999999999</v>
      </c>
      <c r="W177" s="208">
        <f t="shared" si="80"/>
        <v>1703.01</v>
      </c>
      <c r="X177" s="208">
        <f t="shared" si="81"/>
        <v>5348.96</v>
      </c>
      <c r="Y177" s="208">
        <f t="shared" si="75"/>
        <v>0</v>
      </c>
      <c r="Z177" s="208">
        <f t="shared" si="82"/>
        <v>0</v>
      </c>
      <c r="AA177" s="208">
        <f t="shared" si="67"/>
        <v>0</v>
      </c>
      <c r="AB177" s="208">
        <f t="shared" si="68"/>
        <v>0</v>
      </c>
      <c r="AC177" s="209">
        <f t="shared" si="69"/>
        <v>9728.6432999999997</v>
      </c>
      <c r="AD177" s="210">
        <f t="shared" si="70"/>
        <v>1.1700000000928412E-2</v>
      </c>
      <c r="AE177" s="417">
        <f t="shared" si="71"/>
        <v>0.99999879736715913</v>
      </c>
    </row>
    <row r="178" spans="2:31" s="167" customFormat="1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/>
      <c r="P178" s="206"/>
      <c r="Q178" s="206">
        <f t="shared" si="65"/>
        <v>15.48</v>
      </c>
      <c r="R178" s="206">
        <f t="shared" si="76"/>
        <v>0</v>
      </c>
      <c r="S178" s="206">
        <f t="shared" si="77"/>
        <v>76.006799999999998</v>
      </c>
      <c r="T178" s="208">
        <f t="shared" si="78"/>
        <v>61.866</v>
      </c>
      <c r="U178" s="208">
        <f t="shared" si="79"/>
        <v>14.1408</v>
      </c>
      <c r="V178" s="208">
        <f t="shared" si="72"/>
        <v>0</v>
      </c>
      <c r="W178" s="208">
        <f t="shared" si="80"/>
        <v>0</v>
      </c>
      <c r="X178" s="208">
        <f t="shared" si="81"/>
        <v>0</v>
      </c>
      <c r="Y178" s="208">
        <f t="shared" si="75"/>
        <v>0</v>
      </c>
      <c r="Z178" s="208">
        <f t="shared" si="82"/>
        <v>0</v>
      </c>
      <c r="AA178" s="208">
        <f t="shared" si="67"/>
        <v>0</v>
      </c>
      <c r="AB178" s="208">
        <f t="shared" si="68"/>
        <v>0</v>
      </c>
      <c r="AC178" s="209">
        <f t="shared" si="69"/>
        <v>76.006799999999998</v>
      </c>
      <c r="AD178" s="210">
        <f t="shared" si="70"/>
        <v>0</v>
      </c>
      <c r="AE178" s="417">
        <f t="shared" si="71"/>
        <v>1</v>
      </c>
    </row>
    <row r="179" spans="2:31" s="167" customFormat="1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/>
      <c r="P179" s="206"/>
      <c r="Q179" s="206">
        <f t="shared" si="65"/>
        <v>15.48</v>
      </c>
      <c r="R179" s="206">
        <f t="shared" si="76"/>
        <v>0</v>
      </c>
      <c r="S179" s="206">
        <f t="shared" si="77"/>
        <v>474.77160000000003</v>
      </c>
      <c r="T179" s="208">
        <f t="shared" si="78"/>
        <v>386.44200000000001</v>
      </c>
      <c r="U179" s="208">
        <f t="shared" si="79"/>
        <v>88.329599999999999</v>
      </c>
      <c r="V179" s="208">
        <f t="shared" si="72"/>
        <v>0</v>
      </c>
      <c r="W179" s="208">
        <f t="shared" si="80"/>
        <v>0</v>
      </c>
      <c r="X179" s="208">
        <f t="shared" si="81"/>
        <v>0</v>
      </c>
      <c r="Y179" s="208">
        <f t="shared" si="75"/>
        <v>0</v>
      </c>
      <c r="Z179" s="208">
        <f t="shared" si="82"/>
        <v>0</v>
      </c>
      <c r="AA179" s="208">
        <f t="shared" si="67"/>
        <v>0</v>
      </c>
      <c r="AB179" s="208">
        <f t="shared" si="68"/>
        <v>0</v>
      </c>
      <c r="AC179" s="209">
        <f t="shared" si="69"/>
        <v>474.77160000000003</v>
      </c>
      <c r="AD179" s="210">
        <f t="shared" si="70"/>
        <v>0</v>
      </c>
      <c r="AE179" s="417">
        <f t="shared" si="71"/>
        <v>1</v>
      </c>
    </row>
    <row r="180" spans="2:31" s="167" customFormat="1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16"/>
      <c r="P180" s="216"/>
      <c r="Q180" s="206">
        <f t="shared" si="65"/>
        <v>167.13</v>
      </c>
      <c r="R180" s="206">
        <f t="shared" si="76"/>
        <v>0</v>
      </c>
      <c r="S180" s="206">
        <f t="shared" si="77"/>
        <v>2672.4087</v>
      </c>
      <c r="T180" s="208">
        <f t="shared" si="78"/>
        <v>2137.8629999999998</v>
      </c>
      <c r="U180" s="208">
        <f t="shared" si="79"/>
        <v>534.54570000000001</v>
      </c>
      <c r="V180" s="208">
        <f t="shared" si="72"/>
        <v>0</v>
      </c>
      <c r="W180" s="208">
        <f t="shared" si="80"/>
        <v>0</v>
      </c>
      <c r="X180" s="208">
        <f t="shared" si="81"/>
        <v>0</v>
      </c>
      <c r="Y180" s="208">
        <f t="shared" si="75"/>
        <v>0</v>
      </c>
      <c r="Z180" s="208">
        <f t="shared" si="82"/>
        <v>0</v>
      </c>
      <c r="AA180" s="208">
        <f t="shared" si="67"/>
        <v>0</v>
      </c>
      <c r="AB180" s="208">
        <f t="shared" si="68"/>
        <v>0</v>
      </c>
      <c r="AC180" s="209">
        <f t="shared" si="69"/>
        <v>2672.4087</v>
      </c>
      <c r="AD180" s="210">
        <f t="shared" si="70"/>
        <v>0</v>
      </c>
      <c r="AE180" s="417">
        <f t="shared" si="71"/>
        <v>1</v>
      </c>
    </row>
    <row r="181" spans="2:31" s="168" customFormat="1" ht="33.75" x14ac:dyDescent="0.25">
      <c r="B181" s="203" t="s">
        <v>484</v>
      </c>
      <c r="C181" s="211">
        <v>94966</v>
      </c>
      <c r="D181" s="215" t="s">
        <v>65</v>
      </c>
      <c r="E181" s="217" t="s">
        <v>41</v>
      </c>
      <c r="F181" s="217">
        <v>530.88</v>
      </c>
      <c r="G181" s="206">
        <v>9.89</v>
      </c>
      <c r="H181" s="29">
        <f>'MEMORIAL DE CALCULO 01'!K195</f>
        <v>4.5500000000000007</v>
      </c>
      <c r="I181" s="29">
        <f>'MEMORIAL DE CALCULO 02'!K426</f>
        <v>1.04</v>
      </c>
      <c r="J181" s="29">
        <f>'MEMORIAL DE CALCULO 03'!K530</f>
        <v>1.5192000000000005</v>
      </c>
      <c r="K181" s="29">
        <f>'MEMORIAL DE CALCULO 04'!K624</f>
        <v>2.3652000000000002</v>
      </c>
      <c r="L181" s="29">
        <f>'MEMORIAL DE CALCULO 05'!K629</f>
        <v>0.41560999999999998</v>
      </c>
      <c r="M181" s="216"/>
      <c r="N181" s="216"/>
      <c r="O181" s="216"/>
      <c r="P181" s="216"/>
      <c r="Q181" s="206">
        <f t="shared" si="65"/>
        <v>9.8900100000000002</v>
      </c>
      <c r="R181" s="206">
        <f t="shared" si="76"/>
        <v>-9.9999999996214228E-6</v>
      </c>
      <c r="S181" s="206">
        <f t="shared" si="77"/>
        <v>5250.4032000000007</v>
      </c>
      <c r="T181" s="208">
        <f t="shared" si="78"/>
        <v>2415.5040000000004</v>
      </c>
      <c r="U181" s="208">
        <f t="shared" si="79"/>
        <v>552.11519999999996</v>
      </c>
      <c r="V181" s="208">
        <f t="shared" si="72"/>
        <v>806.5128960000003</v>
      </c>
      <c r="W181" s="208">
        <f t="shared" si="80"/>
        <v>1255.6300000000001</v>
      </c>
      <c r="X181" s="208">
        <f t="shared" si="81"/>
        <v>220.63</v>
      </c>
      <c r="Y181" s="208">
        <f t="shared" si="75"/>
        <v>0</v>
      </c>
      <c r="Z181" s="208">
        <f t="shared" si="82"/>
        <v>0</v>
      </c>
      <c r="AA181" s="208">
        <f t="shared" si="67"/>
        <v>0</v>
      </c>
      <c r="AB181" s="208">
        <f t="shared" si="68"/>
        <v>0</v>
      </c>
      <c r="AC181" s="209">
        <f t="shared" si="69"/>
        <v>5250.3920960000005</v>
      </c>
      <c r="AD181" s="210">
        <f>S181-AC181</f>
        <v>1.1104000000159431E-2</v>
      </c>
      <c r="AE181" s="417">
        <f t="shared" si="71"/>
        <v>0.99999788511480414</v>
      </c>
    </row>
    <row r="182" spans="2:31" s="167" customFormat="1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/>
      <c r="P182" s="206"/>
      <c r="Q182" s="206">
        <f t="shared" si="65"/>
        <v>11.780000000000001</v>
      </c>
      <c r="R182" s="206">
        <f t="shared" si="76"/>
        <v>0</v>
      </c>
      <c r="S182" s="206">
        <f t="shared" si="77"/>
        <v>5850.1835999999994</v>
      </c>
      <c r="T182" s="208">
        <f t="shared" si="78"/>
        <v>446.95800000000003</v>
      </c>
      <c r="U182" s="208">
        <f t="shared" si="79"/>
        <v>5403.2256000000007</v>
      </c>
      <c r="V182" s="208">
        <f t="shared" si="72"/>
        <v>0</v>
      </c>
      <c r="W182" s="208">
        <f t="shared" si="80"/>
        <v>0</v>
      </c>
      <c r="X182" s="208">
        <f t="shared" si="81"/>
        <v>0</v>
      </c>
      <c r="Y182" s="208">
        <f t="shared" si="75"/>
        <v>0</v>
      </c>
      <c r="Z182" s="208">
        <f t="shared" si="82"/>
        <v>0</v>
      </c>
      <c r="AA182" s="208">
        <f t="shared" si="67"/>
        <v>0</v>
      </c>
      <c r="AB182" s="208">
        <f t="shared" si="68"/>
        <v>0</v>
      </c>
      <c r="AC182" s="209">
        <f t="shared" si="69"/>
        <v>5850.1836000000003</v>
      </c>
      <c r="AD182" s="210">
        <f t="shared" si="70"/>
        <v>0</v>
      </c>
      <c r="AE182" s="417">
        <f t="shared" si="71"/>
        <v>1.0000000000000002</v>
      </c>
    </row>
    <row r="183" spans="2:31" s="168" customFormat="1" ht="22.5" x14ac:dyDescent="0.25">
      <c r="B183" s="203" t="s">
        <v>488</v>
      </c>
      <c r="C183" s="211">
        <v>103670</v>
      </c>
      <c r="D183" s="205" t="s">
        <v>71</v>
      </c>
      <c r="E183" s="217" t="s">
        <v>41</v>
      </c>
      <c r="F183" s="206">
        <v>230.55</v>
      </c>
      <c r="G183" s="206">
        <v>9.89</v>
      </c>
      <c r="H183" s="207">
        <f>'MEMORIAL DE CALCULO 01'!K200</f>
        <v>4.5500000000000007</v>
      </c>
      <c r="I183" s="207">
        <f>'MEMORIAL DE CALCULO 02'!K431</f>
        <v>1.04</v>
      </c>
      <c r="J183" s="29">
        <f>'MEMORIAL DE CALCULO 03'!K543</f>
        <v>1.5192000000000005</v>
      </c>
      <c r="K183" s="207">
        <f>'MEMORIAL DE CALCULO 04'!K644</f>
        <v>2.3652000000000002</v>
      </c>
      <c r="L183" s="207">
        <f>'MEMORIAL DE CALCULO 05'!K632</f>
        <v>0.41563</v>
      </c>
      <c r="M183" s="207"/>
      <c r="N183" s="206"/>
      <c r="O183" s="206"/>
      <c r="P183" s="206"/>
      <c r="Q183" s="206">
        <f t="shared" si="65"/>
        <v>9.8900300000000012</v>
      </c>
      <c r="R183" s="206">
        <f t="shared" si="76"/>
        <v>-3.0000000000640625E-5</v>
      </c>
      <c r="S183" s="206">
        <f t="shared" si="77"/>
        <v>2280.1395000000002</v>
      </c>
      <c r="T183" s="208">
        <f t="shared" si="78"/>
        <v>1049.0025000000003</v>
      </c>
      <c r="U183" s="208">
        <f t="shared" si="79"/>
        <v>239.77200000000002</v>
      </c>
      <c r="V183" s="208">
        <f t="shared" si="72"/>
        <v>350.25156000000015</v>
      </c>
      <c r="W183" s="208">
        <f t="shared" si="80"/>
        <v>545.29</v>
      </c>
      <c r="X183" s="208">
        <f t="shared" si="81"/>
        <v>95.82</v>
      </c>
      <c r="Y183" s="208">
        <f t="shared" si="75"/>
        <v>0</v>
      </c>
      <c r="Z183" s="208">
        <f t="shared" si="82"/>
        <v>0</v>
      </c>
      <c r="AA183" s="208">
        <f t="shared" si="67"/>
        <v>0</v>
      </c>
      <c r="AB183" s="208">
        <f t="shared" si="68"/>
        <v>0</v>
      </c>
      <c r="AC183" s="209">
        <f t="shared" si="69"/>
        <v>2280.1360600000003</v>
      </c>
      <c r="AD183" s="210">
        <f t="shared" si="70"/>
        <v>3.4399999999550346E-3</v>
      </c>
      <c r="AE183" s="417">
        <f t="shared" si="71"/>
        <v>0.99999849132037755</v>
      </c>
    </row>
    <row r="184" spans="2:31" s="168" customFormat="1" ht="22.5" x14ac:dyDescent="0.25">
      <c r="B184" s="203" t="s">
        <v>489</v>
      </c>
      <c r="C184" s="211">
        <v>96543</v>
      </c>
      <c r="D184" s="205" t="s">
        <v>74</v>
      </c>
      <c r="E184" s="217" t="s">
        <v>62</v>
      </c>
      <c r="F184" s="206">
        <v>17.5</v>
      </c>
      <c r="G184" s="206">
        <v>162.02000000000001</v>
      </c>
      <c r="H184" s="207">
        <f>'MEMORIAL DE CALCULO 01'!K202</f>
        <v>42.149799999999992</v>
      </c>
      <c r="I184" s="207">
        <f>'MEMORIAL DE CALCULO 02'!K433</f>
        <v>9.6342399999999984</v>
      </c>
      <c r="J184" s="29">
        <f>'MEMORIAL DE CALCULO 03'!K545</f>
        <v>39.772656000000005</v>
      </c>
      <c r="K184" s="207">
        <f>'MEMORIAL DE CALCULO 04'!K646</f>
        <v>62.025655999999977</v>
      </c>
      <c r="L184" s="207">
        <f>'MEMORIAL DE CALCULO 05'!K634</f>
        <v>8.4384999999999994</v>
      </c>
      <c r="M184" s="207"/>
      <c r="N184" s="206"/>
      <c r="O184" s="206"/>
      <c r="P184" s="206"/>
      <c r="Q184" s="206">
        <f t="shared" si="65"/>
        <v>162.02085199999996</v>
      </c>
      <c r="R184" s="206">
        <f t="shared" si="76"/>
        <v>-8.5199999995211328E-4</v>
      </c>
      <c r="S184" s="206">
        <f t="shared" si="77"/>
        <v>2835.3500000000004</v>
      </c>
      <c r="T184" s="208">
        <f t="shared" si="78"/>
        <v>737.62149999999986</v>
      </c>
      <c r="U184" s="208">
        <f t="shared" si="79"/>
        <v>168.59919999999997</v>
      </c>
      <c r="V184" s="208">
        <f t="shared" si="72"/>
        <v>696.02148000000011</v>
      </c>
      <c r="W184" s="208">
        <f t="shared" si="80"/>
        <v>1085.44</v>
      </c>
      <c r="X184" s="208">
        <f t="shared" si="81"/>
        <v>147.66999999999999</v>
      </c>
      <c r="Y184" s="208">
        <f t="shared" si="75"/>
        <v>0</v>
      </c>
      <c r="Z184" s="208">
        <f t="shared" si="82"/>
        <v>0</v>
      </c>
      <c r="AA184" s="208">
        <f t="shared" si="67"/>
        <v>0</v>
      </c>
      <c r="AB184" s="208">
        <f t="shared" si="68"/>
        <v>0</v>
      </c>
      <c r="AC184" s="209">
        <f t="shared" si="69"/>
        <v>2835.3521799999999</v>
      </c>
      <c r="AD184" s="210">
        <f t="shared" si="70"/>
        <v>-2.17999999949825E-3</v>
      </c>
      <c r="AE184" s="417">
        <f t="shared" si="71"/>
        <v>1.0000007688645138</v>
      </c>
    </row>
    <row r="185" spans="2:31" s="168" customFormat="1" ht="22.5" x14ac:dyDescent="0.25">
      <c r="B185" s="203" t="s">
        <v>490</v>
      </c>
      <c r="C185" s="211">
        <v>96546</v>
      </c>
      <c r="D185" s="215" t="s">
        <v>80</v>
      </c>
      <c r="E185" s="217" t="s">
        <v>62</v>
      </c>
      <c r="F185" s="217">
        <v>14.35</v>
      </c>
      <c r="G185" s="206">
        <v>377.8</v>
      </c>
      <c r="H185" s="29">
        <f>'MEMORIAL DE CALCULO 01'!K204</f>
        <v>99.337000000000003</v>
      </c>
      <c r="I185" s="29">
        <f>'MEMORIAL DE CALCULO 02'!K435</f>
        <v>22.705599999999997</v>
      </c>
      <c r="J185" s="29">
        <f>'MEMORIAL DE CALCULO 03'!K556</f>
        <v>93.734639999999985</v>
      </c>
      <c r="K185" s="29">
        <f>'MEMORIAL DE CALCULO 04'!K664</f>
        <v>146.17963999999998</v>
      </c>
      <c r="L185" s="29">
        <f>'MEMORIAL DE CALCULO 05'!K636</f>
        <v>15.84</v>
      </c>
      <c r="M185" s="216"/>
      <c r="N185" s="216"/>
      <c r="O185" s="216"/>
      <c r="P185" s="216"/>
      <c r="Q185" s="206">
        <f t="shared" si="65"/>
        <v>377.79687999999993</v>
      </c>
      <c r="R185" s="206">
        <f t="shared" si="76"/>
        <v>3.1200000000808359E-3</v>
      </c>
      <c r="S185" s="206">
        <f t="shared" si="77"/>
        <v>5421.43</v>
      </c>
      <c r="T185" s="208">
        <f t="shared" si="78"/>
        <v>1425.48595</v>
      </c>
      <c r="U185" s="208">
        <f t="shared" si="79"/>
        <v>325.82535999999993</v>
      </c>
      <c r="V185" s="208">
        <f t="shared" si="72"/>
        <v>1345.0920839999997</v>
      </c>
      <c r="W185" s="208">
        <f t="shared" si="80"/>
        <v>2097.67</v>
      </c>
      <c r="X185" s="208">
        <f t="shared" si="81"/>
        <v>227.3</v>
      </c>
      <c r="Y185" s="208">
        <f t="shared" si="75"/>
        <v>0</v>
      </c>
      <c r="Z185" s="208">
        <f t="shared" si="82"/>
        <v>0</v>
      </c>
      <c r="AA185" s="208">
        <f t="shared" si="67"/>
        <v>0</v>
      </c>
      <c r="AB185" s="208">
        <f t="shared" si="68"/>
        <v>0</v>
      </c>
      <c r="AC185" s="209">
        <f t="shared" si="69"/>
        <v>5421.3733940000002</v>
      </c>
      <c r="AD185" s="210">
        <f t="shared" si="70"/>
        <v>5.6606000000101631E-2</v>
      </c>
      <c r="AE185" s="417">
        <f t="shared" si="71"/>
        <v>0.99998955884333096</v>
      </c>
    </row>
    <row r="186" spans="2:31" s="168" customFormat="1" ht="33.75" x14ac:dyDescent="0.25">
      <c r="B186" s="203" t="s">
        <v>491</v>
      </c>
      <c r="C186" s="211">
        <v>96536</v>
      </c>
      <c r="D186" s="205" t="s">
        <v>86</v>
      </c>
      <c r="E186" s="217" t="s">
        <v>17</v>
      </c>
      <c r="F186" s="206">
        <v>69.64</v>
      </c>
      <c r="G186" s="206">
        <v>149.6</v>
      </c>
      <c r="H186" s="207">
        <f>'MEMORIAL DE CALCULO 01'!K206</f>
        <v>53.2</v>
      </c>
      <c r="I186" s="207">
        <f>'MEMORIAL DE CALCULO 02'!K437</f>
        <v>12.16</v>
      </c>
      <c r="J186" s="29">
        <f>'MEMORIAL DE CALCULO 03'!K567</f>
        <v>30.383999999999997</v>
      </c>
      <c r="K186" s="207">
        <f>'MEMORIAL DE CALCULO 04'!K682</f>
        <v>47.304000000000002</v>
      </c>
      <c r="L186" s="207">
        <f>'MEMORIAL DE CALCULO 05'!K638</f>
        <v>6.55</v>
      </c>
      <c r="M186" s="207"/>
      <c r="N186" s="206"/>
      <c r="O186" s="206"/>
      <c r="P186" s="206"/>
      <c r="Q186" s="206">
        <f t="shared" si="65"/>
        <v>149.59800000000001</v>
      </c>
      <c r="R186" s="206">
        <f t="shared" si="76"/>
        <v>1.999999999981128E-3</v>
      </c>
      <c r="S186" s="206">
        <f t="shared" si="77"/>
        <v>10418.144</v>
      </c>
      <c r="T186" s="208">
        <f t="shared" si="78"/>
        <v>3704.8480000000004</v>
      </c>
      <c r="U186" s="208">
        <f t="shared" si="79"/>
        <v>846.82240000000002</v>
      </c>
      <c r="V186" s="208">
        <f t="shared" si="72"/>
        <v>2115.9417599999997</v>
      </c>
      <c r="W186" s="208">
        <f t="shared" si="80"/>
        <v>3294.25</v>
      </c>
      <c r="X186" s="208">
        <f t="shared" si="81"/>
        <v>456.14</v>
      </c>
      <c r="Y186" s="208">
        <f t="shared" si="75"/>
        <v>0</v>
      </c>
      <c r="Z186" s="208">
        <f t="shared" si="82"/>
        <v>0</v>
      </c>
      <c r="AA186" s="208">
        <f t="shared" si="67"/>
        <v>0</v>
      </c>
      <c r="AB186" s="208">
        <f t="shared" si="68"/>
        <v>0</v>
      </c>
      <c r="AC186" s="209">
        <f t="shared" si="69"/>
        <v>10418.00216</v>
      </c>
      <c r="AD186" s="210">
        <f t="shared" si="70"/>
        <v>0.14184000000022934</v>
      </c>
      <c r="AE186" s="417">
        <f t="shared" si="71"/>
        <v>0.99998638529089245</v>
      </c>
    </row>
    <row r="187" spans="2:31" s="169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/>
      <c r="P187" s="206"/>
      <c r="Q187" s="206">
        <f t="shared" si="65"/>
        <v>65.435000000000002</v>
      </c>
      <c r="R187" s="206">
        <f t="shared" si="76"/>
        <v>-4.9999999999954525E-3</v>
      </c>
      <c r="S187" s="206">
        <f t="shared" si="77"/>
        <v>3155.0346000000004</v>
      </c>
      <c r="T187" s="208">
        <f t="shared" si="78"/>
        <v>0</v>
      </c>
      <c r="U187" s="208">
        <f t="shared" si="79"/>
        <v>0</v>
      </c>
      <c r="V187" s="208">
        <f t="shared" ref="V187:V195" si="83">F187*J187</f>
        <v>1621.8797</v>
      </c>
      <c r="W187" s="208">
        <f t="shared" si="80"/>
        <v>1533.39</v>
      </c>
      <c r="X187" s="208">
        <f t="shared" si="81"/>
        <v>0</v>
      </c>
      <c r="Y187" s="208">
        <f t="shared" si="75"/>
        <v>0</v>
      </c>
      <c r="Z187" s="208">
        <f t="shared" si="82"/>
        <v>0</v>
      </c>
      <c r="AA187" s="208">
        <f t="shared" si="67"/>
        <v>0</v>
      </c>
      <c r="AB187" s="208">
        <f t="shared" si="68"/>
        <v>0</v>
      </c>
      <c r="AC187" s="209">
        <f t="shared" si="69"/>
        <v>3155.2696999999998</v>
      </c>
      <c r="AD187" s="210">
        <f t="shared" si="70"/>
        <v>-0.23509999999942011</v>
      </c>
      <c r="AE187" s="417">
        <f t="shared" si="71"/>
        <v>1.0000745158230593</v>
      </c>
    </row>
    <row r="188" spans="2:31" s="169" customFormat="1" ht="45" x14ac:dyDescent="0.25">
      <c r="B188" s="203" t="s">
        <v>493</v>
      </c>
      <c r="C188" s="211">
        <v>103356</v>
      </c>
      <c r="D188" s="205" t="s">
        <v>137</v>
      </c>
      <c r="E188" s="217" t="s">
        <v>17</v>
      </c>
      <c r="F188" s="206">
        <v>46.86</v>
      </c>
      <c r="G188" s="206">
        <v>405.64</v>
      </c>
      <c r="H188" s="207"/>
      <c r="I188" s="207"/>
      <c r="J188" s="29">
        <f>'MEMORIAL DE CALCULO 03'!K581</f>
        <v>208.53700000000003</v>
      </c>
      <c r="K188" s="207">
        <f>'MEMORIAL DE CALCULO 04'!K703</f>
        <v>177.38200000000001</v>
      </c>
      <c r="L188" s="207">
        <f>'MEMORIAL DE CALCULO 05'!K642</f>
        <v>19.721239000000001</v>
      </c>
      <c r="M188" s="207"/>
      <c r="N188" s="206"/>
      <c r="O188" s="206"/>
      <c r="P188" s="206"/>
      <c r="Q188" s="206">
        <f t="shared" si="65"/>
        <v>405.64023900000007</v>
      </c>
      <c r="R188" s="206">
        <f t="shared" si="76"/>
        <v>-2.3900000007870403E-4</v>
      </c>
      <c r="S188" s="206">
        <f t="shared" si="77"/>
        <v>19008.290399999998</v>
      </c>
      <c r="T188" s="208">
        <f t="shared" si="78"/>
        <v>0</v>
      </c>
      <c r="U188" s="208">
        <f t="shared" si="79"/>
        <v>0</v>
      </c>
      <c r="V188" s="208">
        <f t="shared" si="83"/>
        <v>9772.0438200000008</v>
      </c>
      <c r="W188" s="208">
        <f t="shared" si="80"/>
        <v>8312.1200000000008</v>
      </c>
      <c r="X188" s="208">
        <f t="shared" si="81"/>
        <v>924.13</v>
      </c>
      <c r="Y188" s="208">
        <f t="shared" si="75"/>
        <v>0</v>
      </c>
      <c r="Z188" s="208">
        <f t="shared" si="82"/>
        <v>0</v>
      </c>
      <c r="AA188" s="208">
        <f t="shared" si="67"/>
        <v>0</v>
      </c>
      <c r="AB188" s="208">
        <f t="shared" si="68"/>
        <v>0</v>
      </c>
      <c r="AC188" s="209">
        <f t="shared" si="69"/>
        <v>19008.293820000003</v>
      </c>
      <c r="AD188" s="210">
        <f t="shared" si="70"/>
        <v>-3.4200000045530032E-3</v>
      </c>
      <c r="AE188" s="417">
        <f t="shared" si="71"/>
        <v>1.0000001799214939</v>
      </c>
    </row>
    <row r="189" spans="2:31" s="169" customFormat="1" ht="45" x14ac:dyDescent="0.25">
      <c r="B189" s="203" t="s">
        <v>494</v>
      </c>
      <c r="C189" s="211">
        <v>87893</v>
      </c>
      <c r="D189" s="205" t="s">
        <v>151</v>
      </c>
      <c r="E189" s="217" t="s">
        <v>17</v>
      </c>
      <c r="F189" s="206">
        <v>6.08</v>
      </c>
      <c r="G189" s="206">
        <v>811.27</v>
      </c>
      <c r="H189" s="207"/>
      <c r="I189" s="207"/>
      <c r="J189" s="29"/>
      <c r="K189" s="207">
        <f>'MEMORIAL DE CALCULO 04'!K705</f>
        <v>124.52700000000002</v>
      </c>
      <c r="L189" s="207">
        <f>'MEMORIAL DE CALCULO 05'!K644</f>
        <v>686.74300000000005</v>
      </c>
      <c r="M189" s="207"/>
      <c r="N189" s="206"/>
      <c r="O189" s="206"/>
      <c r="P189" s="206"/>
      <c r="Q189" s="206">
        <f t="shared" si="65"/>
        <v>811.2700000000001</v>
      </c>
      <c r="R189" s="206">
        <f t="shared" si="76"/>
        <v>0</v>
      </c>
      <c r="S189" s="206">
        <f t="shared" si="77"/>
        <v>4932.5216</v>
      </c>
      <c r="T189" s="208">
        <f t="shared" si="78"/>
        <v>0</v>
      </c>
      <c r="U189" s="208">
        <f t="shared" si="79"/>
        <v>0</v>
      </c>
      <c r="V189" s="208">
        <f t="shared" si="83"/>
        <v>0</v>
      </c>
      <c r="W189" s="208">
        <f t="shared" si="80"/>
        <v>757.12</v>
      </c>
      <c r="X189" s="208">
        <f t="shared" si="81"/>
        <v>4175.3900000000003</v>
      </c>
      <c r="Y189" s="208">
        <f t="shared" si="75"/>
        <v>0</v>
      </c>
      <c r="Z189" s="208">
        <f t="shared" si="82"/>
        <v>0</v>
      </c>
      <c r="AA189" s="208">
        <f t="shared" si="67"/>
        <v>0</v>
      </c>
      <c r="AB189" s="208">
        <f t="shared" si="68"/>
        <v>0</v>
      </c>
      <c r="AC189" s="209">
        <f t="shared" si="69"/>
        <v>4932.51</v>
      </c>
      <c r="AD189" s="210">
        <f t="shared" si="70"/>
        <v>1.1599999999816646E-2</v>
      </c>
      <c r="AE189" s="417">
        <f t="shared" si="71"/>
        <v>0.99999764826169235</v>
      </c>
    </row>
    <row r="190" spans="2:31" s="167" customFormat="1" ht="45" x14ac:dyDescent="0.25">
      <c r="B190" s="203" t="s">
        <v>495</v>
      </c>
      <c r="C190" s="211">
        <v>87548</v>
      </c>
      <c r="D190" s="205" t="s">
        <v>154</v>
      </c>
      <c r="E190" s="217" t="s">
        <v>17</v>
      </c>
      <c r="F190" s="206">
        <v>22.4</v>
      </c>
      <c r="G190" s="206">
        <v>811.27</v>
      </c>
      <c r="H190" s="207"/>
      <c r="I190" s="207"/>
      <c r="J190" s="29"/>
      <c r="K190" s="207"/>
      <c r="L190" s="207">
        <f>'MEMORIAL DE CALCULO 05'!K646</f>
        <v>405.66600000000005</v>
      </c>
      <c r="M190" s="207">
        <f>'MEMORIAL DE CALCULO 06'!K420</f>
        <v>405.60400000000004</v>
      </c>
      <c r="N190" s="206"/>
      <c r="O190" s="206"/>
      <c r="P190" s="206"/>
      <c r="Q190" s="206">
        <f t="shared" si="65"/>
        <v>811.2700000000001</v>
      </c>
      <c r="R190" s="206">
        <f t="shared" si="76"/>
        <v>0</v>
      </c>
      <c r="S190" s="206">
        <f t="shared" si="77"/>
        <v>18172.447999999997</v>
      </c>
      <c r="T190" s="208">
        <f t="shared" si="78"/>
        <v>0</v>
      </c>
      <c r="U190" s="208">
        <f t="shared" si="79"/>
        <v>0</v>
      </c>
      <c r="V190" s="208">
        <f t="shared" si="83"/>
        <v>0</v>
      </c>
      <c r="W190" s="208">
        <f t="shared" si="80"/>
        <v>0</v>
      </c>
      <c r="X190" s="208">
        <f t="shared" si="81"/>
        <v>9086.91</v>
      </c>
      <c r="Y190" s="208">
        <f t="shared" si="75"/>
        <v>9085.5295999999998</v>
      </c>
      <c r="Z190" s="208">
        <f t="shared" si="82"/>
        <v>0</v>
      </c>
      <c r="AA190" s="208">
        <f t="shared" si="67"/>
        <v>0</v>
      </c>
      <c r="AB190" s="208">
        <f t="shared" si="68"/>
        <v>0</v>
      </c>
      <c r="AC190" s="209">
        <f t="shared" si="69"/>
        <v>18172.439599999998</v>
      </c>
      <c r="AD190" s="210">
        <f t="shared" si="70"/>
        <v>8.3999999988009222E-3</v>
      </c>
      <c r="AE190" s="417">
        <f t="shared" si="71"/>
        <v>0.99999953776178097</v>
      </c>
    </row>
    <row r="191" spans="2:31" s="167" customFormat="1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/>
      <c r="P191" s="206"/>
      <c r="Q191" s="206">
        <f t="shared" si="65"/>
        <v>0</v>
      </c>
      <c r="R191" s="206">
        <f t="shared" si="76"/>
        <v>811.27</v>
      </c>
      <c r="S191" s="206">
        <f t="shared" si="77"/>
        <v>9865.0432000000001</v>
      </c>
      <c r="T191" s="208">
        <f t="shared" si="78"/>
        <v>0</v>
      </c>
      <c r="U191" s="208">
        <f t="shared" si="79"/>
        <v>0</v>
      </c>
      <c r="V191" s="208">
        <f t="shared" si="83"/>
        <v>0</v>
      </c>
      <c r="W191" s="208">
        <f t="shared" si="80"/>
        <v>0</v>
      </c>
      <c r="X191" s="208">
        <f t="shared" si="81"/>
        <v>0</v>
      </c>
      <c r="Y191" s="208">
        <f t="shared" si="75"/>
        <v>0</v>
      </c>
      <c r="Z191" s="208">
        <f t="shared" si="82"/>
        <v>0</v>
      </c>
      <c r="AA191" s="208">
        <f t="shared" si="67"/>
        <v>0</v>
      </c>
      <c r="AB191" s="208">
        <f t="shared" si="68"/>
        <v>0</v>
      </c>
      <c r="AC191" s="209">
        <f t="shared" si="69"/>
        <v>0</v>
      </c>
      <c r="AD191" s="210">
        <f t="shared" si="70"/>
        <v>9865.0432000000001</v>
      </c>
      <c r="AE191" s="417">
        <f t="shared" si="71"/>
        <v>0</v>
      </c>
    </row>
    <row r="192" spans="2:31" s="167" customFormat="1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/>
      <c r="P192" s="206"/>
      <c r="Q192" s="206">
        <f t="shared" si="65"/>
        <v>0</v>
      </c>
      <c r="R192" s="206">
        <f t="shared" si="76"/>
        <v>811.27</v>
      </c>
      <c r="S192" s="206">
        <f t="shared" si="77"/>
        <v>8883.4064999999991</v>
      </c>
      <c r="T192" s="208">
        <f t="shared" si="78"/>
        <v>0</v>
      </c>
      <c r="U192" s="208">
        <f t="shared" si="79"/>
        <v>0</v>
      </c>
      <c r="V192" s="208">
        <f t="shared" si="83"/>
        <v>0</v>
      </c>
      <c r="W192" s="208">
        <f t="shared" si="80"/>
        <v>0</v>
      </c>
      <c r="X192" s="208">
        <f t="shared" si="81"/>
        <v>0</v>
      </c>
      <c r="Y192" s="208">
        <f t="shared" si="75"/>
        <v>0</v>
      </c>
      <c r="Z192" s="208">
        <f t="shared" si="82"/>
        <v>0</v>
      </c>
      <c r="AA192" s="208">
        <f t="shared" si="67"/>
        <v>0</v>
      </c>
      <c r="AB192" s="208">
        <f t="shared" si="68"/>
        <v>0</v>
      </c>
      <c r="AC192" s="209">
        <f t="shared" si="69"/>
        <v>0</v>
      </c>
      <c r="AD192" s="210">
        <f t="shared" si="70"/>
        <v>8883.4064999999991</v>
      </c>
      <c r="AE192" s="417">
        <f t="shared" si="71"/>
        <v>0</v>
      </c>
    </row>
    <row r="193" spans="2:31" s="167" customFormat="1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/>
      <c r="P193" s="206"/>
      <c r="Q193" s="206">
        <f t="shared" si="65"/>
        <v>0</v>
      </c>
      <c r="R193" s="206"/>
      <c r="S193" s="206"/>
      <c r="T193" s="208">
        <f t="shared" si="78"/>
        <v>0</v>
      </c>
      <c r="U193" s="208">
        <f t="shared" si="79"/>
        <v>0</v>
      </c>
      <c r="V193" s="208">
        <f t="shared" si="83"/>
        <v>0</v>
      </c>
      <c r="W193" s="208">
        <f t="shared" si="80"/>
        <v>0</v>
      </c>
      <c r="X193" s="208">
        <f t="shared" si="81"/>
        <v>0</v>
      </c>
      <c r="Y193" s="208">
        <f t="shared" si="75"/>
        <v>0</v>
      </c>
      <c r="Z193" s="208">
        <f t="shared" si="82"/>
        <v>0</v>
      </c>
      <c r="AA193" s="208">
        <f t="shared" si="67"/>
        <v>0</v>
      </c>
      <c r="AB193" s="208">
        <f t="shared" si="68"/>
        <v>0</v>
      </c>
      <c r="AC193" s="209">
        <f t="shared" si="69"/>
        <v>0</v>
      </c>
      <c r="AD193" s="210">
        <f t="shared" si="70"/>
        <v>0</v>
      </c>
      <c r="AE193" s="417"/>
    </row>
    <row r="194" spans="2:31" s="167" customFormat="1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/>
      <c r="P194" s="206"/>
      <c r="Q194" s="206">
        <f t="shared" si="65"/>
        <v>0</v>
      </c>
      <c r="R194" s="206">
        <f>G194-Q194</f>
        <v>2</v>
      </c>
      <c r="S194" s="206">
        <f>F194*G194</f>
        <v>9755.82</v>
      </c>
      <c r="T194" s="208">
        <f t="shared" si="78"/>
        <v>0</v>
      </c>
      <c r="U194" s="208">
        <f t="shared" si="79"/>
        <v>0</v>
      </c>
      <c r="V194" s="208">
        <f t="shared" si="83"/>
        <v>0</v>
      </c>
      <c r="W194" s="208">
        <f t="shared" si="80"/>
        <v>0</v>
      </c>
      <c r="X194" s="208">
        <f t="shared" si="81"/>
        <v>0</v>
      </c>
      <c r="Y194" s="208">
        <f t="shared" si="75"/>
        <v>0</v>
      </c>
      <c r="Z194" s="208">
        <f t="shared" si="82"/>
        <v>0</v>
      </c>
      <c r="AA194" s="208">
        <f t="shared" si="67"/>
        <v>0</v>
      </c>
      <c r="AB194" s="208">
        <f t="shared" si="68"/>
        <v>0</v>
      </c>
      <c r="AC194" s="209">
        <f t="shared" si="69"/>
        <v>0</v>
      </c>
      <c r="AD194" s="210">
        <f t="shared" si="70"/>
        <v>9755.82</v>
      </c>
      <c r="AE194" s="417">
        <f t="shared" si="71"/>
        <v>0</v>
      </c>
    </row>
    <row r="195" spans="2:31" s="167" customFormat="1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3"/>
      <c r="P195" s="226"/>
      <c r="Q195" s="206">
        <f t="shared" si="65"/>
        <v>0</v>
      </c>
      <c r="R195" s="223">
        <f>G195-Q195</f>
        <v>1</v>
      </c>
      <c r="S195" s="226">
        <f>F195*G195</f>
        <v>3733.15</v>
      </c>
      <c r="T195" s="208">
        <f t="shared" si="78"/>
        <v>0</v>
      </c>
      <c r="U195" s="208">
        <f t="shared" si="79"/>
        <v>0</v>
      </c>
      <c r="V195" s="208">
        <f t="shared" si="83"/>
        <v>0</v>
      </c>
      <c r="W195" s="208">
        <f t="shared" si="80"/>
        <v>0</v>
      </c>
      <c r="X195" s="208">
        <f t="shared" si="81"/>
        <v>0</v>
      </c>
      <c r="Y195" s="208">
        <f t="shared" si="75"/>
        <v>0</v>
      </c>
      <c r="Z195" s="208">
        <f t="shared" si="82"/>
        <v>0</v>
      </c>
      <c r="AA195" s="208">
        <f t="shared" si="67"/>
        <v>0</v>
      </c>
      <c r="AB195" s="208">
        <f t="shared" si="68"/>
        <v>0</v>
      </c>
      <c r="AC195" s="209">
        <f t="shared" si="69"/>
        <v>0</v>
      </c>
      <c r="AD195" s="229">
        <f t="shared" si="70"/>
        <v>3733.15</v>
      </c>
      <c r="AE195" s="417">
        <f t="shared" si="71"/>
        <v>0</v>
      </c>
    </row>
    <row r="196" spans="2:31" ht="15.75" thickBot="1" x14ac:dyDescent="0.3">
      <c r="E196" s="350"/>
      <c r="F196" s="350"/>
      <c r="G196" s="350"/>
      <c r="H196" s="351"/>
      <c r="I196" s="350"/>
      <c r="J196" s="350"/>
      <c r="K196" s="350"/>
      <c r="L196" s="350"/>
      <c r="M196" s="350"/>
      <c r="N196" s="350"/>
      <c r="O196" s="350"/>
      <c r="P196" s="350"/>
      <c r="Q196" s="352"/>
      <c r="R196" s="353"/>
      <c r="S196" s="354">
        <f t="shared" ref="S196:X196" si="84">SUM(S14:S195)</f>
        <v>1240378.3832000003</v>
      </c>
      <c r="T196" s="354">
        <f t="shared" si="84"/>
        <v>66571.964737500006</v>
      </c>
      <c r="U196" s="354">
        <f t="shared" si="84"/>
        <v>61443.00776244999</v>
      </c>
      <c r="V196" s="354">
        <f t="shared" si="84"/>
        <v>66865.073129099997</v>
      </c>
      <c r="W196" s="354">
        <f t="shared" si="84"/>
        <v>79712.63</v>
      </c>
      <c r="X196" s="354">
        <f t="shared" si="84"/>
        <v>103177.48000000005</v>
      </c>
      <c r="Y196" s="346">
        <f>SUM(Y12:Y195)</f>
        <v>70347.038280000008</v>
      </c>
      <c r="Z196" s="233">
        <f>SUM(Z14:Z195)</f>
        <v>40632.783196400007</v>
      </c>
      <c r="AA196" s="415">
        <f>SUM(AA14:AA195)</f>
        <v>68231.630000000019</v>
      </c>
      <c r="AB196" s="233"/>
      <c r="AC196" s="354">
        <f>SUM(AC14:AC195)</f>
        <v>556981.60710545001</v>
      </c>
      <c r="AD196" s="354">
        <f t="shared" si="70"/>
        <v>683396.77609455027</v>
      </c>
      <c r="AE196" s="418">
        <f t="shared" si="71"/>
        <v>0.4490416913494707</v>
      </c>
    </row>
    <row r="197" spans="2:31" ht="15.75" thickBot="1" x14ac:dyDescent="0.3">
      <c r="R197" s="79"/>
      <c r="S197" s="513" t="s">
        <v>546</v>
      </c>
      <c r="T197" s="513" t="s">
        <v>547</v>
      </c>
      <c r="U197" s="513" t="s">
        <v>549</v>
      </c>
      <c r="V197" s="513" t="s">
        <v>550</v>
      </c>
      <c r="W197" s="513" t="s">
        <v>551</v>
      </c>
      <c r="X197" s="513" t="s">
        <v>552</v>
      </c>
      <c r="Y197" s="513" t="s">
        <v>553</v>
      </c>
      <c r="Z197" s="513" t="s">
        <v>554</v>
      </c>
      <c r="AA197" s="513" t="s">
        <v>991</v>
      </c>
      <c r="AB197" s="513" t="s">
        <v>992</v>
      </c>
      <c r="AC197" s="514" t="s">
        <v>548</v>
      </c>
      <c r="AD197" s="513" t="s">
        <v>541</v>
      </c>
    </row>
    <row r="198" spans="2:31" ht="24" customHeight="1" thickBot="1" x14ac:dyDescent="0.3">
      <c r="R198" s="79"/>
      <c r="S198" s="513"/>
      <c r="T198" s="513"/>
      <c r="U198" s="513"/>
      <c r="V198" s="513"/>
      <c r="W198" s="513"/>
      <c r="X198" s="513"/>
      <c r="Y198" s="513"/>
      <c r="Z198" s="513"/>
      <c r="AA198" s="513"/>
      <c r="AB198" s="513"/>
      <c r="AC198" s="514"/>
      <c r="AD198" s="513"/>
    </row>
    <row r="199" spans="2:31" x14ac:dyDescent="0.25">
      <c r="R199"/>
    </row>
    <row r="200" spans="2:31" x14ac:dyDescent="0.25">
      <c r="R200"/>
    </row>
    <row r="201" spans="2:31" x14ac:dyDescent="0.25">
      <c r="R201"/>
    </row>
    <row r="202" spans="2:31" x14ac:dyDescent="0.25">
      <c r="R202"/>
    </row>
    <row r="203" spans="2:31" x14ac:dyDescent="0.25">
      <c r="R203"/>
    </row>
    <row r="204" spans="2:31" x14ac:dyDescent="0.25">
      <c r="R204"/>
    </row>
  </sheetData>
  <mergeCells count="29">
    <mergeCell ref="AD197:AD198"/>
    <mergeCell ref="S10:AD10"/>
    <mergeCell ref="S197:S198"/>
    <mergeCell ref="T197:T198"/>
    <mergeCell ref="U197:U198"/>
    <mergeCell ref="V197:V198"/>
    <mergeCell ref="W197:W198"/>
    <mergeCell ref="X197:X198"/>
    <mergeCell ref="Y197:Y198"/>
    <mergeCell ref="Z197:Z198"/>
    <mergeCell ref="AC197:AC198"/>
    <mergeCell ref="AA197:AA198"/>
    <mergeCell ref="AB197:AB198"/>
    <mergeCell ref="G10:R10"/>
    <mergeCell ref="B2:AD2"/>
    <mergeCell ref="AC3:AD8"/>
    <mergeCell ref="B4:N4"/>
    <mergeCell ref="S4:Z4"/>
    <mergeCell ref="B6:D6"/>
    <mergeCell ref="E6:N6"/>
    <mergeCell ref="Q6:Z6"/>
    <mergeCell ref="B8:C8"/>
    <mergeCell ref="J8:R8"/>
    <mergeCell ref="S8:Z8"/>
    <mergeCell ref="B10:B11"/>
    <mergeCell ref="C10:C11"/>
    <mergeCell ref="D10:D11"/>
    <mergeCell ref="E10:E11"/>
    <mergeCell ref="F10:F11"/>
  </mergeCells>
  <phoneticPr fontId="20" type="noConversion"/>
  <conditionalFormatting sqref="O1:O1048576">
    <cfRule type="cellIs" dxfId="1" priority="4" operator="greaterThan">
      <formula>0</formula>
    </cfRule>
  </conditionalFormatting>
  <conditionalFormatting sqref="AE1:AE1048576">
    <cfRule type="cellIs" dxfId="0" priority="1" operator="greaterThan">
      <formula>1</formula>
    </cfRule>
  </conditionalFormatting>
  <pageMargins left="0.511811024" right="0.511811024" top="0.78740157499999996" bottom="0.78740157499999996" header="0.31496062000000002" footer="0.31496062000000002"/>
  <pageSetup paperSize="9" scale="5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zoomScale="78" zoomScaleNormal="78" workbookViewId="0">
      <selection activeCell="M384" sqref="M384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34" t="s">
        <v>994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f>'BOLETIM DE MEDIÇÃO 08'!B8:C8</f>
        <v>45555</v>
      </c>
      <c r="C8" s="449"/>
      <c r="D8" s="23" t="str">
        <f>'BOLETIM DE MEDIÇÃO 08'!D8</f>
        <v>19/08/2024 a 20/09/2024</v>
      </c>
      <c r="E8" s="450">
        <f>'BOLETIM DE MEDIÇÃO 08'!E8</f>
        <v>68231.630000000019</v>
      </c>
      <c r="F8" s="451"/>
      <c r="G8" s="452"/>
      <c r="H8" s="453">
        <f>'BOLETIM DE MEDIÇÃO 05'!H8</f>
        <v>274592.67562904983</v>
      </c>
      <c r="I8" s="454"/>
      <c r="J8" s="455" t="s">
        <v>988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1">
        <v>1</v>
      </c>
      <c r="G70" s="476">
        <f>43.05</f>
        <v>43.05</v>
      </c>
      <c r="H70" s="477"/>
      <c r="I70" s="47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2"/>
      <c r="G71" s="479"/>
      <c r="H71" s="480"/>
      <c r="I71" s="481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73" t="s">
        <v>883</v>
      </c>
      <c r="H72" s="474"/>
      <c r="I72" s="47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71" t="s">
        <v>838</v>
      </c>
      <c r="H73" s="472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71">
        <v>9</v>
      </c>
      <c r="H74" s="47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71">
        <v>5</v>
      </c>
      <c r="H75" s="47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71">
        <f xml:space="preserve"> (13.03 * 2.7)</f>
        <v>35.180999999999997</v>
      </c>
      <c r="H76" s="47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71">
        <v>3</v>
      </c>
      <c r="H77" s="47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71">
        <v>7</v>
      </c>
      <c r="H78" s="47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71">
        <v>21</v>
      </c>
      <c r="H79" s="47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71">
        <v>27</v>
      </c>
      <c r="H80" s="47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71">
        <v>26</v>
      </c>
      <c r="H81" s="47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71">
        <v>1.6</v>
      </c>
      <c r="H82" s="47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71">
        <v>1.6</v>
      </c>
      <c r="H83" s="47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71">
        <v>45</v>
      </c>
      <c r="H84" s="47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71">
        <v>19</v>
      </c>
      <c r="H85" s="47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71">
        <v>19</v>
      </c>
      <c r="H86" s="47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71">
        <v>5</v>
      </c>
      <c r="H87" s="47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71">
        <v>14</v>
      </c>
      <c r="H88" s="47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82">
        <v>36</v>
      </c>
      <c r="H89" s="48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82">
        <v>46</v>
      </c>
      <c r="H90" s="48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71">
        <v>41</v>
      </c>
      <c r="H91" s="47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71">
        <v>27</v>
      </c>
      <c r="H92" s="47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71">
        <v>53</v>
      </c>
      <c r="H93" s="47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71">
        <f xml:space="preserve"> (2.65*1.8)</f>
        <v>4.7699999999999996</v>
      </c>
      <c r="H94" s="47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71">
        <v>30</v>
      </c>
      <c r="H95" s="47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71">
        <v>30</v>
      </c>
      <c r="H96" s="47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71">
        <v>14</v>
      </c>
      <c r="H97" s="47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71">
        <v>14</v>
      </c>
      <c r="H98" s="47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71">
        <v>20</v>
      </c>
      <c r="H99" s="47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71">
        <v>3</v>
      </c>
      <c r="H100" s="47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71">
        <v>4</v>
      </c>
      <c r="H101" s="47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71">
        <v>12</v>
      </c>
      <c r="H102" s="47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71">
        <v>20</v>
      </c>
      <c r="H103" s="47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71">
        <v>4</v>
      </c>
      <c r="H104" s="47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71">
        <v>5</v>
      </c>
      <c r="H105" s="47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71">
        <f>1184.23-SUM(G74:H105)</f>
        <v>582.07900000000006</v>
      </c>
      <c r="H106" s="47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71"/>
      <c r="H107" s="47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60" t="s">
        <v>652</v>
      </c>
      <c r="H108" s="463"/>
      <c r="I108" s="464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57" t="s">
        <v>831</v>
      </c>
      <c r="H172" s="458"/>
      <c r="I172" s="459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60">
        <v>492.78</v>
      </c>
      <c r="H173" s="463"/>
      <c r="I173" s="464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60">
        <f>(2*12)+(2*3.79)+(2*8.94)+(2*6.27)+ 1.39+0.99 +(2*1.85)+(2*1.7)+ (2*1.35)</f>
        <v>74.180000000000007</v>
      </c>
      <c r="H174" s="46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60">
        <f>(2*10.92)+(2*10.92)+ 1.3 + 1.1</f>
        <v>46.08</v>
      </c>
      <c r="H175" s="46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60">
        <f>(2*1.87)+(2*1.87)</f>
        <v>7.48</v>
      </c>
      <c r="H176" s="46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60">
        <f>(2*6.55)+(2*6.3)+1.75+1.35+1.19</f>
        <v>29.990000000000002</v>
      </c>
      <c r="H177" s="46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60">
        <f>(2*8.39)+(2*1.7)+ 1.1+ 3.13 + (2*5.24)+ (2*3.11)</f>
        <v>41.11</v>
      </c>
      <c r="H178" s="46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60"/>
      <c r="H179" s="46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60"/>
      <c r="H180" s="46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60"/>
      <c r="H181" s="46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60"/>
      <c r="H182" s="46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60"/>
      <c r="H183" s="46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60"/>
      <c r="H184" s="46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60"/>
      <c r="H185" s="46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60"/>
      <c r="H186" s="46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60"/>
      <c r="H187" s="46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60"/>
      <c r="H188" s="46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60"/>
      <c r="H189" s="46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60"/>
      <c r="H190" s="46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60"/>
      <c r="H191" s="46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60"/>
      <c r="H192" s="46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60"/>
      <c r="H193" s="46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60"/>
      <c r="H194" s="46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60"/>
      <c r="H195" s="46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60"/>
      <c r="H196" s="46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60"/>
      <c r="H197" s="46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60"/>
      <c r="H198" s="46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60"/>
      <c r="H199" s="46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57">
        <f xml:space="preserve"> (2*1.31) + (2*1.51) + (2*4.98)</f>
        <v>15.600000000000001</v>
      </c>
      <c r="H201" s="46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57">
        <f xml:space="preserve"> (3*3.37) + (1.37) + (2*3.47)</f>
        <v>18.420000000000002</v>
      </c>
      <c r="H202" s="46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57">
        <f xml:space="preserve"> (1.87) + (2*3.62)</f>
        <v>9.11</v>
      </c>
      <c r="H203" s="46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57">
        <f xml:space="preserve"> (4*0.88) + (2*3.36) + (2*5.03)</f>
        <v>20.3</v>
      </c>
      <c r="H204" s="46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57">
        <f xml:space="preserve"> (2*3.18) + (2*3.18)</f>
        <v>12.72</v>
      </c>
      <c r="H205" s="46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57">
        <f xml:space="preserve"> (4*2.15)</f>
        <v>8.6</v>
      </c>
      <c r="H206" s="46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57">
        <f xml:space="preserve"> (4*6.99)</f>
        <v>27.96</v>
      </c>
      <c r="H207" s="46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57" t="s">
        <v>831</v>
      </c>
      <c r="H208" s="458"/>
      <c r="I208" s="45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57"/>
      <c r="H209" s="458"/>
      <c r="I209" s="45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60" t="s">
        <v>679</v>
      </c>
      <c r="H217" s="46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57" t="s">
        <v>680</v>
      </c>
      <c r="H218" s="46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57" t="s">
        <v>681</v>
      </c>
      <c r="H219" s="46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57" t="s">
        <v>682</v>
      </c>
      <c r="H220" s="46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57" t="s">
        <v>684</v>
      </c>
      <c r="H221" s="46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57" t="s">
        <v>683</v>
      </c>
      <c r="H222" s="46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57" t="s">
        <v>685</v>
      </c>
      <c r="H223" s="46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60" t="s">
        <v>686</v>
      </c>
      <c r="H224" s="46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57" t="s">
        <v>687</v>
      </c>
      <c r="H225" s="46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57" t="s">
        <v>688</v>
      </c>
      <c r="H226" s="46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60" t="s">
        <v>689</v>
      </c>
      <c r="H227" s="46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57" t="s">
        <v>690</v>
      </c>
      <c r="H228" s="46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60" t="s">
        <v>691</v>
      </c>
      <c r="H229" s="46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57" t="s">
        <v>692</v>
      </c>
      <c r="H230" s="46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57" t="s">
        <v>693</v>
      </c>
      <c r="H231" s="46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60" t="s">
        <v>694</v>
      </c>
      <c r="H232" s="46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57" t="s">
        <v>695</v>
      </c>
      <c r="H233" s="46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57" t="s">
        <v>696</v>
      </c>
      <c r="H234" s="46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57" t="s">
        <v>697</v>
      </c>
      <c r="H235" s="46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57" t="s">
        <v>698</v>
      </c>
      <c r="H236" s="46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57" t="s">
        <v>699</v>
      </c>
      <c r="H237" s="46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57" t="s">
        <v>700</v>
      </c>
      <c r="H238" s="46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57" t="s">
        <v>701</v>
      </c>
      <c r="H239" s="46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60" t="s">
        <v>702</v>
      </c>
      <c r="H240" s="46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57" t="s">
        <v>704</v>
      </c>
      <c r="H241" s="46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57" t="s">
        <v>703</v>
      </c>
      <c r="H242" s="46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57" t="s">
        <v>703</v>
      </c>
      <c r="H243" s="46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57" t="s">
        <v>705</v>
      </c>
      <c r="H244" s="46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57" t="s">
        <v>704</v>
      </c>
      <c r="H245" s="46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57" t="s">
        <v>705</v>
      </c>
      <c r="H246" s="46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57" t="s">
        <v>704</v>
      </c>
      <c r="H247" s="46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57">
        <v>9.6</v>
      </c>
      <c r="H248" s="458"/>
      <c r="I248" s="45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57">
        <v>12.75</v>
      </c>
      <c r="H249" s="458"/>
      <c r="I249" s="45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7" t="s">
        <v>874</v>
      </c>
      <c r="H257" s="488"/>
      <c r="I257" s="489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57"/>
      <c r="H258" s="458"/>
      <c r="I258" s="45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57">
        <v>9.6</v>
      </c>
      <c r="H259" s="458"/>
      <c r="I259" s="45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57" t="s">
        <v>831</v>
      </c>
      <c r="H260" s="458"/>
      <c r="I260" s="45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57">
        <f>G249</f>
        <v>12.75</v>
      </c>
      <c r="H261" s="458"/>
      <c r="I261" s="45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57" t="s">
        <v>831</v>
      </c>
      <c r="H262" s="458"/>
      <c r="I262" s="45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60" t="s">
        <v>647</v>
      </c>
      <c r="H263" s="46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57">
        <f xml:space="preserve"> ((0.59*(1.85/0.1)) * 2)</f>
        <v>21.83</v>
      </c>
      <c r="H264" s="46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57">
        <f>(0.69*(1.87/0.1)) + (0.79*(1.87/0.1))</f>
        <v>27.675999999999998</v>
      </c>
      <c r="H265" s="46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57">
        <f>((0.69*(1.9/0.1))*3) + ((0.59*(1.87/0.1))*2)</f>
        <v>61.395999999999987</v>
      </c>
      <c r="H266" s="46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57">
        <f>((0.69*(1.92/0.1))*1) + ((0.59*(1.92/0.1))*2)</f>
        <v>35.903999999999996</v>
      </c>
      <c r="H267" s="46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57">
        <f>((0.79*(1.94/0.1))*3)</f>
        <v>45.977999999999994</v>
      </c>
      <c r="H268" s="46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57">
        <f>((0.69*(1.96/0.1))*3) + ((0.59*(1.96/0.1))*2)</f>
        <v>63.699999999999989</v>
      </c>
      <c r="H269" s="46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57">
        <f>((0.59*(1.95/0.1))*2) + ((0.69*(1.95/0.1))*3) +((0.79*(1.95/0.1))*1)</f>
        <v>78.78</v>
      </c>
      <c r="H270" s="46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57">
        <f>((0.59*(1.97/0.1))*1)  +((0.79*(1.97/0.1))*2)</f>
        <v>42.749000000000002</v>
      </c>
      <c r="H271" s="46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57">
        <f>((0.59*(1.9/0.1))*3)</f>
        <v>33.629999999999995</v>
      </c>
      <c r="H272" s="46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57">
        <f>((0.69*(1.86/0.1))*1) + ((0.69*(1.86/0.1))*1) + ((0.89*(1.86/0.1))*1)</f>
        <v>42.222000000000001</v>
      </c>
      <c r="H273" s="46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57">
        <f>((0.69*(1.87/0.1))*3)</f>
        <v>38.708999999999996</v>
      </c>
      <c r="H274" s="46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57">
        <f>((0.69*(1.9/0.1))*1) + ((0.79*(1.9/0.1))*2) + ((0.59*(1.9/0.1))*1)</f>
        <v>54.339999999999989</v>
      </c>
      <c r="H275" s="46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57">
        <f>((0.79*(1.91/0.1))*1) +((0.59*(1.91/0.1))*1)</f>
        <v>26.357999999999997</v>
      </c>
      <c r="H276" s="46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57">
        <f>((0.79*(1.94/0.1))*1) +((0.59*(1.94/0.1))*5)</f>
        <v>72.555999999999983</v>
      </c>
      <c r="H277" s="46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57">
        <f>((0.69*(1.92/0.1))*2) + ((0.69*(1.92/0.1))*1)</f>
        <v>39.744</v>
      </c>
      <c r="H278" s="46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57">
        <f>((0.59*(1.93/0.1))*2) + ((0.79*(1.93/0.1))*1)</f>
        <v>38.020999999999994</v>
      </c>
      <c r="H279" s="46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57">
        <f>((0.59*(1.87/0.1))*2) + ((0.69*(1.87/0.1))*2)</f>
        <v>47.872</v>
      </c>
      <c r="H280" s="46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57">
        <f>((0.59*(1.88/0.1))*3) + ((0.69*(1.88/0.1))*1)</f>
        <v>46.24799999999999</v>
      </c>
      <c r="H281" s="46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57">
        <f>((0.79*(1.9/0.1))*1) + ((0.69*(1.9/0.1))*3)</f>
        <v>54.339999999999982</v>
      </c>
      <c r="H282" s="46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57">
        <f>((0.59*(1.9/0.1))*1)</f>
        <v>11.209999999999997</v>
      </c>
      <c r="H283" s="46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57">
        <f>((0.69*(1.87/0.1))*1) + ((0.59*(1.87/0.1))*1)</f>
        <v>23.936</v>
      </c>
      <c r="H284" s="46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57">
        <f>((0.69*(2/0.1))*1) + ((0.59*(2/0.1))*2)</f>
        <v>37.4</v>
      </c>
      <c r="H285" s="46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57">
        <f>((0.69*(2.01/0.1))*1) + ((0.59*(2.01/0.1))*5) + ((0.79*(2.01/0.1))*1)</f>
        <v>89.042999999999992</v>
      </c>
      <c r="H286" s="46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57">
        <f>(((1.39+0.47+0.47))*(1.86/0.15))</f>
        <v>28.892000000000003</v>
      </c>
      <c r="H287" s="46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57">
        <f>(((1.09+0.022))*(1.87/0.15))</f>
        <v>13.862933333333336</v>
      </c>
      <c r="H288" s="46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57">
        <f>(((1.09+0.022))*(1.89/0.15))</f>
        <v>14.011200000000001</v>
      </c>
      <c r="H289" s="46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57">
        <f>(((0.59))*(1.9/0.15))</f>
        <v>7.4733333333333327</v>
      </c>
      <c r="H290" s="46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57">
        <f>(((0.59))*(1.92/0.15))</f>
        <v>7.5519999999999996</v>
      </c>
      <c r="H291" s="46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57">
        <f>(((0.59))*(1.9/0.15))</f>
        <v>7.4733333333333327</v>
      </c>
      <c r="H292" s="46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57">
        <f>(((0.69))*(1.98/0.15))</f>
        <v>9.1080000000000005</v>
      </c>
      <c r="H293" s="46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60">
        <v>210.13</v>
      </c>
      <c r="H294" s="463"/>
      <c r="I294" s="464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57">
        <f xml:space="preserve"> (2*2.51) + (40*0.59)</f>
        <v>28.619999999999997</v>
      </c>
      <c r="H295" s="46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57">
        <f xml:space="preserve"> (19*0.79)</f>
        <v>15.010000000000002</v>
      </c>
      <c r="H296" s="46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57">
        <f xml:space="preserve"> (21*0.79)</f>
        <v>16.59</v>
      </c>
      <c r="H297" s="46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57">
        <f xml:space="preserve"> (2*3.86) + (29*0.79)</f>
        <v>30.63</v>
      </c>
      <c r="H298" s="46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57">
        <f xml:space="preserve"> (22*0.59)</f>
        <v>12.979999999999999</v>
      </c>
      <c r="H299" s="46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57">
        <f xml:space="preserve"> (14*0.059)</f>
        <v>0.82599999999999996</v>
      </c>
      <c r="H300" s="46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57">
        <f xml:space="preserve"> (59*0.59)</f>
        <v>34.809999999999995</v>
      </c>
      <c r="H301" s="46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57">
        <v>295</v>
      </c>
      <c r="H303" s="458"/>
      <c r="I303" s="45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60" t="s">
        <v>628</v>
      </c>
      <c r="H306" s="46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57">
        <f xml:space="preserve"> (4*(0.2+0.25+1.85+0.33)) * 2</f>
        <v>21.040000000000003</v>
      </c>
      <c r="H307" s="46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57">
        <f xml:space="preserve"> ((4*(0.2+0.25+1.87+0.33)) * 2)</f>
        <v>21.200000000000003</v>
      </c>
      <c r="H308" s="46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57">
        <f xml:space="preserve"> (4*(0.2+0.25+1.9+0.33)) * 5</f>
        <v>53.6</v>
      </c>
      <c r="H309" s="46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57">
        <f xml:space="preserve"> (4*(0.2+0.25+1.92+0.33)) *3</f>
        <v>32.400000000000006</v>
      </c>
      <c r="H310" s="46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57">
        <f xml:space="preserve"> (4*(0.2+0.25+1.94+0.33)) * 3</f>
        <v>32.64</v>
      </c>
      <c r="H311" s="46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57">
        <f xml:space="preserve"> (4*(0.2+0.25+1.96+0.33)) * 5</f>
        <v>54.800000000000004</v>
      </c>
      <c r="H312" s="46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57">
        <f xml:space="preserve"> (4*(0.2+0.25+1.95+0.33)) * 6</f>
        <v>65.52</v>
      </c>
      <c r="H313" s="46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57">
        <f xml:space="preserve"> (4*(0.2+0.25+1.97+0.33)) * 3</f>
        <v>33</v>
      </c>
      <c r="H314" s="46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57">
        <f xml:space="preserve"> (4*(0.2+0.25+1.9+0.33)) * 3</f>
        <v>32.160000000000004</v>
      </c>
      <c r="H315" s="46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57">
        <f xml:space="preserve"> ((4*(0.2+0.25+1.86+0.33)) * 3)</f>
        <v>31.68</v>
      </c>
      <c r="H316" s="46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57">
        <f xml:space="preserve"> ((4*(0.2+0.25+1.87+0.33)) * 3)</f>
        <v>31.800000000000004</v>
      </c>
      <c r="H317" s="46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57">
        <f xml:space="preserve"> ((4*(0.2+0.25+1.9+0.33)) * 4)</f>
        <v>42.88</v>
      </c>
      <c r="H318" s="46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57">
        <f xml:space="preserve"> ((4*(0.2+0.25+1.91+0.33)) * 2)</f>
        <v>21.52</v>
      </c>
      <c r="H319" s="46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57">
        <f xml:space="preserve"> ((4*(0.2+0.25+1.94+0.33)) * 6)</f>
        <v>65.28</v>
      </c>
      <c r="H320" s="46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57">
        <f xml:space="preserve"> ((4*(0.2+0.25+1.92+0.33)) *3)</f>
        <v>32.400000000000006</v>
      </c>
      <c r="H321" s="46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57">
        <f xml:space="preserve"> ((4*(0.2+0.25+1.93+0.33)) *3)</f>
        <v>32.519999999999996</v>
      </c>
      <c r="H322" s="46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57">
        <f xml:space="preserve"> ((4*(0.2+0.25+1.87+0.33)) *4)</f>
        <v>42.400000000000006</v>
      </c>
      <c r="H323" s="46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57">
        <f xml:space="preserve"> ((4*(0.2+0.25+1.88+0.33)) *4)</f>
        <v>42.56</v>
      </c>
      <c r="H324" s="46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57">
        <f xml:space="preserve"> ((4*(0.2+0.25+1.9+0.33)) *4)</f>
        <v>42.88</v>
      </c>
      <c r="H325" s="46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57">
        <f>((4*(0.2+0.25+1.9+0.33))) + ((8*(0.2+0.25+1.9)))</f>
        <v>29.520000000000003</v>
      </c>
      <c r="H326" s="46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57">
        <f xml:space="preserve"> ((4*(0.2+0.25+1.97+0.33)) *2)</f>
        <v>22</v>
      </c>
      <c r="H327" s="46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57">
        <f xml:space="preserve"> ((4*(0.2+0.25+2+0.33)) *3)</f>
        <v>33.36</v>
      </c>
      <c r="H328" s="46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57">
        <f xml:space="preserve"> ((4*(0.2+0.25+2.01+0.33)) *7)</f>
        <v>78.12</v>
      </c>
      <c r="H329" s="46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57" t="s">
        <v>831</v>
      </c>
      <c r="H330" s="458"/>
      <c r="I330" s="45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60" t="s">
        <v>628</v>
      </c>
      <c r="H331" s="46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57">
        <f>((8*(0.2+0.25+1.86+0.42)))</f>
        <v>21.84</v>
      </c>
      <c r="H332" s="46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57">
        <f>((6*(0.2+0.25+1.87+0.42)))</f>
        <v>16.440000000000001</v>
      </c>
      <c r="H333" s="46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57">
        <f>((6*(0.2+0.25+1.89+0.42)))</f>
        <v>16.559999999999999</v>
      </c>
      <c r="H334" s="46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57">
        <f>((4*(0.2+0.25+1.9+0.42)))</f>
        <v>11.08</v>
      </c>
      <c r="H335" s="46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57">
        <f>((4*(0.2+0.25+1.92+0.42)))</f>
        <v>11.16</v>
      </c>
      <c r="H336" s="46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57">
        <f>((4*(0.2+0.25+1.9+0.42)))</f>
        <v>11.08</v>
      </c>
      <c r="H337" s="46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57">
        <f>((4*(0.2+0.25+1.98+0.42)))+(2*(0.2+0.25+1.98))</f>
        <v>16.260000000000002</v>
      </c>
      <c r="H338" s="46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60">
        <v>52.34</v>
      </c>
      <c r="H339" s="463"/>
      <c r="I339" s="464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57"/>
      <c r="H340" s="458"/>
      <c r="I340" s="45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57">
        <v>223.49</v>
      </c>
      <c r="H341" s="458"/>
      <c r="I341" s="45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60" t="s">
        <v>706</v>
      </c>
      <c r="H350" s="46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57">
        <f xml:space="preserve"> ((0.15+0.25)*2) *2</f>
        <v>1.6</v>
      </c>
      <c r="H351" s="46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57">
        <f xml:space="preserve"> ((0.2+0.25)*2) + ((0.2+0.3)*2)</f>
        <v>1.9</v>
      </c>
      <c r="H352" s="46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57">
        <f xml:space="preserve"> ((0.2+0.25)*2*3) + ((0.2+0.2)*2*1) + ((0.15+0.2)*2*1)</f>
        <v>4.2</v>
      </c>
      <c r="H353" s="46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57">
        <f xml:space="preserve"> ((0.2+0.25)*2*1) + ((0.15+0.25)*2*2)</f>
        <v>2.5</v>
      </c>
      <c r="H354" s="46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57">
        <f xml:space="preserve"> ((0.15+0.3)*2*3)</f>
        <v>2.6999999999999997</v>
      </c>
      <c r="H355" s="46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57">
        <f xml:space="preserve"> ((0.2+0.25)*2*3) + ((0.15+0.25)*2*2)</f>
        <v>4.3000000000000007</v>
      </c>
      <c r="H356" s="46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57">
        <f xml:space="preserve"> ((0.2+0.25)*2*3) + ((0.15+0.25)*2*2) +  ((0.2+0.3)*2*1)</f>
        <v>5.3000000000000007</v>
      </c>
      <c r="H357" s="46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57">
        <f xml:space="preserve"> ((0.2+0.25)*2*2) + ((0.15+0.25)*2*1)</f>
        <v>2.6</v>
      </c>
      <c r="H358" s="46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57">
        <f>((0.15+0.25)*2*3)</f>
        <v>2.4000000000000004</v>
      </c>
      <c r="H359" s="46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57">
        <f xml:space="preserve"> ((0.2+0.25)*2*1) + ((0.15+0.25)*2*1) +  ((0.2+0.35)*2*1)</f>
        <v>2.8000000000000003</v>
      </c>
      <c r="H360" s="46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57">
        <f xml:space="preserve"> ((0.2+0.25)*2*1) + ((0.15+0.3)*2*2)</f>
        <v>2.6999999999999997</v>
      </c>
      <c r="H361" s="46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57">
        <f xml:space="preserve"> ((0.2+0.3)*2*1) + ((0.15+0.3)*2*1) +  ((0.15+0.25)*2*1) + ((0.15+0.35)*2*1)</f>
        <v>3.7</v>
      </c>
      <c r="H362" s="46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57">
        <f xml:space="preserve"> ((0.15+0.25)*2*1) + ((0.2+0.3)*2*1)</f>
        <v>1.8</v>
      </c>
      <c r="H363" s="46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57">
        <f xml:space="preserve"> ((0.15+0.25)*2*5) + ((0.25+0.25)*2*1)</f>
        <v>5</v>
      </c>
      <c r="H364" s="46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57">
        <f xml:space="preserve"> ((0.2+0.25)*2*1) + ((0.15+0.25)*2*1) +  ((0.25+0.25)*2*1)</f>
        <v>2.7</v>
      </c>
      <c r="H365" s="46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57">
        <f xml:space="preserve"> ((0.15+0.25)*2*2) + ((0.25+0.25)*2*1)</f>
        <v>2.6</v>
      </c>
      <c r="H366" s="46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57">
        <f xml:space="preserve"> ((0.15+0.25)*2*2) + ((0.2+0.25)*2*2)</f>
        <v>3.4000000000000004</v>
      </c>
      <c r="H367" s="46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57">
        <f xml:space="preserve"> ((0.15+0.25)*2*3) + ((0.2+0.25)*2*1)</f>
        <v>3.3000000000000003</v>
      </c>
      <c r="H368" s="46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57">
        <f>((0.2+0.25)*2*3) + ((0.25+0.25)*2*1)</f>
        <v>3.7</v>
      </c>
      <c r="H369" s="46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57">
        <f>((0.2+0.2)*2*1)</f>
        <v>0.8</v>
      </c>
      <c r="H370" s="46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57">
        <f>((0.2+0.25)*2*1) + ((0.15+0.25)*2*1)</f>
        <v>1.7000000000000002</v>
      </c>
      <c r="H371" s="46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57">
        <f>((0.2+0.25)*2*1) + ((0.15+0.25)*2*2)</f>
        <v>2.5</v>
      </c>
      <c r="H372" s="46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57">
        <f xml:space="preserve"> ((0.2+0.3)*2*1) + ((0.15+0.25)*2*5) +  ((0.25+0.25)*2*1)</f>
        <v>6</v>
      </c>
      <c r="H373" s="46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57">
        <f>((0.15+0.3)*2*1)</f>
        <v>0.89999999999999991</v>
      </c>
      <c r="H374" s="46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57">
        <f>((0.15+0.5)*2*1)</f>
        <v>1.3</v>
      </c>
      <c r="H375" s="46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57">
        <f>((0.15+0.5)*2*1)</f>
        <v>1.3</v>
      </c>
      <c r="H376" s="46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57">
        <f>((0.15+0.25)*2*1)</f>
        <v>0.8</v>
      </c>
      <c r="H377" s="46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57">
        <f t="shared" ref="G378" si="18">((0.15+0.3)*2*1)</f>
        <v>0.89999999999999991</v>
      </c>
      <c r="H378" s="46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57">
        <f>((0.15+0.25)*2*1)</f>
        <v>0.8</v>
      </c>
      <c r="H379" s="46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57">
        <f>((0.15+0.3)*2*1)</f>
        <v>0.89999999999999991</v>
      </c>
      <c r="H380" s="46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7" t="s">
        <v>97</v>
      </c>
      <c r="E384" s="242" t="s">
        <v>17</v>
      </c>
      <c r="F384" s="243"/>
      <c r="G384" s="244"/>
      <c r="H384" s="408"/>
      <c r="I384" s="246"/>
      <c r="J384" s="249">
        <f>'BOLETIM DE MEDIÇÃO 08'!Q41-'MEMORIAL DE CALCULO 08'!K384</f>
        <v>294.69100000000003</v>
      </c>
      <c r="K384" s="250">
        <f>K385</f>
        <v>32.743000000000002</v>
      </c>
      <c r="L384" s="251">
        <f t="shared" si="0"/>
        <v>327.43400000000003</v>
      </c>
      <c r="M384" s="251">
        <f>'BOLETIM DE MEDIÇÃO 05'!G41</f>
        <v>435.33</v>
      </c>
      <c r="N384" s="252">
        <f t="shared" si="1"/>
        <v>107.89599999999996</v>
      </c>
    </row>
    <row r="385" spans="2:15" ht="18" customHeight="1" x14ac:dyDescent="0.25">
      <c r="B385" s="247"/>
      <c r="C385" s="409"/>
      <c r="D385" s="410" t="s">
        <v>1004</v>
      </c>
      <c r="E385" s="242"/>
      <c r="F385" s="243">
        <v>1</v>
      </c>
      <c r="G385" s="471">
        <f>0.1*327.43</f>
        <v>32.743000000000002</v>
      </c>
      <c r="H385" s="515"/>
      <c r="I385" s="516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7" t="s">
        <v>100</v>
      </c>
      <c r="E386" s="242"/>
      <c r="F386" s="243"/>
      <c r="G386" s="399"/>
      <c r="H386" s="242"/>
      <c r="I386" s="411"/>
      <c r="J386" s="249">
        <f>'BOLETIM DE MEDIÇÃO 08'!Q42-'MEMORIAL DE CALCULO 08'!K386</f>
        <v>0</v>
      </c>
      <c r="K386" s="250">
        <f>K387</f>
        <v>53.183999999999997</v>
      </c>
      <c r="L386" s="251">
        <f>J386+K386</f>
        <v>53.183999999999997</v>
      </c>
      <c r="M386" s="251">
        <f>'BOLETIM DE MEDIÇÃO 08'!G42</f>
        <v>111.15</v>
      </c>
      <c r="N386" s="252">
        <f>M386-L386</f>
        <v>57.966000000000008</v>
      </c>
    </row>
    <row r="387" spans="2:15" ht="18" customHeight="1" x14ac:dyDescent="0.25">
      <c r="B387" s="247"/>
      <c r="C387" s="409"/>
      <c r="D387" s="410" t="s">
        <v>1007</v>
      </c>
      <c r="E387" s="242"/>
      <c r="F387" s="243">
        <v>1</v>
      </c>
      <c r="G387" s="471">
        <f>0.6*88.64</f>
        <v>53.183999999999997</v>
      </c>
      <c r="H387" s="517"/>
      <c r="I387" s="516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8" t="s">
        <v>101</v>
      </c>
      <c r="C388" s="369">
        <v>92759</v>
      </c>
      <c r="D388" s="406" t="s">
        <v>103</v>
      </c>
      <c r="E388" s="371" t="s">
        <v>62</v>
      </c>
      <c r="F388" s="372"/>
      <c r="G388" s="402"/>
      <c r="H388" s="371"/>
      <c r="I388" s="377"/>
      <c r="J388" s="373">
        <f>'BOLETIM DE MEDIÇÃO 05'!O43-'MEMORIAL DE CALCULO 08'!K388</f>
        <v>468.20000000000005</v>
      </c>
      <c r="K388" s="374">
        <f>K389</f>
        <v>214.5</v>
      </c>
      <c r="L388" s="374">
        <f t="shared" si="0"/>
        <v>682.7</v>
      </c>
      <c r="M388" s="374">
        <f>'BOLETIM DE MEDIÇÃO 05'!G43</f>
        <v>1027.8</v>
      </c>
      <c r="N388" s="375">
        <f t="shared" si="1"/>
        <v>345.09999999999991</v>
      </c>
      <c r="O388" s="376"/>
    </row>
    <row r="389" spans="2:15" ht="19.899999999999999" hidden="1" customHeight="1" x14ac:dyDescent="0.25">
      <c r="B389" s="368"/>
      <c r="C389" s="369"/>
      <c r="D389" s="370" t="s">
        <v>968</v>
      </c>
      <c r="E389" s="371"/>
      <c r="F389" s="372">
        <v>1</v>
      </c>
      <c r="G389" s="505">
        <f>0.6*357.5</f>
        <v>214.5</v>
      </c>
      <c r="H389" s="506"/>
      <c r="I389" s="507"/>
      <c r="J389" s="373"/>
      <c r="K389" s="374">
        <f>F389*G389</f>
        <v>214.5</v>
      </c>
      <c r="L389" s="374"/>
      <c r="M389" s="374"/>
      <c r="N389" s="375"/>
      <c r="O389" s="376"/>
    </row>
    <row r="390" spans="2:15" ht="33.6" hidden="1" customHeight="1" x14ac:dyDescent="0.25">
      <c r="B390" s="368" t="s">
        <v>104</v>
      </c>
      <c r="C390" s="369">
        <v>92760</v>
      </c>
      <c r="D390" s="406" t="s">
        <v>106</v>
      </c>
      <c r="E390" s="371" t="s">
        <v>62</v>
      </c>
      <c r="F390" s="372"/>
      <c r="G390" s="402"/>
      <c r="H390" s="371"/>
      <c r="I390" s="377"/>
      <c r="J390" s="373">
        <f>'BOLETIM DE MEDIÇÃO 05'!O44-'MEMORIAL DE CALCULO 08'!K390</f>
        <v>7.82</v>
      </c>
      <c r="K390" s="374">
        <f>K391</f>
        <v>15.64</v>
      </c>
      <c r="L390" s="374">
        <f t="shared" ref="L390" si="19">J390+K390</f>
        <v>23.46</v>
      </c>
      <c r="M390" s="374">
        <f>'BOLETIM DE MEDIÇÃO 05'!G44</f>
        <v>39.1</v>
      </c>
      <c r="N390" s="375">
        <f t="shared" ref="N390" si="20">M390-L390</f>
        <v>15.64</v>
      </c>
      <c r="O390" s="376"/>
    </row>
    <row r="391" spans="2:15" ht="22.9" hidden="1" customHeight="1" x14ac:dyDescent="0.25">
      <c r="B391" s="368"/>
      <c r="C391" s="369"/>
      <c r="D391" s="370" t="s">
        <v>964</v>
      </c>
      <c r="E391" s="371"/>
      <c r="F391" s="372">
        <v>1</v>
      </c>
      <c r="G391" s="518">
        <f>0.4*39.1</f>
        <v>15.64</v>
      </c>
      <c r="H391" s="519"/>
      <c r="I391" s="520"/>
      <c r="J391" s="373"/>
      <c r="K391" s="374">
        <f>F391*G391</f>
        <v>15.64</v>
      </c>
      <c r="L391" s="374"/>
      <c r="M391" s="374"/>
      <c r="N391" s="375"/>
      <c r="O391" s="376"/>
    </row>
    <row r="392" spans="2:15" ht="30.6" hidden="1" customHeight="1" x14ac:dyDescent="0.25">
      <c r="B392" s="368" t="s">
        <v>107</v>
      </c>
      <c r="C392" s="369">
        <v>92761</v>
      </c>
      <c r="D392" s="406" t="s">
        <v>109</v>
      </c>
      <c r="E392" s="371" t="s">
        <v>62</v>
      </c>
      <c r="F392" s="372"/>
      <c r="G392" s="402"/>
      <c r="H392" s="371"/>
      <c r="I392" s="377"/>
      <c r="J392" s="373">
        <f>'BOLETIM DE MEDIÇÃO 05'!O45-'MEMORIAL DE CALCULO 08'!K392</f>
        <v>0</v>
      </c>
      <c r="K392" s="374">
        <f>K393</f>
        <v>415.67999999999995</v>
      </c>
      <c r="L392" s="374">
        <f t="shared" si="0"/>
        <v>415.67999999999995</v>
      </c>
      <c r="M392" s="374">
        <f>'BOLETIM DE MEDIÇÃO 05'!G45</f>
        <v>1000</v>
      </c>
      <c r="N392" s="375">
        <f t="shared" si="1"/>
        <v>584.32000000000005</v>
      </c>
      <c r="O392" s="376"/>
    </row>
    <row r="393" spans="2:15" s="376" customFormat="1" ht="22.9" hidden="1" customHeight="1" x14ac:dyDescent="0.25">
      <c r="B393" s="368"/>
      <c r="C393" s="369"/>
      <c r="D393" s="370" t="s">
        <v>953</v>
      </c>
      <c r="E393" s="371"/>
      <c r="F393" s="372">
        <v>1</v>
      </c>
      <c r="G393" s="505">
        <f>0.6* 692.8</f>
        <v>415.67999999999995</v>
      </c>
      <c r="H393" s="506"/>
      <c r="I393" s="507"/>
      <c r="J393" s="373"/>
      <c r="K393" s="374">
        <f>F393*G393</f>
        <v>415.67999999999995</v>
      </c>
      <c r="L393" s="374"/>
      <c r="M393" s="374"/>
      <c r="N393" s="375"/>
    </row>
    <row r="394" spans="2:15" ht="30.6" hidden="1" customHeight="1" x14ac:dyDescent="0.25">
      <c r="B394" s="368" t="s">
        <v>110</v>
      </c>
      <c r="C394" s="369">
        <v>92762</v>
      </c>
      <c r="D394" s="406" t="s">
        <v>112</v>
      </c>
      <c r="E394" s="371" t="s">
        <v>62</v>
      </c>
      <c r="F394" s="372"/>
      <c r="G394" s="402"/>
      <c r="H394" s="371"/>
      <c r="I394" s="377"/>
      <c r="J394" s="373">
        <f>'BOLETIM DE MEDIÇÃO 05'!O46-'MEMORIAL DE CALCULO 08'!K394</f>
        <v>1180.4000000000001</v>
      </c>
      <c r="K394" s="374">
        <f>K395</f>
        <v>57</v>
      </c>
      <c r="L394" s="374">
        <f t="shared" si="0"/>
        <v>1237.4000000000001</v>
      </c>
      <c r="M394" s="374">
        <f>'BOLETIM DE MEDIÇÃO 05'!G46</f>
        <v>1306.0999999999999</v>
      </c>
      <c r="N394" s="375">
        <f t="shared" si="1"/>
        <v>68.699999999999818</v>
      </c>
      <c r="O394" s="376"/>
    </row>
    <row r="395" spans="2:15" s="376" customFormat="1" ht="19.899999999999999" hidden="1" customHeight="1" x14ac:dyDescent="0.25">
      <c r="B395" s="368"/>
      <c r="C395" s="369"/>
      <c r="D395" s="370" t="s">
        <v>953</v>
      </c>
      <c r="E395" s="371"/>
      <c r="F395" s="377">
        <v>1</v>
      </c>
      <c r="G395" s="505">
        <f>0.6* 95</f>
        <v>57</v>
      </c>
      <c r="H395" s="506"/>
      <c r="I395" s="507"/>
      <c r="J395" s="373"/>
      <c r="K395" s="374">
        <f>F395*G395</f>
        <v>57</v>
      </c>
      <c r="L395" s="374"/>
      <c r="M395" s="374"/>
      <c r="N395" s="375"/>
    </row>
    <row r="396" spans="2:15" ht="33.75" hidden="1" x14ac:dyDescent="0.25">
      <c r="B396" s="368" t="s">
        <v>116</v>
      </c>
      <c r="C396" s="369">
        <v>92768</v>
      </c>
      <c r="D396" s="406" t="s">
        <v>118</v>
      </c>
      <c r="E396" s="371" t="s">
        <v>62</v>
      </c>
      <c r="F396" s="377"/>
      <c r="G396" s="373"/>
      <c r="H396" s="371"/>
      <c r="I396" s="377"/>
      <c r="J396" s="373">
        <f>'BOLETIM DE MEDIÇÃO 08'!Q48-'MEMORIAL DE CALCULO 08'!K396</f>
        <v>102.3</v>
      </c>
      <c r="K396" s="404">
        <f>K397</f>
        <v>28.2</v>
      </c>
      <c r="L396" s="374">
        <f t="shared" si="0"/>
        <v>130.5</v>
      </c>
      <c r="M396" s="374">
        <f>'BOLETIM DE MEDIÇÃO 05'!G48</f>
        <v>158.69999999999999</v>
      </c>
      <c r="N396" s="375">
        <f t="shared" si="1"/>
        <v>28.199999999999989</v>
      </c>
      <c r="O396" s="376"/>
    </row>
    <row r="397" spans="2:15" hidden="1" x14ac:dyDescent="0.25">
      <c r="B397" s="368"/>
      <c r="C397" s="369"/>
      <c r="D397" s="405" t="s">
        <v>969</v>
      </c>
      <c r="E397" s="371"/>
      <c r="F397" s="377">
        <v>1</v>
      </c>
      <c r="G397" s="505">
        <v>28.2</v>
      </c>
      <c r="H397" s="506"/>
      <c r="I397" s="507"/>
      <c r="J397" s="373"/>
      <c r="K397" s="374">
        <f>F397*G397</f>
        <v>28.2</v>
      </c>
      <c r="L397" s="374"/>
      <c r="M397" s="374"/>
      <c r="N397" s="375"/>
      <c r="O397" s="376"/>
    </row>
    <row r="398" spans="2:15" ht="33.75" hidden="1" x14ac:dyDescent="0.25">
      <c r="B398" s="368" t="s">
        <v>119</v>
      </c>
      <c r="C398" s="369">
        <v>92769</v>
      </c>
      <c r="D398" s="406" t="s">
        <v>121</v>
      </c>
      <c r="E398" s="371" t="s">
        <v>62</v>
      </c>
      <c r="F398" s="377"/>
      <c r="G398" s="373"/>
      <c r="H398" s="371"/>
      <c r="I398" s="377"/>
      <c r="J398" s="373">
        <f>'BOLETIM DE MEDIÇÃO 08'!Q49-'MEMORIAL DE CALCULO 08'!K398</f>
        <v>144.69999999999999</v>
      </c>
      <c r="K398" s="404">
        <f>K399</f>
        <v>12.9</v>
      </c>
      <c r="L398" s="374">
        <f t="shared" si="0"/>
        <v>157.6</v>
      </c>
      <c r="M398" s="374">
        <f>'BOLETIM DE MEDIÇÃO 05'!G49</f>
        <v>170.5</v>
      </c>
      <c r="N398" s="375">
        <f t="shared" si="1"/>
        <v>12.900000000000006</v>
      </c>
      <c r="O398" s="376"/>
    </row>
    <row r="399" spans="2:15" hidden="1" x14ac:dyDescent="0.25">
      <c r="B399" s="368"/>
      <c r="C399" s="369"/>
      <c r="D399" s="405" t="s">
        <v>969</v>
      </c>
      <c r="E399" s="371"/>
      <c r="F399" s="377">
        <v>1</v>
      </c>
      <c r="G399" s="505">
        <v>12.9</v>
      </c>
      <c r="H399" s="506"/>
      <c r="I399" s="507"/>
      <c r="J399" s="373"/>
      <c r="K399" s="374">
        <f>F399*G399</f>
        <v>12.9</v>
      </c>
      <c r="L399" s="374"/>
      <c r="M399" s="374"/>
      <c r="N399" s="375"/>
      <c r="O399" s="376"/>
    </row>
    <row r="400" spans="2:15" ht="33.75" hidden="1" x14ac:dyDescent="0.25">
      <c r="B400" s="368" t="s">
        <v>122</v>
      </c>
      <c r="C400" s="369">
        <v>92770</v>
      </c>
      <c r="D400" s="406" t="s">
        <v>124</v>
      </c>
      <c r="E400" s="371" t="s">
        <v>62</v>
      </c>
      <c r="F400" s="377"/>
      <c r="G400" s="373"/>
      <c r="H400" s="371"/>
      <c r="I400" s="377"/>
      <c r="J400" s="373">
        <f>'BOLETIM DE MEDIÇÃO 08'!Q50-'MEMORIAL DE CALCULO 08'!K400</f>
        <v>238.9</v>
      </c>
      <c r="K400" s="404">
        <f>K401</f>
        <v>20.100000000000001</v>
      </c>
      <c r="L400" s="374">
        <f t="shared" si="0"/>
        <v>259</v>
      </c>
      <c r="M400" s="374">
        <f>'BOLETIM DE MEDIÇÃO 05'!G50</f>
        <v>279.10000000000002</v>
      </c>
      <c r="N400" s="375">
        <f t="shared" si="1"/>
        <v>20.100000000000023</v>
      </c>
      <c r="O400" s="376"/>
    </row>
    <row r="401" spans="2:15" ht="18" hidden="1" customHeight="1" x14ac:dyDescent="0.25">
      <c r="B401" s="368"/>
      <c r="C401" s="369"/>
      <c r="D401" s="405" t="s">
        <v>969</v>
      </c>
      <c r="E401" s="371"/>
      <c r="F401" s="377">
        <v>1</v>
      </c>
      <c r="G401" s="505">
        <v>20.100000000000001</v>
      </c>
      <c r="H401" s="506"/>
      <c r="I401" s="507"/>
      <c r="J401" s="373"/>
      <c r="K401" s="374">
        <f>F401*G401</f>
        <v>20.100000000000001</v>
      </c>
      <c r="L401" s="374"/>
      <c r="M401" s="374"/>
      <c r="N401" s="375"/>
      <c r="O401" s="376"/>
    </row>
    <row r="402" spans="2:15" ht="33.75" x14ac:dyDescent="0.25">
      <c r="B402" s="247" t="s">
        <v>125</v>
      </c>
      <c r="C402" s="248">
        <v>94966</v>
      </c>
      <c r="D402" s="412" t="s">
        <v>65</v>
      </c>
      <c r="E402" s="242" t="s">
        <v>41</v>
      </c>
      <c r="F402" s="246"/>
      <c r="G402" s="249"/>
      <c r="H402" s="242"/>
      <c r="I402" s="246"/>
      <c r="J402" s="249">
        <f>'BOLETIM DE MEDIÇÃO 08'!Q51-'MEMORIAL DE CALCULO 08'!K402</f>
        <v>43.67</v>
      </c>
      <c r="K402" s="250">
        <f>SUM(K403:K404)</f>
        <v>7.87</v>
      </c>
      <c r="L402" s="251">
        <f t="shared" si="0"/>
        <v>51.54</v>
      </c>
      <c r="M402" s="251">
        <f>'BOLETIM DE MEDIÇÃO 05'!G51</f>
        <v>61.56</v>
      </c>
      <c r="N402" s="252">
        <f t="shared" si="1"/>
        <v>10.020000000000003</v>
      </c>
    </row>
    <row r="403" spans="2:15" ht="19.149999999999999" customHeight="1" x14ac:dyDescent="0.25">
      <c r="B403" s="247"/>
      <c r="C403" s="248"/>
      <c r="D403" s="410" t="s">
        <v>968</v>
      </c>
      <c r="E403" s="242"/>
      <c r="F403" s="246">
        <v>1</v>
      </c>
      <c r="G403" s="501">
        <f>0.1*21.7</f>
        <v>2.17</v>
      </c>
      <c r="H403" s="501"/>
      <c r="I403" s="502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10" t="s">
        <v>1007</v>
      </c>
      <c r="E404" s="242"/>
      <c r="F404" s="246">
        <v>1</v>
      </c>
      <c r="G404" s="501">
        <f>0.6*9.5</f>
        <v>5.7</v>
      </c>
      <c r="H404" s="501"/>
      <c r="I404" s="502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8"/>
      <c r="C405" s="369"/>
      <c r="D405" s="405" t="s">
        <v>971</v>
      </c>
      <c r="E405" s="371"/>
      <c r="F405" s="377">
        <v>1</v>
      </c>
      <c r="G405" s="521">
        <v>2.48</v>
      </c>
      <c r="H405" s="522"/>
      <c r="I405" s="523"/>
      <c r="J405" s="373"/>
      <c r="K405" s="374">
        <f t="shared" si="21"/>
        <v>2.48</v>
      </c>
      <c r="L405" s="374"/>
      <c r="M405" s="374"/>
      <c r="N405" s="375"/>
      <c r="O405" s="376"/>
    </row>
    <row r="406" spans="2:15" ht="22.5" x14ac:dyDescent="0.25">
      <c r="B406" s="247" t="s">
        <v>126</v>
      </c>
      <c r="C406" s="248">
        <v>103670</v>
      </c>
      <c r="D406" s="407" t="s">
        <v>71</v>
      </c>
      <c r="E406" s="242" t="s">
        <v>41</v>
      </c>
      <c r="F406" s="246"/>
      <c r="G406" s="249"/>
      <c r="H406" s="408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9"/>
      <c r="D407" s="413" t="s">
        <v>932</v>
      </c>
      <c r="E407" s="242"/>
      <c r="F407" s="243">
        <v>1</v>
      </c>
      <c r="G407" s="471">
        <f>K402</f>
        <v>7.87</v>
      </c>
      <c r="H407" s="524"/>
      <c r="I407" s="516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8" t="s">
        <v>127</v>
      </c>
      <c r="C408" s="369">
        <v>92771</v>
      </c>
      <c r="D408" s="401" t="s">
        <v>129</v>
      </c>
      <c r="E408" s="371" t="s">
        <v>62</v>
      </c>
      <c r="F408" s="372"/>
      <c r="G408" s="402"/>
      <c r="H408" s="403"/>
      <c r="I408" s="377"/>
      <c r="J408" s="373">
        <f>'BOLETIM DE MEDIÇÃO 08'!Q53-'MEMORIAL DE CALCULO 08'!K408</f>
        <v>217.7</v>
      </c>
      <c r="K408" s="404"/>
      <c r="L408" s="374">
        <f t="shared" si="0"/>
        <v>217.7</v>
      </c>
      <c r="M408" s="374">
        <f>'BOLETIM DE MEDIÇÃO 05'!G53</f>
        <v>312.3</v>
      </c>
      <c r="N408" s="375">
        <f t="shared" si="1"/>
        <v>94.600000000000023</v>
      </c>
      <c r="O408" s="376"/>
    </row>
    <row r="409" spans="2:15" ht="18" hidden="1" customHeight="1" x14ac:dyDescent="0.25">
      <c r="B409" s="368"/>
      <c r="C409" s="369"/>
      <c r="D409" s="405" t="s">
        <v>969</v>
      </c>
      <c r="E409" s="371"/>
      <c r="F409" s="377">
        <v>1</v>
      </c>
      <c r="G409" s="505">
        <v>94.6</v>
      </c>
      <c r="H409" s="506"/>
      <c r="I409" s="507"/>
      <c r="J409" s="373"/>
      <c r="K409" s="374"/>
      <c r="L409" s="374"/>
      <c r="M409" s="374"/>
      <c r="N409" s="375"/>
      <c r="O409" s="376"/>
    </row>
    <row r="410" spans="2:15" ht="33.75" hidden="1" x14ac:dyDescent="0.25">
      <c r="B410" s="368" t="s">
        <v>130</v>
      </c>
      <c r="C410" s="369">
        <v>92772</v>
      </c>
      <c r="D410" s="406" t="s">
        <v>132</v>
      </c>
      <c r="E410" s="371" t="s">
        <v>62</v>
      </c>
      <c r="F410" s="372"/>
      <c r="G410" s="402"/>
      <c r="H410" s="371"/>
      <c r="I410" s="377"/>
      <c r="J410" s="373">
        <f>'BOLETIM DE MEDIÇÃO 08'!Q54-'MEMORIAL DE CALCULO 08'!K410</f>
        <v>154.80000000000001</v>
      </c>
      <c r="K410" s="374"/>
      <c r="L410" s="374">
        <f t="shared" si="0"/>
        <v>154.80000000000001</v>
      </c>
      <c r="M410" s="374">
        <f>'BOLETIM DE MEDIÇÃO 05'!G54</f>
        <v>154.80000000000001</v>
      </c>
      <c r="N410" s="375">
        <f t="shared" si="1"/>
        <v>0</v>
      </c>
      <c r="O410" s="376"/>
    </row>
    <row r="411" spans="2:15" ht="18" hidden="1" customHeight="1" x14ac:dyDescent="0.25">
      <c r="B411" s="368"/>
      <c r="C411" s="369"/>
      <c r="D411" s="370" t="s">
        <v>958</v>
      </c>
      <c r="E411" s="371"/>
      <c r="F411" s="377">
        <v>1</v>
      </c>
      <c r="G411" s="505">
        <v>154.80000000000001</v>
      </c>
      <c r="H411" s="506"/>
      <c r="I411" s="507"/>
      <c r="J411" s="373"/>
      <c r="K411" s="374"/>
      <c r="L411" s="374"/>
      <c r="M411" s="374"/>
      <c r="N411" s="375"/>
      <c r="O411" s="376"/>
    </row>
    <row r="412" spans="2:15" ht="18" hidden="1" customHeight="1" x14ac:dyDescent="0.25">
      <c r="B412" s="368"/>
      <c r="C412" s="369"/>
      <c r="D412" s="370"/>
      <c r="E412" s="371"/>
      <c r="F412" s="377"/>
      <c r="G412" s="393"/>
      <c r="H412" s="393"/>
      <c r="I412" s="394"/>
      <c r="J412" s="373"/>
      <c r="K412" s="374"/>
      <c r="L412" s="374"/>
      <c r="M412" s="374"/>
      <c r="N412" s="375"/>
      <c r="O412" s="376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9"/>
      <c r="H413" s="379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9" t="s">
        <v>135</v>
      </c>
      <c r="C414" s="390">
        <v>103356</v>
      </c>
      <c r="D414" s="391" t="s">
        <v>137</v>
      </c>
      <c r="E414" s="392" t="s">
        <v>17</v>
      </c>
      <c r="F414" s="400"/>
      <c r="G414" s="379"/>
      <c r="H414" s="379"/>
      <c r="I414" s="318"/>
      <c r="J414" s="99">
        <f>'BOLETIM DE MEDIÇÃO 08'!Q56-'MEMORIAL DE CALCULO 08'!K414</f>
        <v>846.84499999999991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1003</v>
      </c>
      <c r="E415" s="64"/>
      <c r="F415" s="105">
        <v>1</v>
      </c>
      <c r="G415" s="457">
        <v>238.84</v>
      </c>
      <c r="H415" s="458"/>
      <c r="I415" s="459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08'!Q74-'MEMORIAL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08'!Q75-'MEMORIAL DE CALCULO 08'!K417</f>
        <v>-697.98</v>
      </c>
      <c r="K417" s="81">
        <f>K418</f>
        <v>697.98</v>
      </c>
      <c r="L417" s="82">
        <f t="shared" si="0"/>
        <v>0</v>
      </c>
      <c r="M417" s="82">
        <f>'BOLETIM DE MEDIÇÃO 05'!G62</f>
        <v>997.11</v>
      </c>
      <c r="N417" s="86">
        <f t="shared" si="1"/>
        <v>997.11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457">
        <v>697.98</v>
      </c>
      <c r="H418" s="458"/>
      <c r="I418" s="459"/>
      <c r="J418" s="99">
        <f>'BOLETIM DE MEDIÇÃO 08'!Q76-'MEMORIAL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9"/>
      <c r="H419" s="379"/>
      <c r="I419" s="318"/>
      <c r="J419" s="99">
        <f>'BOLETIM DE MEDIÇÃO 08'!Q77-'MEMORIAL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9"/>
      <c r="H420" s="379"/>
      <c r="I420" s="318"/>
      <c r="J420" s="99">
        <f>'BOLETIM DE MEDIÇÃO 08'!Q78-'MEMORIAL DE CALCULO 08'!K420</f>
        <v>-351.87</v>
      </c>
      <c r="K420" s="81">
        <f>K421</f>
        <v>351.87</v>
      </c>
      <c r="L420" s="82">
        <f>J420+K420</f>
        <v>0</v>
      </c>
      <c r="M420" s="82">
        <f>'BOLETIM DE MEDIÇÃO 08'!G63</f>
        <v>351.87</v>
      </c>
      <c r="N420" s="86">
        <f>M420-L420</f>
        <v>351.87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457">
        <v>351.87</v>
      </c>
      <c r="H421" s="458"/>
      <c r="I421" s="459"/>
      <c r="J421" s="99">
        <f>'BOLETIM DE MEDIÇÃO 08'!Q79-'MEMORIAL DE CALCULO 08'!K421</f>
        <v>-351.87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9"/>
      <c r="H422" s="379"/>
      <c r="I422" s="318"/>
      <c r="J422" s="99">
        <f>'BOLETIM DE MEDIÇÃO 08'!Q80-'MEMORIAL DE CALCULO 08'!K422</f>
        <v>0</v>
      </c>
      <c r="K422" s="82"/>
      <c r="L422" s="82"/>
      <c r="M422" s="82"/>
      <c r="N422" s="86"/>
    </row>
    <row r="423" spans="2:14" x14ac:dyDescent="0.25">
      <c r="B423" s="347" t="s">
        <v>208</v>
      </c>
      <c r="C423" s="348" t="s">
        <v>209</v>
      </c>
      <c r="D423" s="344"/>
      <c r="E423" s="64"/>
      <c r="F423" s="105"/>
      <c r="G423" s="379"/>
      <c r="H423" s="379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9"/>
      <c r="H424" s="379"/>
      <c r="I424" s="318"/>
      <c r="J424" s="99">
        <f>'BOLETIM DE MEDIÇÃO 08'!Q82-'MEMORIAL DE CALCULO 08'!K424</f>
        <v>320.44</v>
      </c>
      <c r="K424" s="81">
        <f>K425</f>
        <v>100</v>
      </c>
      <c r="L424" s="82">
        <f>J424+K424</f>
        <v>420.44</v>
      </c>
      <c r="M424" s="82">
        <f>'BOLETIM DE MEDIÇÃO 08'!G83</f>
        <v>466.37</v>
      </c>
      <c r="N424" s="86">
        <f>M424-L424</f>
        <v>45.930000000000007</v>
      </c>
    </row>
    <row r="425" spans="2:14" x14ac:dyDescent="0.25">
      <c r="B425" s="49"/>
      <c r="C425" s="57"/>
      <c r="D425" s="118" t="s">
        <v>996</v>
      </c>
      <c r="E425" s="64"/>
      <c r="F425" s="105">
        <v>1</v>
      </c>
      <c r="G425" s="457">
        <v>100</v>
      </c>
      <c r="H425" s="458"/>
      <c r="I425" s="459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9"/>
      <c r="H426" s="379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90">
        <v>104233</v>
      </c>
      <c r="D427" s="391" t="s">
        <v>215</v>
      </c>
      <c r="E427" s="277" t="s">
        <v>17</v>
      </c>
      <c r="F427" s="105"/>
      <c r="G427" s="379"/>
      <c r="H427" s="379"/>
      <c r="I427" s="318"/>
      <c r="J427" s="99">
        <f>'BOLETIM DE MEDIÇÃO 08'!Q83-'MEMORIAL DE CALCULO 08'!K427</f>
        <v>0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1001</v>
      </c>
      <c r="E428" s="64"/>
      <c r="F428" s="105">
        <v>1</v>
      </c>
      <c r="G428" s="378">
        <f>0.6*116</f>
        <v>69.599999999999994</v>
      </c>
      <c r="H428" s="395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997</v>
      </c>
      <c r="E429" s="64"/>
      <c r="F429" s="105"/>
      <c r="G429" s="379">
        <v>2.6</v>
      </c>
      <c r="H429" s="379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998</v>
      </c>
      <c r="E430" s="64"/>
      <c r="F430" s="105"/>
      <c r="G430" s="379">
        <v>0.8</v>
      </c>
      <c r="H430" s="379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999</v>
      </c>
      <c r="E431" s="64"/>
      <c r="F431" s="105"/>
      <c r="G431" s="379">
        <v>1.5</v>
      </c>
      <c r="H431" s="379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1000</v>
      </c>
      <c r="E432" s="64"/>
      <c r="F432" s="105"/>
      <c r="G432" s="379">
        <v>1</v>
      </c>
      <c r="H432" s="379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9" t="s">
        <v>284</v>
      </c>
      <c r="C434" s="390">
        <v>91834</v>
      </c>
      <c r="D434" s="396" t="s">
        <v>286</v>
      </c>
      <c r="E434" s="245" t="s">
        <v>37</v>
      </c>
      <c r="F434" s="312">
        <v>1</v>
      </c>
      <c r="G434" s="419">
        <v>200</v>
      </c>
      <c r="H434" s="420"/>
      <c r="I434" s="421"/>
      <c r="J434" s="99">
        <f>'BOLETIM DE MEDIÇÃO 08'!Q108-'MEMORIAL DE CALCULO 08'!K434</f>
        <v>150</v>
      </c>
      <c r="K434" s="81">
        <f>G434</f>
        <v>200</v>
      </c>
      <c r="L434" s="82">
        <f>J434+K434</f>
        <v>350</v>
      </c>
      <c r="M434" s="82">
        <f>'BOLETIM DE MEDIÇÃO 08'!G108</f>
        <v>830.48</v>
      </c>
      <c r="N434" s="86">
        <f>M434-L434</f>
        <v>480.48</v>
      </c>
    </row>
    <row r="435" spans="2:14" x14ac:dyDescent="0.25">
      <c r="B435" s="389"/>
      <c r="C435" s="390"/>
      <c r="D435" s="398" t="s">
        <v>1002</v>
      </c>
      <c r="E435" s="245"/>
      <c r="F435" s="312"/>
      <c r="G435" s="388"/>
      <c r="H435" s="397"/>
      <c r="I435" s="318"/>
      <c r="J435" s="99"/>
      <c r="K435" s="81"/>
      <c r="L435" s="82"/>
      <c r="M435" s="82"/>
      <c r="N435" s="86"/>
    </row>
    <row r="436" spans="2:14" ht="33.75" x14ac:dyDescent="0.25">
      <c r="B436" s="389" t="s">
        <v>287</v>
      </c>
      <c r="C436" s="390">
        <v>91868</v>
      </c>
      <c r="D436" s="391" t="s">
        <v>289</v>
      </c>
      <c r="E436" s="245" t="s">
        <v>37</v>
      </c>
      <c r="F436" s="312">
        <v>1</v>
      </c>
      <c r="G436" s="419">
        <v>55.97</v>
      </c>
      <c r="H436" s="420"/>
      <c r="I436" s="421"/>
      <c r="J436" s="99">
        <f>'BOLETIM DE MEDIÇÃO 08'!Q109-'MEMORIAL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08'!G109</f>
        <v>55.97</v>
      </c>
      <c r="N436" s="86">
        <f t="shared" ref="N436:N438" si="25">M436-L436</f>
        <v>0</v>
      </c>
    </row>
    <row r="437" spans="2:14" x14ac:dyDescent="0.25">
      <c r="B437" s="389"/>
      <c r="C437" s="390"/>
      <c r="D437" s="398" t="s">
        <v>1002</v>
      </c>
      <c r="E437" s="245"/>
      <c r="F437" s="312"/>
      <c r="G437" s="388"/>
      <c r="H437" s="388"/>
      <c r="I437" s="316"/>
      <c r="J437" s="99"/>
      <c r="K437" s="81"/>
      <c r="L437" s="82"/>
      <c r="M437" s="82"/>
      <c r="N437" s="86"/>
    </row>
    <row r="438" spans="2:14" ht="33.75" x14ac:dyDescent="0.25">
      <c r="B438" s="389" t="s">
        <v>290</v>
      </c>
      <c r="C438" s="390">
        <v>91867</v>
      </c>
      <c r="D438" s="391" t="s">
        <v>292</v>
      </c>
      <c r="E438" s="245" t="s">
        <v>37</v>
      </c>
      <c r="F438" s="312">
        <v>1</v>
      </c>
      <c r="G438" s="419">
        <v>36.19</v>
      </c>
      <c r="H438" s="420"/>
      <c r="I438" s="421"/>
      <c r="J438" s="99">
        <f>'BOLETIM DE MEDIÇÃO 08'!Q110-'MEMORIAL DE CALCULO 08'!K438</f>
        <v>0</v>
      </c>
      <c r="K438" s="81">
        <f>G438</f>
        <v>36.19</v>
      </c>
      <c r="L438" s="82">
        <f>J438+K438</f>
        <v>36.19</v>
      </c>
      <c r="M438" s="82">
        <f>'BOLETIM DE MEDIÇÃO 08'!G110</f>
        <v>36.19</v>
      </c>
      <c r="N438" s="86">
        <f t="shared" si="25"/>
        <v>0</v>
      </c>
    </row>
    <row r="439" spans="2:14" x14ac:dyDescent="0.25">
      <c r="B439" s="389"/>
      <c r="C439" s="390"/>
      <c r="D439" s="398" t="s">
        <v>1002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7" t="s">
        <v>312</v>
      </c>
      <c r="C440" s="349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08'!Q119-'MEMORIAL DE CALCULO 08'!K441</f>
        <v>10.199999999999999</v>
      </c>
      <c r="K441" s="81">
        <f>K442</f>
        <v>21.53</v>
      </c>
      <c r="L441" s="82">
        <f>J441+K441</f>
        <v>31.73</v>
      </c>
      <c r="M441" s="82">
        <f>'BOLETIM DE MEDIÇÃO 08'!G119</f>
        <v>31.73</v>
      </c>
      <c r="N441" s="86">
        <f>M441-L441</f>
        <v>0</v>
      </c>
    </row>
    <row r="442" spans="2:14" x14ac:dyDescent="0.25">
      <c r="B442" s="50"/>
      <c r="C442" s="66"/>
      <c r="D442" s="187" t="s">
        <v>995</v>
      </c>
      <c r="E442" s="69"/>
      <c r="F442" s="312"/>
      <c r="G442" s="419">
        <v>21.53</v>
      </c>
      <c r="H442" s="420"/>
      <c r="I442" s="421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9" t="s">
        <v>317</v>
      </c>
      <c r="C443" s="390">
        <v>94439</v>
      </c>
      <c r="D443" s="391" t="s">
        <v>319</v>
      </c>
      <c r="E443" s="277" t="s">
        <v>17</v>
      </c>
      <c r="F443" s="312"/>
      <c r="G443" s="121"/>
      <c r="H443" s="70"/>
      <c r="I443" s="105"/>
      <c r="J443" s="99">
        <f>'BOLETIM DE MEDIÇÃO 08'!Q120</f>
        <v>116.27</v>
      </c>
      <c r="K443" s="81">
        <f>SUM(K444:K448)</f>
        <v>116.27</v>
      </c>
      <c r="L443" s="82">
        <f t="shared" ref="L443" si="26">J443+K443</f>
        <v>232.54</v>
      </c>
      <c r="M443" s="82">
        <f>'BOLETIM DE MEDIÇÃO 08'!G121</f>
        <v>634.5</v>
      </c>
      <c r="N443" s="86">
        <f>M443-L443</f>
        <v>401.96000000000004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419">
        <v>27</v>
      </c>
      <c r="H444" s="420"/>
      <c r="I444" s="421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419">
        <v>26</v>
      </c>
      <c r="H445" s="420"/>
      <c r="I445" s="421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419">
        <v>30</v>
      </c>
      <c r="H446" s="420"/>
      <c r="I446" s="421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419">
        <v>30</v>
      </c>
      <c r="H447" s="420"/>
      <c r="I447" s="421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419">
        <v>3.27</v>
      </c>
      <c r="H448" s="420"/>
      <c r="I448" s="421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25" t="s">
        <v>368</v>
      </c>
      <c r="D449" s="526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08'!Q138-'MEMORIAL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82" t="s">
        <v>1006</v>
      </c>
      <c r="E451" s="217"/>
      <c r="F451" s="312">
        <v>1</v>
      </c>
      <c r="G451" s="419">
        <f>98.77</f>
        <v>98.77</v>
      </c>
      <c r="H451" s="420"/>
      <c r="I451" s="421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08'!Q139-'MEMORIAL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82" t="s">
        <v>1006</v>
      </c>
      <c r="E454" s="217"/>
      <c r="F454" s="312">
        <v>1</v>
      </c>
      <c r="G454" s="419">
        <f>62.17</f>
        <v>62.17</v>
      </c>
      <c r="H454" s="420"/>
      <c r="I454" s="421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08'!Q140-'MEMORIAL DE CALCULO 08'!K456</f>
        <v>-7.4249999999999998</v>
      </c>
      <c r="K456" s="81">
        <f>K457</f>
        <v>7.4249999999999998</v>
      </c>
      <c r="L456" s="82">
        <f t="shared" si="29"/>
        <v>0</v>
      </c>
      <c r="M456" s="206">
        <v>24.75</v>
      </c>
      <c r="N456" s="86">
        <f t="shared" si="28"/>
        <v>24.75</v>
      </c>
    </row>
    <row r="457" spans="2:14" hidden="1" x14ac:dyDescent="0.25">
      <c r="B457" s="203"/>
      <c r="C457" s="211"/>
      <c r="D457" s="382" t="s">
        <v>984</v>
      </c>
      <c r="E457" s="217"/>
      <c r="F457" s="312">
        <v>1</v>
      </c>
      <c r="G457" s="419">
        <f>0.3*24.75</f>
        <v>7.4249999999999998</v>
      </c>
      <c r="H457" s="420"/>
      <c r="I457" s="421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08'!Q141-'MEMORIAL DE CALCULO 08'!K459</f>
        <v>-7.7759999999999998</v>
      </c>
      <c r="K459" s="81">
        <f>K460</f>
        <v>7.7759999999999998</v>
      </c>
      <c r="L459" s="82">
        <f t="shared" si="29"/>
        <v>0</v>
      </c>
      <c r="M459" s="206">
        <v>25.92</v>
      </c>
      <c r="N459" s="86">
        <f t="shared" si="28"/>
        <v>25.92</v>
      </c>
    </row>
    <row r="460" spans="2:14" hidden="1" x14ac:dyDescent="0.25">
      <c r="B460" s="203"/>
      <c r="C460" s="211"/>
      <c r="D460" s="382" t="s">
        <v>984</v>
      </c>
      <c r="E460" s="217"/>
      <c r="F460" s="312">
        <v>1</v>
      </c>
      <c r="G460" s="419">
        <f>0.3*25.92</f>
        <v>7.7759999999999998</v>
      </c>
      <c r="H460" s="420"/>
      <c r="I460" s="421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08'!Q142-'MEMORIAL DE CALCULO 08'!K462</f>
        <v>-3</v>
      </c>
      <c r="K462" s="81">
        <f>K463</f>
        <v>3</v>
      </c>
      <c r="L462" s="82">
        <f t="shared" si="29"/>
        <v>0</v>
      </c>
      <c r="M462" s="206">
        <v>10</v>
      </c>
      <c r="N462" s="86">
        <f t="shared" si="28"/>
        <v>10</v>
      </c>
    </row>
    <row r="463" spans="2:14" hidden="1" x14ac:dyDescent="0.25">
      <c r="B463" s="203"/>
      <c r="C463" s="211"/>
      <c r="D463" s="382" t="s">
        <v>984</v>
      </c>
      <c r="E463" s="217"/>
      <c r="F463" s="312">
        <v>1</v>
      </c>
      <c r="G463" s="419">
        <f>0.3*10</f>
        <v>3</v>
      </c>
      <c r="H463" s="420"/>
      <c r="I463" s="421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08'!Q143-'MEMORIAL DE CALCULO 08'!K465</f>
        <v>-1</v>
      </c>
      <c r="K465" s="81">
        <f>K466</f>
        <v>1</v>
      </c>
      <c r="L465" s="82">
        <f t="shared" si="29"/>
        <v>0</v>
      </c>
      <c r="M465" s="206">
        <v>2</v>
      </c>
      <c r="N465" s="86">
        <f t="shared" si="28"/>
        <v>2</v>
      </c>
    </row>
    <row r="466" spans="2:14" hidden="1" x14ac:dyDescent="0.25">
      <c r="B466" s="203"/>
      <c r="C466" s="211"/>
      <c r="D466" s="382" t="s">
        <v>983</v>
      </c>
      <c r="E466" s="217"/>
      <c r="F466" s="312">
        <v>1</v>
      </c>
      <c r="G466" s="419">
        <v>1</v>
      </c>
      <c r="H466" s="420"/>
      <c r="I466" s="421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08'!Q144-'MEMORIAL DE CALCULO 08'!K468</f>
        <v>-3</v>
      </c>
      <c r="K468" s="81">
        <f>K469</f>
        <v>3</v>
      </c>
      <c r="L468" s="82">
        <f t="shared" si="29"/>
        <v>0</v>
      </c>
      <c r="M468" s="206">
        <v>6</v>
      </c>
      <c r="N468" s="86">
        <f t="shared" si="28"/>
        <v>6</v>
      </c>
    </row>
    <row r="469" spans="2:14" hidden="1" x14ac:dyDescent="0.25">
      <c r="B469" s="203"/>
      <c r="C469" s="211"/>
      <c r="D469" s="382" t="s">
        <v>983</v>
      </c>
      <c r="E469" s="217"/>
      <c r="F469" s="312">
        <v>1</v>
      </c>
      <c r="G469" s="419">
        <v>3</v>
      </c>
      <c r="H469" s="420"/>
      <c r="I469" s="421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08'!Q145-'MEMORIAL DE CALCULO 08'!K471</f>
        <v>0</v>
      </c>
      <c r="K471" s="82"/>
      <c r="L471" s="82">
        <f t="shared" si="29"/>
        <v>0</v>
      </c>
      <c r="M471" s="206">
        <v>2</v>
      </c>
      <c r="N471" s="86">
        <f t="shared" si="28"/>
        <v>2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08'!Q146-'MEMORIAL DE CALCULO 08'!K474</f>
        <v>0</v>
      </c>
      <c r="K474" s="82"/>
      <c r="L474" s="82">
        <f t="shared" si="29"/>
        <v>0</v>
      </c>
      <c r="M474" s="206">
        <v>2</v>
      </c>
      <c r="N474" s="86">
        <f t="shared" si="28"/>
        <v>2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08'!Q147-'MEMORIAL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08'!Q148-'MEMORIAL DE CALCULO 08'!K480</f>
        <v>0</v>
      </c>
      <c r="K480" s="82"/>
      <c r="L480" s="82">
        <f t="shared" si="29"/>
        <v>0</v>
      </c>
      <c r="M480" s="206">
        <v>4</v>
      </c>
      <c r="N480" s="86">
        <f t="shared" si="28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08'!Q149-'MEMORIAL DE CALCULO 08'!K483</f>
        <v>0</v>
      </c>
      <c r="K483" s="82"/>
      <c r="L483" s="82">
        <f t="shared" si="29"/>
        <v>0</v>
      </c>
      <c r="M483" s="206">
        <v>2</v>
      </c>
      <c r="N483" s="86">
        <f t="shared" si="28"/>
        <v>2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08'!Q150-'MEMORIAL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08'!Q151-'MEMORIAL DE CALCULO 08'!K489</f>
        <v>0</v>
      </c>
      <c r="K489" s="82"/>
      <c r="L489" s="82">
        <f t="shared" si="29"/>
        <v>0</v>
      </c>
      <c r="M489" s="206">
        <v>7</v>
      </c>
      <c r="N489" s="86">
        <f t="shared" si="28"/>
        <v>7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08'!Q152-'MEMORIAL DE CALCULO 08'!K492</f>
        <v>0</v>
      </c>
      <c r="K492" s="82"/>
      <c r="L492" s="82">
        <f t="shared" si="29"/>
        <v>0</v>
      </c>
      <c r="M492" s="206">
        <v>1</v>
      </c>
      <c r="N492" s="86">
        <f t="shared" si="28"/>
        <v>1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08'!Q153-'MEMORIAL DE CALCULO 08'!K495</f>
        <v>0</v>
      </c>
      <c r="K495" s="82"/>
      <c r="L495" s="82">
        <f t="shared" si="29"/>
        <v>0</v>
      </c>
      <c r="M495" s="206">
        <v>10</v>
      </c>
      <c r="N495" s="86">
        <f t="shared" si="28"/>
        <v>10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08'!Q154-'MEMORIAL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82" t="s">
        <v>1006</v>
      </c>
      <c r="E499" s="217"/>
      <c r="F499" s="312">
        <v>1</v>
      </c>
      <c r="G499" s="419">
        <v>38.85</v>
      </c>
      <c r="H499" s="420"/>
      <c r="I499" s="421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08'!Q155-'MEMORIAL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82" t="s">
        <v>1006</v>
      </c>
      <c r="E502" s="217"/>
      <c r="F502" s="312">
        <v>1</v>
      </c>
      <c r="G502" s="419">
        <v>46.51</v>
      </c>
      <c r="H502" s="420"/>
      <c r="I502" s="421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08'!Q156-'MEMORIAL DE CALCULO 08'!K504</f>
        <v>0</v>
      </c>
      <c r="K504" s="82"/>
      <c r="L504" s="82">
        <f t="shared" si="29"/>
        <v>0</v>
      </c>
      <c r="M504" s="206">
        <v>1</v>
      </c>
      <c r="N504" s="86">
        <f t="shared" si="28"/>
        <v>1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08'!Q157-'MEMORIAL DE CALCULO 08'!K507</f>
        <v>6</v>
      </c>
      <c r="K507" s="81">
        <f>K508</f>
        <v>66.385000000000005</v>
      </c>
      <c r="L507" s="82">
        <f t="shared" si="29"/>
        <v>72.385000000000005</v>
      </c>
      <c r="M507" s="206">
        <v>132.77000000000001</v>
      </c>
      <c r="N507" s="86">
        <f t="shared" si="28"/>
        <v>60.385000000000005</v>
      </c>
    </row>
    <row r="508" spans="2:14" x14ac:dyDescent="0.25">
      <c r="B508" s="203"/>
      <c r="C508" s="211"/>
      <c r="D508" s="382" t="s">
        <v>983</v>
      </c>
      <c r="E508" s="217"/>
      <c r="F508" s="312">
        <v>1</v>
      </c>
      <c r="G508" s="419">
        <f>0.5*132.77</f>
        <v>66.385000000000005</v>
      </c>
      <c r="H508" s="420"/>
      <c r="I508" s="421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08'!Q158-'MEMORIAL DE CALCULO 08'!K510</f>
        <v>0</v>
      </c>
      <c r="K510" s="82"/>
      <c r="L510" s="82">
        <f t="shared" si="29"/>
        <v>0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08'!Q159-'MEMORIAL DE CALCULO 08'!K513</f>
        <v>-12.902999999999999</v>
      </c>
      <c r="K513" s="81">
        <f>K514</f>
        <v>12.902999999999999</v>
      </c>
      <c r="L513" s="82">
        <f t="shared" si="29"/>
        <v>0</v>
      </c>
      <c r="M513" s="206">
        <v>43.01</v>
      </c>
      <c r="N513" s="86"/>
    </row>
    <row r="514" spans="2:14" hidden="1" x14ac:dyDescent="0.25">
      <c r="B514" s="50"/>
      <c r="C514" s="66"/>
      <c r="D514" s="382" t="s">
        <v>984</v>
      </c>
      <c r="E514" s="69"/>
      <c r="F514" s="312">
        <v>1</v>
      </c>
      <c r="G514" s="419">
        <f>0.3*43.01</f>
        <v>12.902999999999999</v>
      </c>
      <c r="H514" s="420"/>
      <c r="I514" s="421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420"/>
      <c r="H544" s="420"/>
      <c r="I544" s="421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6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419">
        <f>65.42</f>
        <v>65.42</v>
      </c>
      <c r="H546" s="422"/>
      <c r="I546" s="105">
        <v>3.1</v>
      </c>
      <c r="J546" s="99"/>
      <c r="K546" s="356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497" t="s">
        <v>836</v>
      </c>
      <c r="H550" s="498"/>
      <c r="I550" s="499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zoomScale="108" zoomScaleNormal="100" workbookViewId="0">
      <selection activeCell="D416" sqref="D41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34" t="s">
        <v>986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f>'BOLETIM DE MEDIÇÃO 08'!B8:C8</f>
        <v>45555</v>
      </c>
      <c r="C8" s="449"/>
      <c r="D8" s="23" t="str">
        <f>'BOLETIM DE MEDIÇÃO 08'!D8</f>
        <v>19/08/2024 a 20/09/2024</v>
      </c>
      <c r="E8" s="450">
        <f>'BOLETIM DE MEDIÇÃO 08'!E8</f>
        <v>68231.630000000019</v>
      </c>
      <c r="F8" s="451"/>
      <c r="G8" s="452"/>
      <c r="H8" s="453">
        <f>'BOLETIM DE MEDIÇÃO 05'!H8</f>
        <v>274592.67562904983</v>
      </c>
      <c r="I8" s="454"/>
      <c r="J8" s="455" t="s">
        <v>965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1">
        <v>1</v>
      </c>
      <c r="G70" s="476">
        <f>43.05</f>
        <v>43.05</v>
      </c>
      <c r="H70" s="477"/>
      <c r="I70" s="47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2"/>
      <c r="G71" s="479"/>
      <c r="H71" s="480"/>
      <c r="I71" s="481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73" t="s">
        <v>883</v>
      </c>
      <c r="H72" s="474"/>
      <c r="I72" s="47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71" t="s">
        <v>838</v>
      </c>
      <c r="H73" s="472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71">
        <v>9</v>
      </c>
      <c r="H74" s="47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71">
        <v>5</v>
      </c>
      <c r="H75" s="47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71">
        <f xml:space="preserve"> (13.03 * 2.7)</f>
        <v>35.180999999999997</v>
      </c>
      <c r="H76" s="47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71">
        <v>3</v>
      </c>
      <c r="H77" s="47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71">
        <v>7</v>
      </c>
      <c r="H78" s="47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71">
        <v>21</v>
      </c>
      <c r="H79" s="47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71">
        <v>27</v>
      </c>
      <c r="H80" s="47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71">
        <v>26</v>
      </c>
      <c r="H81" s="47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71">
        <v>1.6</v>
      </c>
      <c r="H82" s="47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71">
        <v>1.6</v>
      </c>
      <c r="H83" s="47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71">
        <v>45</v>
      </c>
      <c r="H84" s="47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71">
        <v>19</v>
      </c>
      <c r="H85" s="47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71">
        <v>19</v>
      </c>
      <c r="H86" s="47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71">
        <v>5</v>
      </c>
      <c r="H87" s="47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71">
        <v>14</v>
      </c>
      <c r="H88" s="47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82">
        <v>36</v>
      </c>
      <c r="H89" s="48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82">
        <v>46</v>
      </c>
      <c r="H90" s="48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71">
        <v>41</v>
      </c>
      <c r="H91" s="47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71">
        <v>27</v>
      </c>
      <c r="H92" s="47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71">
        <v>53</v>
      </c>
      <c r="H93" s="47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71">
        <f xml:space="preserve"> (2.65*1.8)</f>
        <v>4.7699999999999996</v>
      </c>
      <c r="H94" s="47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71">
        <v>30</v>
      </c>
      <c r="H95" s="47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71">
        <v>30</v>
      </c>
      <c r="H96" s="47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71">
        <v>14</v>
      </c>
      <c r="H97" s="47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71">
        <v>14</v>
      </c>
      <c r="H98" s="47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71">
        <v>20</v>
      </c>
      <c r="H99" s="47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71">
        <v>3</v>
      </c>
      <c r="H100" s="47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71">
        <v>4</v>
      </c>
      <c r="H101" s="47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71">
        <v>12</v>
      </c>
      <c r="H102" s="47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71">
        <v>20</v>
      </c>
      <c r="H103" s="47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71">
        <v>4</v>
      </c>
      <c r="H104" s="47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71">
        <v>5</v>
      </c>
      <c r="H105" s="47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71">
        <f>1184.23-SUM(G74:H105)</f>
        <v>582.07900000000006</v>
      </c>
      <c r="H106" s="47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71"/>
      <c r="H107" s="47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60" t="s">
        <v>652</v>
      </c>
      <c r="H108" s="463"/>
      <c r="I108" s="464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57" t="s">
        <v>831</v>
      </c>
      <c r="H172" s="458"/>
      <c r="I172" s="459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60">
        <v>492.78</v>
      </c>
      <c r="H173" s="463"/>
      <c r="I173" s="464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60">
        <f>(2*12)+(2*3.79)+(2*8.94)+(2*6.27)+ 1.39+0.99 +(2*1.85)+(2*1.7)+ (2*1.35)</f>
        <v>74.180000000000007</v>
      </c>
      <c r="H174" s="46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60">
        <f>(2*10.92)+(2*10.92)+ 1.3 + 1.1</f>
        <v>46.08</v>
      </c>
      <c r="H175" s="46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60">
        <f>(2*1.87)+(2*1.87)</f>
        <v>7.48</v>
      </c>
      <c r="H176" s="46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60">
        <f>(2*6.55)+(2*6.3)+1.75+1.35+1.19</f>
        <v>29.990000000000002</v>
      </c>
      <c r="H177" s="46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60">
        <f>(2*8.39)+(2*1.7)+ 1.1+ 3.13 + (2*5.24)+ (2*3.11)</f>
        <v>41.11</v>
      </c>
      <c r="H178" s="46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60"/>
      <c r="H179" s="46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60"/>
      <c r="H180" s="46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60"/>
      <c r="H181" s="46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60"/>
      <c r="H182" s="46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60"/>
      <c r="H183" s="46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60"/>
      <c r="H184" s="46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60"/>
      <c r="H185" s="46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60"/>
      <c r="H186" s="46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60"/>
      <c r="H187" s="46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60"/>
      <c r="H188" s="46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60"/>
      <c r="H189" s="46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60"/>
      <c r="H190" s="46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60"/>
      <c r="H191" s="46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60"/>
      <c r="H192" s="46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60"/>
      <c r="H193" s="46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60"/>
      <c r="H194" s="46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60"/>
      <c r="H195" s="46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60"/>
      <c r="H196" s="46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60"/>
      <c r="H197" s="46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60"/>
      <c r="H198" s="46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60"/>
      <c r="H199" s="46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57">
        <f xml:space="preserve"> (2*1.31) + (2*1.51) + (2*4.98)</f>
        <v>15.600000000000001</v>
      </c>
      <c r="H201" s="46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57">
        <f xml:space="preserve"> (3*3.37) + (1.37) + (2*3.47)</f>
        <v>18.420000000000002</v>
      </c>
      <c r="H202" s="46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57">
        <f xml:space="preserve"> (1.87) + (2*3.62)</f>
        <v>9.11</v>
      </c>
      <c r="H203" s="46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57">
        <f xml:space="preserve"> (4*0.88) + (2*3.36) + (2*5.03)</f>
        <v>20.3</v>
      </c>
      <c r="H204" s="46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57">
        <f xml:space="preserve"> (2*3.18) + (2*3.18)</f>
        <v>12.72</v>
      </c>
      <c r="H205" s="46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57">
        <f xml:space="preserve"> (4*2.15)</f>
        <v>8.6</v>
      </c>
      <c r="H206" s="46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57">
        <f xml:space="preserve"> (4*6.99)</f>
        <v>27.96</v>
      </c>
      <c r="H207" s="46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57" t="s">
        <v>831</v>
      </c>
      <c r="H208" s="458"/>
      <c r="I208" s="45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57"/>
      <c r="H209" s="458"/>
      <c r="I209" s="45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60" t="s">
        <v>679</v>
      </c>
      <c r="H217" s="46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57" t="s">
        <v>680</v>
      </c>
      <c r="H218" s="46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57" t="s">
        <v>681</v>
      </c>
      <c r="H219" s="46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57" t="s">
        <v>682</v>
      </c>
      <c r="H220" s="46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57" t="s">
        <v>684</v>
      </c>
      <c r="H221" s="46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57" t="s">
        <v>683</v>
      </c>
      <c r="H222" s="46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57" t="s">
        <v>685</v>
      </c>
      <c r="H223" s="46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60" t="s">
        <v>686</v>
      </c>
      <c r="H224" s="46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57" t="s">
        <v>687</v>
      </c>
      <c r="H225" s="46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57" t="s">
        <v>688</v>
      </c>
      <c r="H226" s="46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60" t="s">
        <v>689</v>
      </c>
      <c r="H227" s="46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57" t="s">
        <v>690</v>
      </c>
      <c r="H228" s="46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60" t="s">
        <v>691</v>
      </c>
      <c r="H229" s="46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57" t="s">
        <v>692</v>
      </c>
      <c r="H230" s="46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57" t="s">
        <v>693</v>
      </c>
      <c r="H231" s="46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60" t="s">
        <v>694</v>
      </c>
      <c r="H232" s="46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57" t="s">
        <v>695</v>
      </c>
      <c r="H233" s="46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57" t="s">
        <v>696</v>
      </c>
      <c r="H234" s="46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57" t="s">
        <v>697</v>
      </c>
      <c r="H235" s="46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57" t="s">
        <v>698</v>
      </c>
      <c r="H236" s="46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57" t="s">
        <v>699</v>
      </c>
      <c r="H237" s="46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57" t="s">
        <v>700</v>
      </c>
      <c r="H238" s="46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57" t="s">
        <v>701</v>
      </c>
      <c r="H239" s="46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60" t="s">
        <v>702</v>
      </c>
      <c r="H240" s="46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57" t="s">
        <v>704</v>
      </c>
      <c r="H241" s="46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57" t="s">
        <v>703</v>
      </c>
      <c r="H242" s="46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57" t="s">
        <v>703</v>
      </c>
      <c r="H243" s="46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57" t="s">
        <v>705</v>
      </c>
      <c r="H244" s="46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57" t="s">
        <v>704</v>
      </c>
      <c r="H245" s="46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57" t="s">
        <v>705</v>
      </c>
      <c r="H246" s="46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57" t="s">
        <v>704</v>
      </c>
      <c r="H247" s="46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57">
        <v>9.6</v>
      </c>
      <c r="H248" s="458"/>
      <c r="I248" s="45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57">
        <v>12.75</v>
      </c>
      <c r="H249" s="458"/>
      <c r="I249" s="45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7" t="s">
        <v>874</v>
      </c>
      <c r="H257" s="488"/>
      <c r="I257" s="489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57"/>
      <c r="H258" s="458"/>
      <c r="I258" s="45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57">
        <v>9.6</v>
      </c>
      <c r="H259" s="458"/>
      <c r="I259" s="45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57" t="s">
        <v>831</v>
      </c>
      <c r="H260" s="458"/>
      <c r="I260" s="45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57">
        <f>G249</f>
        <v>12.75</v>
      </c>
      <c r="H261" s="458"/>
      <c r="I261" s="45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57" t="s">
        <v>831</v>
      </c>
      <c r="H262" s="458"/>
      <c r="I262" s="45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60" t="s">
        <v>647</v>
      </c>
      <c r="H263" s="46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57">
        <f xml:space="preserve"> ((0.59*(1.85/0.1)) * 2)</f>
        <v>21.83</v>
      </c>
      <c r="H264" s="46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57">
        <f>(0.69*(1.87/0.1)) + (0.79*(1.87/0.1))</f>
        <v>27.675999999999998</v>
      </c>
      <c r="H265" s="46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57">
        <f>((0.69*(1.9/0.1))*3) + ((0.59*(1.87/0.1))*2)</f>
        <v>61.395999999999987</v>
      </c>
      <c r="H266" s="46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57">
        <f>((0.69*(1.92/0.1))*1) + ((0.59*(1.92/0.1))*2)</f>
        <v>35.903999999999996</v>
      </c>
      <c r="H267" s="46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57">
        <f>((0.79*(1.94/0.1))*3)</f>
        <v>45.977999999999994</v>
      </c>
      <c r="H268" s="46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57">
        <f>((0.69*(1.96/0.1))*3) + ((0.59*(1.96/0.1))*2)</f>
        <v>63.699999999999989</v>
      </c>
      <c r="H269" s="46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57">
        <f>((0.59*(1.95/0.1))*2) + ((0.69*(1.95/0.1))*3) +((0.79*(1.95/0.1))*1)</f>
        <v>78.78</v>
      </c>
      <c r="H270" s="46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57">
        <f>((0.59*(1.97/0.1))*1)  +((0.79*(1.97/0.1))*2)</f>
        <v>42.749000000000002</v>
      </c>
      <c r="H271" s="46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57">
        <f>((0.59*(1.9/0.1))*3)</f>
        <v>33.629999999999995</v>
      </c>
      <c r="H272" s="46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57">
        <f>((0.69*(1.86/0.1))*1) + ((0.69*(1.86/0.1))*1) + ((0.89*(1.86/0.1))*1)</f>
        <v>42.222000000000001</v>
      </c>
      <c r="H273" s="46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57">
        <f>((0.69*(1.87/0.1))*3)</f>
        <v>38.708999999999996</v>
      </c>
      <c r="H274" s="46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57">
        <f>((0.69*(1.9/0.1))*1) + ((0.79*(1.9/0.1))*2) + ((0.59*(1.9/0.1))*1)</f>
        <v>54.339999999999989</v>
      </c>
      <c r="H275" s="46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57">
        <f>((0.79*(1.91/0.1))*1) +((0.59*(1.91/0.1))*1)</f>
        <v>26.357999999999997</v>
      </c>
      <c r="H276" s="46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57">
        <f>((0.79*(1.94/0.1))*1) +((0.59*(1.94/0.1))*5)</f>
        <v>72.555999999999983</v>
      </c>
      <c r="H277" s="46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57">
        <f>((0.69*(1.92/0.1))*2) + ((0.69*(1.92/0.1))*1)</f>
        <v>39.744</v>
      </c>
      <c r="H278" s="46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57">
        <f>((0.59*(1.93/0.1))*2) + ((0.79*(1.93/0.1))*1)</f>
        <v>38.020999999999994</v>
      </c>
      <c r="H279" s="46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57">
        <f>((0.59*(1.87/0.1))*2) + ((0.69*(1.87/0.1))*2)</f>
        <v>47.872</v>
      </c>
      <c r="H280" s="46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57">
        <f>((0.59*(1.88/0.1))*3) + ((0.69*(1.88/0.1))*1)</f>
        <v>46.24799999999999</v>
      </c>
      <c r="H281" s="46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57">
        <f>((0.79*(1.9/0.1))*1) + ((0.69*(1.9/0.1))*3)</f>
        <v>54.339999999999982</v>
      </c>
      <c r="H282" s="46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57">
        <f>((0.59*(1.9/0.1))*1)</f>
        <v>11.209999999999997</v>
      </c>
      <c r="H283" s="46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57">
        <f>((0.69*(1.87/0.1))*1) + ((0.59*(1.87/0.1))*1)</f>
        <v>23.936</v>
      </c>
      <c r="H284" s="46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57">
        <f>((0.69*(2/0.1))*1) + ((0.59*(2/0.1))*2)</f>
        <v>37.4</v>
      </c>
      <c r="H285" s="46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57">
        <f>((0.69*(2.01/0.1))*1) + ((0.59*(2.01/0.1))*5) + ((0.79*(2.01/0.1))*1)</f>
        <v>89.042999999999992</v>
      </c>
      <c r="H286" s="46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57">
        <f>(((1.39+0.47+0.47))*(1.86/0.15))</f>
        <v>28.892000000000003</v>
      </c>
      <c r="H287" s="46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57">
        <f>(((1.09+0.022))*(1.87/0.15))</f>
        <v>13.862933333333336</v>
      </c>
      <c r="H288" s="46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57">
        <f>(((1.09+0.022))*(1.89/0.15))</f>
        <v>14.011200000000001</v>
      </c>
      <c r="H289" s="46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57">
        <f>(((0.59))*(1.9/0.15))</f>
        <v>7.4733333333333327</v>
      </c>
      <c r="H290" s="46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57">
        <f>(((0.59))*(1.92/0.15))</f>
        <v>7.5519999999999996</v>
      </c>
      <c r="H291" s="46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57">
        <f>(((0.59))*(1.9/0.15))</f>
        <v>7.4733333333333327</v>
      </c>
      <c r="H292" s="46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57">
        <f>(((0.69))*(1.98/0.15))</f>
        <v>9.1080000000000005</v>
      </c>
      <c r="H293" s="46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60">
        <v>210.13</v>
      </c>
      <c r="H294" s="463"/>
      <c r="I294" s="464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57">
        <f xml:space="preserve"> (2*2.51) + (40*0.59)</f>
        <v>28.619999999999997</v>
      </c>
      <c r="H295" s="46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57">
        <f xml:space="preserve"> (19*0.79)</f>
        <v>15.010000000000002</v>
      </c>
      <c r="H296" s="46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57">
        <f xml:space="preserve"> (21*0.79)</f>
        <v>16.59</v>
      </c>
      <c r="H297" s="46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57">
        <f xml:space="preserve"> (2*3.86) + (29*0.79)</f>
        <v>30.63</v>
      </c>
      <c r="H298" s="46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57">
        <f xml:space="preserve"> (22*0.59)</f>
        <v>12.979999999999999</v>
      </c>
      <c r="H299" s="46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57">
        <f xml:space="preserve"> (14*0.059)</f>
        <v>0.82599999999999996</v>
      </c>
      <c r="H300" s="46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57">
        <f xml:space="preserve"> (59*0.59)</f>
        <v>34.809999999999995</v>
      </c>
      <c r="H301" s="46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57">
        <v>295</v>
      </c>
      <c r="H303" s="458"/>
      <c r="I303" s="45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60" t="s">
        <v>628</v>
      </c>
      <c r="H306" s="46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57">
        <f xml:space="preserve"> (4*(0.2+0.25+1.85+0.33)) * 2</f>
        <v>21.040000000000003</v>
      </c>
      <c r="H307" s="46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57">
        <f xml:space="preserve"> ((4*(0.2+0.25+1.87+0.33)) * 2)</f>
        <v>21.200000000000003</v>
      </c>
      <c r="H308" s="46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57">
        <f xml:space="preserve"> (4*(0.2+0.25+1.9+0.33)) * 5</f>
        <v>53.6</v>
      </c>
      <c r="H309" s="46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57">
        <f xml:space="preserve"> (4*(0.2+0.25+1.92+0.33)) *3</f>
        <v>32.400000000000006</v>
      </c>
      <c r="H310" s="46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57">
        <f xml:space="preserve"> (4*(0.2+0.25+1.94+0.33)) * 3</f>
        <v>32.64</v>
      </c>
      <c r="H311" s="46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57">
        <f xml:space="preserve"> (4*(0.2+0.25+1.96+0.33)) * 5</f>
        <v>54.800000000000004</v>
      </c>
      <c r="H312" s="46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57">
        <f xml:space="preserve"> (4*(0.2+0.25+1.95+0.33)) * 6</f>
        <v>65.52</v>
      </c>
      <c r="H313" s="46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57">
        <f xml:space="preserve"> (4*(0.2+0.25+1.97+0.33)) * 3</f>
        <v>33</v>
      </c>
      <c r="H314" s="46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57">
        <f xml:space="preserve"> (4*(0.2+0.25+1.9+0.33)) * 3</f>
        <v>32.160000000000004</v>
      </c>
      <c r="H315" s="46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57">
        <f xml:space="preserve"> ((4*(0.2+0.25+1.86+0.33)) * 3)</f>
        <v>31.68</v>
      </c>
      <c r="H316" s="46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57">
        <f xml:space="preserve"> ((4*(0.2+0.25+1.87+0.33)) * 3)</f>
        <v>31.800000000000004</v>
      </c>
      <c r="H317" s="46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57">
        <f xml:space="preserve"> ((4*(0.2+0.25+1.9+0.33)) * 4)</f>
        <v>42.88</v>
      </c>
      <c r="H318" s="46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57">
        <f xml:space="preserve"> ((4*(0.2+0.25+1.91+0.33)) * 2)</f>
        <v>21.52</v>
      </c>
      <c r="H319" s="46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57">
        <f xml:space="preserve"> ((4*(0.2+0.25+1.94+0.33)) * 6)</f>
        <v>65.28</v>
      </c>
      <c r="H320" s="46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57">
        <f xml:space="preserve"> ((4*(0.2+0.25+1.92+0.33)) *3)</f>
        <v>32.400000000000006</v>
      </c>
      <c r="H321" s="46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57">
        <f xml:space="preserve"> ((4*(0.2+0.25+1.93+0.33)) *3)</f>
        <v>32.519999999999996</v>
      </c>
      <c r="H322" s="46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57">
        <f xml:space="preserve"> ((4*(0.2+0.25+1.87+0.33)) *4)</f>
        <v>42.400000000000006</v>
      </c>
      <c r="H323" s="46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57">
        <f xml:space="preserve"> ((4*(0.2+0.25+1.88+0.33)) *4)</f>
        <v>42.56</v>
      </c>
      <c r="H324" s="46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57">
        <f xml:space="preserve"> ((4*(0.2+0.25+1.9+0.33)) *4)</f>
        <v>42.88</v>
      </c>
      <c r="H325" s="46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57">
        <f>((4*(0.2+0.25+1.9+0.33))) + ((8*(0.2+0.25+1.9)))</f>
        <v>29.520000000000003</v>
      </c>
      <c r="H326" s="46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57">
        <f xml:space="preserve"> ((4*(0.2+0.25+1.97+0.33)) *2)</f>
        <v>22</v>
      </c>
      <c r="H327" s="46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57">
        <f xml:space="preserve"> ((4*(0.2+0.25+2+0.33)) *3)</f>
        <v>33.36</v>
      </c>
      <c r="H328" s="46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57">
        <f xml:space="preserve"> ((4*(0.2+0.25+2.01+0.33)) *7)</f>
        <v>78.12</v>
      </c>
      <c r="H329" s="46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57" t="s">
        <v>831</v>
      </c>
      <c r="H330" s="458"/>
      <c r="I330" s="45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60" t="s">
        <v>628</v>
      </c>
      <c r="H331" s="46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57">
        <f>((8*(0.2+0.25+1.86+0.42)))</f>
        <v>21.84</v>
      </c>
      <c r="H332" s="46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57">
        <f>((6*(0.2+0.25+1.87+0.42)))</f>
        <v>16.440000000000001</v>
      </c>
      <c r="H333" s="46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57">
        <f>((6*(0.2+0.25+1.89+0.42)))</f>
        <v>16.559999999999999</v>
      </c>
      <c r="H334" s="46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57">
        <f>((4*(0.2+0.25+1.9+0.42)))</f>
        <v>11.08</v>
      </c>
      <c r="H335" s="46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57">
        <f>((4*(0.2+0.25+1.92+0.42)))</f>
        <v>11.16</v>
      </c>
      <c r="H336" s="46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57">
        <f>((4*(0.2+0.25+1.9+0.42)))</f>
        <v>11.08</v>
      </c>
      <c r="H337" s="46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57">
        <f>((4*(0.2+0.25+1.98+0.42)))+(2*(0.2+0.25+1.98))</f>
        <v>16.260000000000002</v>
      </c>
      <c r="H338" s="46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60">
        <v>52.34</v>
      </c>
      <c r="H339" s="463"/>
      <c r="I339" s="464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57"/>
      <c r="H340" s="458"/>
      <c r="I340" s="45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57">
        <v>223.49</v>
      </c>
      <c r="H341" s="458"/>
      <c r="I341" s="45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60" t="s">
        <v>706</v>
      </c>
      <c r="H350" s="46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57">
        <f xml:space="preserve"> ((0.15+0.25)*2) *2</f>
        <v>1.6</v>
      </c>
      <c r="H351" s="46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57">
        <f xml:space="preserve"> ((0.2+0.25)*2) + ((0.2+0.3)*2)</f>
        <v>1.9</v>
      </c>
      <c r="H352" s="46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57">
        <f xml:space="preserve"> ((0.2+0.25)*2*3) + ((0.2+0.2)*2*1) + ((0.15+0.2)*2*1)</f>
        <v>4.2</v>
      </c>
      <c r="H353" s="46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57">
        <f xml:space="preserve"> ((0.2+0.25)*2*1) + ((0.15+0.25)*2*2)</f>
        <v>2.5</v>
      </c>
      <c r="H354" s="46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57">
        <f xml:space="preserve"> ((0.15+0.3)*2*3)</f>
        <v>2.6999999999999997</v>
      </c>
      <c r="H355" s="46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57">
        <f xml:space="preserve"> ((0.2+0.25)*2*3) + ((0.15+0.25)*2*2)</f>
        <v>4.3000000000000007</v>
      </c>
      <c r="H356" s="46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57">
        <f xml:space="preserve"> ((0.2+0.25)*2*3) + ((0.15+0.25)*2*2) +  ((0.2+0.3)*2*1)</f>
        <v>5.3000000000000007</v>
      </c>
      <c r="H357" s="46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57">
        <f xml:space="preserve"> ((0.2+0.25)*2*2) + ((0.15+0.25)*2*1)</f>
        <v>2.6</v>
      </c>
      <c r="H358" s="46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57">
        <f>((0.15+0.25)*2*3)</f>
        <v>2.4000000000000004</v>
      </c>
      <c r="H359" s="46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57">
        <f xml:space="preserve"> ((0.2+0.25)*2*1) + ((0.15+0.25)*2*1) +  ((0.2+0.35)*2*1)</f>
        <v>2.8000000000000003</v>
      </c>
      <c r="H360" s="46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57">
        <f xml:space="preserve"> ((0.2+0.25)*2*1) + ((0.15+0.3)*2*2)</f>
        <v>2.6999999999999997</v>
      </c>
      <c r="H361" s="46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57">
        <f xml:space="preserve"> ((0.2+0.3)*2*1) + ((0.15+0.3)*2*1) +  ((0.15+0.25)*2*1) + ((0.15+0.35)*2*1)</f>
        <v>3.7</v>
      </c>
      <c r="H362" s="46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57">
        <f xml:space="preserve"> ((0.15+0.25)*2*1) + ((0.2+0.3)*2*1)</f>
        <v>1.8</v>
      </c>
      <c r="H363" s="46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57">
        <f xml:space="preserve"> ((0.15+0.25)*2*5) + ((0.25+0.25)*2*1)</f>
        <v>5</v>
      </c>
      <c r="H364" s="46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57">
        <f xml:space="preserve"> ((0.2+0.25)*2*1) + ((0.15+0.25)*2*1) +  ((0.25+0.25)*2*1)</f>
        <v>2.7</v>
      </c>
      <c r="H365" s="46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57">
        <f xml:space="preserve"> ((0.15+0.25)*2*2) + ((0.25+0.25)*2*1)</f>
        <v>2.6</v>
      </c>
      <c r="H366" s="46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57">
        <f xml:space="preserve"> ((0.15+0.25)*2*2) + ((0.2+0.25)*2*2)</f>
        <v>3.4000000000000004</v>
      </c>
      <c r="H367" s="46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57">
        <f xml:space="preserve"> ((0.15+0.25)*2*3) + ((0.2+0.25)*2*1)</f>
        <v>3.3000000000000003</v>
      </c>
      <c r="H368" s="46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57">
        <f>((0.2+0.25)*2*3) + ((0.25+0.25)*2*1)</f>
        <v>3.7</v>
      </c>
      <c r="H369" s="46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57">
        <f>((0.2+0.2)*2*1)</f>
        <v>0.8</v>
      </c>
      <c r="H370" s="46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57">
        <f>((0.2+0.25)*2*1) + ((0.15+0.25)*2*1)</f>
        <v>1.7000000000000002</v>
      </c>
      <c r="H371" s="46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57">
        <f>((0.2+0.25)*2*1) + ((0.15+0.25)*2*2)</f>
        <v>2.5</v>
      </c>
      <c r="H372" s="46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57">
        <f xml:space="preserve"> ((0.2+0.3)*2*1) + ((0.15+0.25)*2*5) +  ((0.25+0.25)*2*1)</f>
        <v>6</v>
      </c>
      <c r="H373" s="46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57">
        <f>((0.15+0.3)*2*1)</f>
        <v>0.89999999999999991</v>
      </c>
      <c r="H374" s="46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57">
        <f>((0.15+0.5)*2*1)</f>
        <v>1.3</v>
      </c>
      <c r="H375" s="46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57">
        <f>((0.15+0.5)*2*1)</f>
        <v>1.3</v>
      </c>
      <c r="H376" s="46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57">
        <f>((0.15+0.25)*2*1)</f>
        <v>0.8</v>
      </c>
      <c r="H377" s="46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57">
        <f t="shared" ref="G378" si="18">((0.15+0.3)*2*1)</f>
        <v>0.89999999999999991</v>
      </c>
      <c r="H378" s="46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57">
        <f>((0.15+0.25)*2*1)</f>
        <v>0.8</v>
      </c>
      <c r="H379" s="46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57">
        <f>((0.15+0.3)*2*1)</f>
        <v>0.89999999999999991</v>
      </c>
      <c r="H380" s="46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08'!Q41-'MEMORIAL DE CALCULO 07'!K384</f>
        <v>294.68700000000001</v>
      </c>
      <c r="K384" s="81">
        <f>G385</f>
        <v>32.747</v>
      </c>
      <c r="L384" s="82">
        <f t="shared" si="0"/>
        <v>327.43400000000003</v>
      </c>
      <c r="M384" s="82">
        <f>'BOLETIM DE MEDIÇÃO 05'!G41</f>
        <v>435.33</v>
      </c>
      <c r="N384" s="86">
        <f t="shared" si="1"/>
        <v>107.89599999999996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457">
        <v>32.747</v>
      </c>
      <c r="H385" s="458"/>
      <c r="I385" s="459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8"/>
      <c r="H386" s="379"/>
      <c r="I386" s="318"/>
      <c r="J386" s="99">
        <f>'BOLETIM DE MEDIÇÃO 08'!Q42-'MEMORIAL DE CALCULO 07'!K386</f>
        <v>-35.456000000000003</v>
      </c>
      <c r="K386" s="81">
        <f>K387</f>
        <v>88.64</v>
      </c>
      <c r="L386" s="82">
        <f>J386+K386</f>
        <v>53.183999999999997</v>
      </c>
      <c r="M386" s="82">
        <f>'BOLETIM DE MEDIÇÃO 08'!G42</f>
        <v>111.15</v>
      </c>
      <c r="N386" s="86">
        <f>M386-L386</f>
        <v>57.966000000000008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457">
        <v>88.64</v>
      </c>
      <c r="H387" s="458"/>
      <c r="I387" s="459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8"/>
      <c r="H388" s="379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457">
        <f>0.6*357.5</f>
        <v>214.5</v>
      </c>
      <c r="H390" s="458"/>
      <c r="I390" s="459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419">
        <f>0.4*39.1</f>
        <v>15.64</v>
      </c>
      <c r="H392" s="420"/>
      <c r="I392" s="421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6" customFormat="1" ht="22.9" hidden="1" customHeight="1" x14ac:dyDescent="0.25">
      <c r="B394" s="368"/>
      <c r="C394" s="369"/>
      <c r="D394" s="370" t="s">
        <v>953</v>
      </c>
      <c r="E394" s="371"/>
      <c r="F394" s="372">
        <v>1</v>
      </c>
      <c r="G394" s="505">
        <f>0.6* 692.8</f>
        <v>415.67999999999995</v>
      </c>
      <c r="H394" s="506"/>
      <c r="I394" s="507"/>
      <c r="J394" s="373"/>
      <c r="K394" s="374">
        <f>F394*G394</f>
        <v>415.67999999999995</v>
      </c>
      <c r="L394" s="374"/>
      <c r="M394" s="374"/>
      <c r="N394" s="375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6" customFormat="1" ht="19.899999999999999" hidden="1" customHeight="1" x14ac:dyDescent="0.25">
      <c r="B396" s="368"/>
      <c r="C396" s="369"/>
      <c r="D396" s="370" t="s">
        <v>953</v>
      </c>
      <c r="E396" s="371"/>
      <c r="F396" s="377">
        <v>1</v>
      </c>
      <c r="G396" s="505">
        <f>0.6* 95</f>
        <v>57</v>
      </c>
      <c r="H396" s="506"/>
      <c r="I396" s="507"/>
      <c r="J396" s="373"/>
      <c r="K396" s="374">
        <f>F396*G396</f>
        <v>57</v>
      </c>
      <c r="L396" s="374"/>
      <c r="M396" s="374"/>
      <c r="N396" s="375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08'!Q48-'MEMORIAL DE CALCULO 07'!K397</f>
        <v>102.3</v>
      </c>
      <c r="K397" s="81">
        <f>K398</f>
        <v>28.2</v>
      </c>
      <c r="L397" s="82">
        <f t="shared" si="0"/>
        <v>130.5</v>
      </c>
      <c r="M397" s="82">
        <f>'BOLETIM DE MEDIÇÃO 05'!G48</f>
        <v>158.69999999999999</v>
      </c>
      <c r="N397" s="86">
        <f t="shared" si="1"/>
        <v>28.199999999999989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457">
        <v>28.2</v>
      </c>
      <c r="H398" s="458"/>
      <c r="I398" s="459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08'!Q49-'MEMORIAL DE CALCULO 07'!K399</f>
        <v>144.69999999999999</v>
      </c>
      <c r="K399" s="81">
        <f>K400</f>
        <v>12.9</v>
      </c>
      <c r="L399" s="82">
        <f t="shared" si="0"/>
        <v>157.6</v>
      </c>
      <c r="M399" s="82">
        <f>'BOLETIM DE MEDIÇÃO 05'!G49</f>
        <v>170.5</v>
      </c>
      <c r="N399" s="86">
        <f t="shared" si="1"/>
        <v>12.900000000000006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457">
        <v>12.9</v>
      </c>
      <c r="H400" s="458"/>
      <c r="I400" s="459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08'!Q50-'MEMORIAL DE CALCULO 07'!K401</f>
        <v>238.9</v>
      </c>
      <c r="K401" s="81">
        <f>K402</f>
        <v>20.100000000000001</v>
      </c>
      <c r="L401" s="82">
        <f t="shared" si="0"/>
        <v>259</v>
      </c>
      <c r="M401" s="82">
        <f>'BOLETIM DE MEDIÇÃO 05'!G50</f>
        <v>279.10000000000002</v>
      </c>
      <c r="N401" s="86">
        <f t="shared" si="1"/>
        <v>20.100000000000023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457">
        <v>20.100000000000001</v>
      </c>
      <c r="H402" s="458"/>
      <c r="I402" s="459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08'!Q51-'MEMORIAL DE CALCULO 07'!K403</f>
        <v>46.7</v>
      </c>
      <c r="K403" s="81">
        <f>SUM(K404)</f>
        <v>4.84</v>
      </c>
      <c r="L403" s="82">
        <f t="shared" si="0"/>
        <v>51.540000000000006</v>
      </c>
      <c r="M403" s="82">
        <f>'BOLETIM DE MEDIÇÃO 05'!G51</f>
        <v>61.56</v>
      </c>
      <c r="N403" s="86">
        <f t="shared" si="1"/>
        <v>10.019999999999996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01">
        <v>4.84</v>
      </c>
      <c r="H404" s="501"/>
      <c r="I404" s="502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01">
        <v>9.5</v>
      </c>
      <c r="H405" s="501"/>
      <c r="I405" s="502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00">
        <v>2.48</v>
      </c>
      <c r="H406" s="501"/>
      <c r="I406" s="502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457">
        <f>K403</f>
        <v>4.84</v>
      </c>
      <c r="H408" s="458"/>
      <c r="I408" s="459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08'!Q53-'MEMORIAL DE CALCULO 07'!K409</f>
        <v>123.1</v>
      </c>
      <c r="K409" s="81">
        <f>K410</f>
        <v>94.6</v>
      </c>
      <c r="L409" s="82">
        <f t="shared" si="0"/>
        <v>217.7</v>
      </c>
      <c r="M409" s="82">
        <f>'BOLETIM DE MEDIÇÃO 05'!G53</f>
        <v>312.3</v>
      </c>
      <c r="N409" s="86">
        <f t="shared" si="1"/>
        <v>94.600000000000023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457">
        <v>94.6</v>
      </c>
      <c r="H410" s="458"/>
      <c r="I410" s="459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457">
        <v>154.80000000000001</v>
      </c>
      <c r="H412" s="458"/>
      <c r="I412" s="459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457">
        <v>697.98</v>
      </c>
      <c r="H415" s="458"/>
      <c r="I415" s="459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9"/>
      <c r="H416" s="379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9"/>
      <c r="H417" s="379"/>
      <c r="I417" s="318"/>
      <c r="J417" s="99">
        <f>'BOLETIM DE MEDIÇÃO 08'!Q63-'MEMORIAL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08'!G63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457">
        <v>351.87</v>
      </c>
      <c r="H418" s="458"/>
      <c r="I418" s="459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9"/>
      <c r="H419" s="379"/>
      <c r="I419" s="318"/>
      <c r="J419" s="99"/>
      <c r="K419" s="82"/>
      <c r="L419" s="82"/>
      <c r="M419" s="82"/>
      <c r="N419" s="86"/>
    </row>
    <row r="420" spans="2:14" x14ac:dyDescent="0.25">
      <c r="B420" s="347" t="s">
        <v>208</v>
      </c>
      <c r="C420" s="348" t="s">
        <v>209</v>
      </c>
      <c r="D420" s="344"/>
      <c r="E420" s="64"/>
      <c r="F420" s="105"/>
      <c r="G420" s="379"/>
      <c r="H420" s="379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9"/>
      <c r="H421" s="379"/>
      <c r="I421" s="318"/>
      <c r="J421" s="99">
        <f>'BOLETIM DE MEDIÇÃO 08'!Q82-'MEMORIAL DE CALCULO 07'!K421</f>
        <v>100</v>
      </c>
      <c r="K421" s="81">
        <f>K422</f>
        <v>320.44</v>
      </c>
      <c r="L421" s="82">
        <f>J421+K421</f>
        <v>420.44</v>
      </c>
      <c r="M421" s="82">
        <f>'BOLETIM DE MEDIÇÃO 08'!G83</f>
        <v>466.37</v>
      </c>
      <c r="N421" s="86">
        <f>M421-L421</f>
        <v>45.930000000000007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457">
        <v>320.44</v>
      </c>
      <c r="H422" s="458"/>
      <c r="I422" s="459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9"/>
      <c r="H423" s="379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419">
        <v>150</v>
      </c>
      <c r="H426" s="420"/>
      <c r="I426" s="421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7" t="s">
        <v>312</v>
      </c>
      <c r="C431" s="34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08'!Q119-'MEMORIAL DE CALCULO 07'!K432</f>
        <v>18.479999999999997</v>
      </c>
      <c r="K432" s="81">
        <f>SUM(K434:K445)</f>
        <v>13.250000000000002</v>
      </c>
      <c r="L432" s="82">
        <f>J432+K432</f>
        <v>31.729999999999997</v>
      </c>
      <c r="M432" s="82">
        <f>'BOLETIM DE MEDIÇÃO 08'!G119</f>
        <v>31.73</v>
      </c>
      <c r="N432" s="86">
        <f>M432-L432</f>
        <v>0</v>
      </c>
    </row>
    <row r="433" spans="2:14" x14ac:dyDescent="0.25">
      <c r="B433" s="50"/>
      <c r="C433" s="66"/>
      <c r="D433" s="187" t="s">
        <v>976</v>
      </c>
      <c r="E433" s="69"/>
      <c r="F433" s="312"/>
      <c r="G433" s="419" t="s">
        <v>838</v>
      </c>
      <c r="H433" s="422"/>
      <c r="I433" s="381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80" t="s">
        <v>977</v>
      </c>
      <c r="E434" s="69"/>
      <c r="F434" s="312">
        <v>1</v>
      </c>
      <c r="G434" s="419">
        <v>9</v>
      </c>
      <c r="H434" s="420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80" t="s">
        <v>840</v>
      </c>
      <c r="E435" s="69"/>
      <c r="F435" s="97">
        <v>1</v>
      </c>
      <c r="G435" s="419">
        <v>7</v>
      </c>
      <c r="H435" s="422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80" t="s">
        <v>978</v>
      </c>
      <c r="E436" s="69"/>
      <c r="F436" s="97">
        <v>1</v>
      </c>
      <c r="G436" s="419">
        <v>3</v>
      </c>
      <c r="H436" s="422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80" t="s">
        <v>841</v>
      </c>
      <c r="E437" s="69"/>
      <c r="F437" s="97">
        <v>1</v>
      </c>
      <c r="G437" s="419">
        <v>21</v>
      </c>
      <c r="H437" s="422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80" t="s">
        <v>849</v>
      </c>
      <c r="E438" s="69"/>
      <c r="F438" s="312">
        <v>1</v>
      </c>
      <c r="G438" s="420">
        <v>19</v>
      </c>
      <c r="H438" s="422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80" t="s">
        <v>979</v>
      </c>
      <c r="E439" s="69"/>
      <c r="F439" s="97">
        <v>1</v>
      </c>
      <c r="G439" s="419">
        <v>19</v>
      </c>
      <c r="H439" s="422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80" t="s">
        <v>980</v>
      </c>
      <c r="E440" s="69"/>
      <c r="F440" s="312">
        <v>1</v>
      </c>
      <c r="G440" s="420">
        <v>46</v>
      </c>
      <c r="H440" s="422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80" t="s">
        <v>846</v>
      </c>
      <c r="E441" s="69"/>
      <c r="F441" s="312">
        <v>1</v>
      </c>
      <c r="G441" s="419">
        <v>27</v>
      </c>
      <c r="H441" s="420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80" t="s">
        <v>842</v>
      </c>
      <c r="E442" s="69"/>
      <c r="F442" s="312">
        <v>1</v>
      </c>
      <c r="G442" s="419">
        <v>26</v>
      </c>
      <c r="H442" s="420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80" t="s">
        <v>847</v>
      </c>
      <c r="E443" s="69"/>
      <c r="F443" s="312">
        <v>1</v>
      </c>
      <c r="G443" s="419">
        <v>27</v>
      </c>
      <c r="H443" s="422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80" t="s">
        <v>854</v>
      </c>
      <c r="E444" s="69"/>
      <c r="F444" s="312">
        <v>1</v>
      </c>
      <c r="G444" s="419">
        <v>41</v>
      </c>
      <c r="H444" s="422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80" t="s">
        <v>859</v>
      </c>
      <c r="E445" s="69"/>
      <c r="F445" s="312">
        <v>1</v>
      </c>
      <c r="G445" s="419">
        <v>20</v>
      </c>
      <c r="H445" s="420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80" t="s">
        <v>856</v>
      </c>
      <c r="E446" s="69"/>
      <c r="F446" s="312"/>
      <c r="G446" s="419">
        <v>30</v>
      </c>
      <c r="H446" s="420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80" t="s">
        <v>981</v>
      </c>
      <c r="E447" s="69"/>
      <c r="F447" s="312"/>
      <c r="G447" s="419">
        <v>30</v>
      </c>
      <c r="H447" s="422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08'!Q138-'MEMORIAL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82" t="s">
        <v>984</v>
      </c>
      <c r="E450" s="217"/>
      <c r="F450" s="312">
        <v>1</v>
      </c>
      <c r="G450" s="419">
        <f>0.3*98.77</f>
        <v>29.630999999999997</v>
      </c>
      <c r="H450" s="420"/>
      <c r="I450" s="421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08'!Q139-'MEMORIAL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82" t="s">
        <v>984</v>
      </c>
      <c r="E453" s="217"/>
      <c r="F453" s="312">
        <v>1</v>
      </c>
      <c r="G453" s="419">
        <f>0.3*62.17</f>
        <v>18.651</v>
      </c>
      <c r="H453" s="420"/>
      <c r="I453" s="421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08'!Q140-'MEMORIAL DE CALCULO 07'!K455</f>
        <v>-7.4249999999999998</v>
      </c>
      <c r="K455" s="81">
        <f>K456</f>
        <v>7.4249999999999998</v>
      </c>
      <c r="L455" s="82">
        <f t="shared" si="26"/>
        <v>0</v>
      </c>
      <c r="M455" s="206">
        <v>24.75</v>
      </c>
      <c r="N455" s="86">
        <f>M455-L455</f>
        <v>24.75</v>
      </c>
    </row>
    <row r="456" spans="2:14" x14ac:dyDescent="0.25">
      <c r="B456" s="203"/>
      <c r="C456" s="211"/>
      <c r="D456" s="382" t="s">
        <v>984</v>
      </c>
      <c r="E456" s="217"/>
      <c r="F456" s="312">
        <v>1</v>
      </c>
      <c r="G456" s="419">
        <f>0.3*24.75</f>
        <v>7.4249999999999998</v>
      </c>
      <c r="H456" s="420"/>
      <c r="I456" s="421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08'!Q141-'MEMORIAL DE CALCULO 07'!K458</f>
        <v>-7.7759999999999998</v>
      </c>
      <c r="K458" s="81">
        <f>K459</f>
        <v>7.7759999999999998</v>
      </c>
      <c r="L458" s="82">
        <f t="shared" si="26"/>
        <v>0</v>
      </c>
      <c r="M458" s="206">
        <v>25.92</v>
      </c>
      <c r="N458" s="86">
        <f>M458-L458</f>
        <v>25.92</v>
      </c>
    </row>
    <row r="459" spans="2:14" x14ac:dyDescent="0.25">
      <c r="B459" s="203"/>
      <c r="C459" s="211"/>
      <c r="D459" s="382" t="s">
        <v>984</v>
      </c>
      <c r="E459" s="217"/>
      <c r="F459" s="312">
        <v>1</v>
      </c>
      <c r="G459" s="419">
        <f>0.3*25.92</f>
        <v>7.7759999999999998</v>
      </c>
      <c r="H459" s="420"/>
      <c r="I459" s="421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08'!Q142-'MEMORIAL DE CALCULO 07'!K461</f>
        <v>-3</v>
      </c>
      <c r="K461" s="81">
        <f>K462</f>
        <v>3</v>
      </c>
      <c r="L461" s="82">
        <f t="shared" si="26"/>
        <v>0</v>
      </c>
      <c r="M461" s="206">
        <v>10</v>
      </c>
      <c r="N461" s="86">
        <f>M461-L461</f>
        <v>10</v>
      </c>
    </row>
    <row r="462" spans="2:14" x14ac:dyDescent="0.25">
      <c r="B462" s="203"/>
      <c r="C462" s="211"/>
      <c r="D462" s="382" t="s">
        <v>984</v>
      </c>
      <c r="E462" s="217"/>
      <c r="F462" s="312">
        <v>1</v>
      </c>
      <c r="G462" s="419">
        <f>0.3*10</f>
        <v>3</v>
      </c>
      <c r="H462" s="420"/>
      <c r="I462" s="421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08'!Q143-'MEMORIAL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382" t="s">
        <v>983</v>
      </c>
      <c r="E465" s="217"/>
      <c r="F465" s="312">
        <v>1</v>
      </c>
      <c r="G465" s="419">
        <v>1</v>
      </c>
      <c r="H465" s="420"/>
      <c r="I465" s="421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08'!Q144-'MEMORIAL DE CALCULO 07'!K467</f>
        <v>-3</v>
      </c>
      <c r="K467" s="81">
        <f>K468</f>
        <v>3</v>
      </c>
      <c r="L467" s="82">
        <f t="shared" si="26"/>
        <v>0</v>
      </c>
      <c r="M467" s="206">
        <v>6</v>
      </c>
      <c r="N467" s="86">
        <f>M467-L467</f>
        <v>6</v>
      </c>
    </row>
    <row r="468" spans="2:14" x14ac:dyDescent="0.25">
      <c r="B468" s="203"/>
      <c r="C468" s="211"/>
      <c r="D468" s="382" t="s">
        <v>983</v>
      </c>
      <c r="E468" s="217"/>
      <c r="F468" s="312">
        <v>1</v>
      </c>
      <c r="G468" s="419">
        <v>3</v>
      </c>
      <c r="H468" s="420"/>
      <c r="I468" s="421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08'!Q145-'MEMORIAL DE CALCULO 07'!K470</f>
        <v>0</v>
      </c>
      <c r="K470" s="82"/>
      <c r="L470" s="82">
        <f t="shared" si="26"/>
        <v>0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08'!Q146-'MEMORIAL DE CALCULO 07'!K473</f>
        <v>0</v>
      </c>
      <c r="K473" s="82"/>
      <c r="L473" s="82">
        <f t="shared" si="26"/>
        <v>0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08'!Q147-'MEMORIAL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08'!Q148-'MEMORIAL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08'!Q149-'MEMORIAL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08'!Q150-'MEMORIAL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08'!Q151-'MEMORIAL DE CALCULO 07'!K488</f>
        <v>0</v>
      </c>
      <c r="K488" s="82"/>
      <c r="L488" s="82">
        <f t="shared" si="26"/>
        <v>0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08'!Q152-'MEMORIAL DE CALCULO 07'!K491</f>
        <v>0</v>
      </c>
      <c r="K491" s="82"/>
      <c r="L491" s="82">
        <f t="shared" si="26"/>
        <v>0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08'!Q153-'MEMORIAL DE CALCULO 07'!K494</f>
        <v>0</v>
      </c>
      <c r="K494" s="82"/>
      <c r="L494" s="82">
        <f t="shared" si="26"/>
        <v>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08'!Q154-'MEMORIAL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82" t="s">
        <v>984</v>
      </c>
      <c r="E498" s="217"/>
      <c r="F498" s="312">
        <v>1</v>
      </c>
      <c r="G498" s="419">
        <f>0.3*38.85</f>
        <v>11.654999999999999</v>
      </c>
      <c r="H498" s="420"/>
      <c r="I498" s="421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08'!Q155-'MEMORIAL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82" t="s">
        <v>984</v>
      </c>
      <c r="E501" s="217"/>
      <c r="F501" s="312">
        <v>1</v>
      </c>
      <c r="G501" s="419">
        <f>0.3*46.51</f>
        <v>13.952999999999999</v>
      </c>
      <c r="H501" s="420"/>
      <c r="I501" s="421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08'!Q156-'MEMORIAL DE CALCULO 07'!K503</f>
        <v>0</v>
      </c>
      <c r="K503" s="82"/>
      <c r="L503" s="82">
        <f t="shared" si="26"/>
        <v>0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08'!Q157-'MEMORIAL DE CALCULO 07'!K506</f>
        <v>32.554000000000002</v>
      </c>
      <c r="K506" s="81">
        <f>K507</f>
        <v>39.831000000000003</v>
      </c>
      <c r="L506" s="82">
        <f t="shared" si="26"/>
        <v>72.385000000000005</v>
      </c>
      <c r="M506" s="206">
        <v>132.77000000000001</v>
      </c>
      <c r="N506" s="86"/>
    </row>
    <row r="507" spans="2:14" x14ac:dyDescent="0.25">
      <c r="B507" s="203"/>
      <c r="C507" s="211"/>
      <c r="D507" s="382" t="s">
        <v>984</v>
      </c>
      <c r="E507" s="217"/>
      <c r="F507" s="312">
        <v>1</v>
      </c>
      <c r="G507" s="419">
        <f>0.3*132.77</f>
        <v>39.831000000000003</v>
      </c>
      <c r="H507" s="420"/>
      <c r="I507" s="421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08'!Q158-'MEMORIAL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08'!Q159-'MEMORIAL DE CALCULO 07'!K512</f>
        <v>-12.902999999999999</v>
      </c>
      <c r="K512" s="81">
        <f>K513</f>
        <v>12.902999999999999</v>
      </c>
      <c r="L512" s="82">
        <f t="shared" si="26"/>
        <v>0</v>
      </c>
      <c r="M512" s="206">
        <v>43.01</v>
      </c>
      <c r="N512" s="86"/>
    </row>
    <row r="513" spans="2:14" x14ac:dyDescent="0.25">
      <c r="B513" s="50"/>
      <c r="C513" s="66"/>
      <c r="D513" s="382" t="s">
        <v>984</v>
      </c>
      <c r="E513" s="69"/>
      <c r="F513" s="312">
        <v>1</v>
      </c>
      <c r="G513" s="419">
        <f>0.3*43.01</f>
        <v>12.902999999999999</v>
      </c>
      <c r="H513" s="420"/>
      <c r="I513" s="421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420"/>
      <c r="H543" s="420"/>
      <c r="I543" s="421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6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419">
        <f>65.42</f>
        <v>65.42</v>
      </c>
      <c r="H545" s="422"/>
      <c r="I545" s="105">
        <v>3.1</v>
      </c>
      <c r="J545" s="99"/>
      <c r="K545" s="356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497" t="s">
        <v>836</v>
      </c>
      <c r="H549" s="498"/>
      <c r="I549" s="499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394" zoomScaleNormal="100" workbookViewId="0">
      <selection activeCell="B410" sqref="B410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34" t="s">
        <v>956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37"/>
    </row>
    <row r="4" spans="2:14" ht="16.5" x14ac:dyDescent="0.25">
      <c r="B4" s="440" t="s">
        <v>542</v>
      </c>
      <c r="C4" s="441"/>
      <c r="D4" s="441"/>
      <c r="E4" s="441"/>
      <c r="F4" s="441"/>
      <c r="G4" s="441"/>
      <c r="H4" s="441"/>
      <c r="I4" s="16" t="s">
        <v>544</v>
      </c>
      <c r="J4" s="442">
        <v>1240378.43</v>
      </c>
      <c r="K4" s="443"/>
      <c r="L4" s="443"/>
      <c r="M4" s="443"/>
      <c r="N4" s="438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38"/>
    </row>
    <row r="6" spans="2:14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6" t="s">
        <v>592</v>
      </c>
      <c r="J6" s="447"/>
      <c r="K6" s="447"/>
      <c r="L6" s="447"/>
      <c r="M6" s="447"/>
      <c r="N6" s="438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38"/>
    </row>
    <row r="8" spans="2:14" ht="17.25" thickBot="1" x14ac:dyDescent="0.3">
      <c r="B8" s="448">
        <v>45453</v>
      </c>
      <c r="C8" s="449"/>
      <c r="D8" s="23" t="s">
        <v>957</v>
      </c>
      <c r="E8" s="450">
        <f>'BOLETIM DE MEDIÇÃO 08'!Y196</f>
        <v>70347.038280000008</v>
      </c>
      <c r="F8" s="451"/>
      <c r="G8" s="452"/>
      <c r="H8" s="453">
        <f>'BOLETIM DE MEDIÇÃO 05'!H8</f>
        <v>274592.67562904983</v>
      </c>
      <c r="I8" s="454"/>
      <c r="J8" s="455" t="s">
        <v>955</v>
      </c>
      <c r="K8" s="456"/>
      <c r="L8" s="456"/>
      <c r="M8" s="456"/>
      <c r="N8" s="439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28" t="s">
        <v>526</v>
      </c>
      <c r="C10" s="428" t="s">
        <v>527</v>
      </c>
      <c r="D10" s="430" t="s">
        <v>528</v>
      </c>
      <c r="E10" s="428" t="s">
        <v>529</v>
      </c>
      <c r="F10" s="432" t="s">
        <v>556</v>
      </c>
      <c r="G10" s="423" t="s">
        <v>557</v>
      </c>
      <c r="H10" s="424"/>
      <c r="I10" s="424"/>
      <c r="J10" s="425" t="s">
        <v>594</v>
      </c>
      <c r="K10" s="426"/>
      <c r="L10" s="426"/>
      <c r="M10" s="426"/>
      <c r="N10" s="427"/>
    </row>
    <row r="11" spans="2:14" ht="18" x14ac:dyDescent="0.25">
      <c r="B11" s="429"/>
      <c r="C11" s="429"/>
      <c r="D11" s="431"/>
      <c r="E11" s="429"/>
      <c r="F11" s="433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457">
        <v>1430.2</v>
      </c>
      <c r="H20" s="458"/>
      <c r="I20" s="459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457">
        <v>1430.2</v>
      </c>
      <c r="H22" s="458"/>
      <c r="I22" s="459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491">
        <v>1</v>
      </c>
      <c r="G70" s="476">
        <f>43.05</f>
        <v>43.05</v>
      </c>
      <c r="H70" s="477"/>
      <c r="I70" s="478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492"/>
      <c r="G71" s="479"/>
      <c r="H71" s="480"/>
      <c r="I71" s="481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473" t="s">
        <v>883</v>
      </c>
      <c r="H72" s="474"/>
      <c r="I72" s="475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471" t="s">
        <v>838</v>
      </c>
      <c r="H73" s="472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471">
        <v>9</v>
      </c>
      <c r="H74" s="472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471">
        <v>5</v>
      </c>
      <c r="H75" s="472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471">
        <f xml:space="preserve"> (13.03 * 2.7)</f>
        <v>35.180999999999997</v>
      </c>
      <c r="H76" s="472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471">
        <v>3</v>
      </c>
      <c r="H77" s="472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471">
        <v>7</v>
      </c>
      <c r="H78" s="472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471">
        <v>21</v>
      </c>
      <c r="H79" s="472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471">
        <v>27</v>
      </c>
      <c r="H80" s="472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471">
        <v>26</v>
      </c>
      <c r="H81" s="472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471">
        <v>1.6</v>
      </c>
      <c r="H82" s="472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471">
        <v>1.6</v>
      </c>
      <c r="H83" s="472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471">
        <v>45</v>
      </c>
      <c r="H84" s="472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471">
        <v>19</v>
      </c>
      <c r="H85" s="472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471">
        <v>19</v>
      </c>
      <c r="H86" s="472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471">
        <v>5</v>
      </c>
      <c r="H87" s="472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471">
        <v>14</v>
      </c>
      <c r="H88" s="472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482">
        <v>36</v>
      </c>
      <c r="H89" s="483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482">
        <v>46</v>
      </c>
      <c r="H90" s="483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471">
        <v>41</v>
      </c>
      <c r="H91" s="472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471">
        <v>27</v>
      </c>
      <c r="H92" s="472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471">
        <v>53</v>
      </c>
      <c r="H93" s="472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471">
        <f xml:space="preserve"> (2.65*1.8)</f>
        <v>4.7699999999999996</v>
      </c>
      <c r="H94" s="472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471">
        <v>30</v>
      </c>
      <c r="H95" s="472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471">
        <v>30</v>
      </c>
      <c r="H96" s="472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471">
        <v>14</v>
      </c>
      <c r="H97" s="472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471">
        <v>14</v>
      </c>
      <c r="H98" s="472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471">
        <v>20</v>
      </c>
      <c r="H99" s="472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471">
        <v>3</v>
      </c>
      <c r="H100" s="472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471">
        <v>4</v>
      </c>
      <c r="H101" s="472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471">
        <v>12</v>
      </c>
      <c r="H102" s="472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471">
        <v>20</v>
      </c>
      <c r="H103" s="472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471">
        <v>4</v>
      </c>
      <c r="H104" s="472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471">
        <v>5</v>
      </c>
      <c r="H105" s="472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471">
        <f>1184.23-SUM(G74:H105)</f>
        <v>582.07900000000006</v>
      </c>
      <c r="H106" s="472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471"/>
      <c r="H107" s="472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460" t="s">
        <v>652</v>
      </c>
      <c r="H108" s="463"/>
      <c r="I108" s="464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457" t="s">
        <v>831</v>
      </c>
      <c r="H172" s="458"/>
      <c r="I172" s="459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460">
        <v>492.78</v>
      </c>
      <c r="H173" s="463"/>
      <c r="I173" s="464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460">
        <f>(2*12)+(2*3.79)+(2*8.94)+(2*6.27)+ 1.39+0.99 +(2*1.85)+(2*1.7)+ (2*1.35)</f>
        <v>74.180000000000007</v>
      </c>
      <c r="H174" s="461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460">
        <f>(2*10.92)+(2*10.92)+ 1.3 + 1.1</f>
        <v>46.08</v>
      </c>
      <c r="H175" s="461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460">
        <f>(2*1.87)+(2*1.87)</f>
        <v>7.48</v>
      </c>
      <c r="H176" s="461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460">
        <f>(2*6.55)+(2*6.3)+1.75+1.35+1.19</f>
        <v>29.990000000000002</v>
      </c>
      <c r="H177" s="461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460">
        <f>(2*8.39)+(2*1.7)+ 1.1+ 3.13 + (2*5.24)+ (2*3.11)</f>
        <v>41.11</v>
      </c>
      <c r="H178" s="461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460"/>
      <c r="H179" s="461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460"/>
      <c r="H180" s="461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460"/>
      <c r="H181" s="461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460"/>
      <c r="H182" s="461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460"/>
      <c r="H183" s="461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460"/>
      <c r="H184" s="461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460"/>
      <c r="H185" s="461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460"/>
      <c r="H186" s="461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460"/>
      <c r="H187" s="461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460"/>
      <c r="H188" s="461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460"/>
      <c r="H189" s="461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460"/>
      <c r="H190" s="461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460"/>
      <c r="H191" s="461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460"/>
      <c r="H192" s="461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460"/>
      <c r="H193" s="461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460"/>
      <c r="H194" s="461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460"/>
      <c r="H195" s="461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460"/>
      <c r="H196" s="461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460"/>
      <c r="H197" s="461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460"/>
      <c r="H198" s="461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460"/>
      <c r="H199" s="461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457">
        <f xml:space="preserve"> (2*1.31) + (2*1.51) + (2*4.98)</f>
        <v>15.600000000000001</v>
      </c>
      <c r="H201" s="462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457">
        <f xml:space="preserve"> (3*3.37) + (1.37) + (2*3.47)</f>
        <v>18.420000000000002</v>
      </c>
      <c r="H202" s="462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457">
        <f xml:space="preserve"> (1.87) + (2*3.62)</f>
        <v>9.11</v>
      </c>
      <c r="H203" s="462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457">
        <f xml:space="preserve"> (4*0.88) + (2*3.36) + (2*5.03)</f>
        <v>20.3</v>
      </c>
      <c r="H204" s="462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457">
        <f xml:space="preserve"> (2*3.18) + (2*3.18)</f>
        <v>12.72</v>
      </c>
      <c r="H205" s="462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457">
        <f xml:space="preserve"> (4*2.15)</f>
        <v>8.6</v>
      </c>
      <c r="H206" s="462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457">
        <f xml:space="preserve"> (4*6.99)</f>
        <v>27.96</v>
      </c>
      <c r="H207" s="462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457" t="s">
        <v>831</v>
      </c>
      <c r="H208" s="458"/>
      <c r="I208" s="459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457"/>
      <c r="H209" s="458"/>
      <c r="I209" s="459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460" t="s">
        <v>679</v>
      </c>
      <c r="H217" s="461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457" t="s">
        <v>680</v>
      </c>
      <c r="H218" s="462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457" t="s">
        <v>681</v>
      </c>
      <c r="H219" s="462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457" t="s">
        <v>682</v>
      </c>
      <c r="H220" s="462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457" t="s">
        <v>684</v>
      </c>
      <c r="H221" s="462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457" t="s">
        <v>683</v>
      </c>
      <c r="H222" s="462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457" t="s">
        <v>685</v>
      </c>
      <c r="H223" s="462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460" t="s">
        <v>686</v>
      </c>
      <c r="H224" s="461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457" t="s">
        <v>687</v>
      </c>
      <c r="H225" s="462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457" t="s">
        <v>688</v>
      </c>
      <c r="H226" s="462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460" t="s">
        <v>689</v>
      </c>
      <c r="H227" s="461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457" t="s">
        <v>690</v>
      </c>
      <c r="H228" s="462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460" t="s">
        <v>691</v>
      </c>
      <c r="H229" s="461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457" t="s">
        <v>692</v>
      </c>
      <c r="H230" s="462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457" t="s">
        <v>693</v>
      </c>
      <c r="H231" s="462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460" t="s">
        <v>694</v>
      </c>
      <c r="H232" s="461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457" t="s">
        <v>695</v>
      </c>
      <c r="H233" s="462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457" t="s">
        <v>696</v>
      </c>
      <c r="H234" s="462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457" t="s">
        <v>697</v>
      </c>
      <c r="H235" s="462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457" t="s">
        <v>698</v>
      </c>
      <c r="H236" s="462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457" t="s">
        <v>699</v>
      </c>
      <c r="H237" s="462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457" t="s">
        <v>700</v>
      </c>
      <c r="H238" s="462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457" t="s">
        <v>701</v>
      </c>
      <c r="H239" s="462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460" t="s">
        <v>702</v>
      </c>
      <c r="H240" s="461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457" t="s">
        <v>704</v>
      </c>
      <c r="H241" s="462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457" t="s">
        <v>703</v>
      </c>
      <c r="H242" s="462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457" t="s">
        <v>703</v>
      </c>
      <c r="H243" s="462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457" t="s">
        <v>705</v>
      </c>
      <c r="H244" s="462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457" t="s">
        <v>704</v>
      </c>
      <c r="H245" s="462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457" t="s">
        <v>705</v>
      </c>
      <c r="H246" s="462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457" t="s">
        <v>704</v>
      </c>
      <c r="H247" s="462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457">
        <v>9.6</v>
      </c>
      <c r="H248" s="458"/>
      <c r="I248" s="459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457">
        <v>12.75</v>
      </c>
      <c r="H249" s="458"/>
      <c r="I249" s="459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487" t="s">
        <v>874</v>
      </c>
      <c r="H257" s="488"/>
      <c r="I257" s="489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457"/>
      <c r="H258" s="458"/>
      <c r="I258" s="459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457">
        <v>9.6</v>
      </c>
      <c r="H259" s="458"/>
      <c r="I259" s="459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457" t="s">
        <v>831</v>
      </c>
      <c r="H260" s="458"/>
      <c r="I260" s="459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457">
        <f>G249</f>
        <v>12.75</v>
      </c>
      <c r="H261" s="458"/>
      <c r="I261" s="459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457" t="s">
        <v>831</v>
      </c>
      <c r="H262" s="458"/>
      <c r="I262" s="459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460" t="s">
        <v>647</v>
      </c>
      <c r="H263" s="461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457">
        <f xml:space="preserve"> ((0.59*(1.85/0.1)) * 2)</f>
        <v>21.83</v>
      </c>
      <c r="H264" s="462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457">
        <f>(0.69*(1.87/0.1)) + (0.79*(1.87/0.1))</f>
        <v>27.675999999999998</v>
      </c>
      <c r="H265" s="462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457">
        <f>((0.69*(1.9/0.1))*3) + ((0.59*(1.87/0.1))*2)</f>
        <v>61.395999999999987</v>
      </c>
      <c r="H266" s="462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457">
        <f>((0.69*(1.92/0.1))*1) + ((0.59*(1.92/0.1))*2)</f>
        <v>35.903999999999996</v>
      </c>
      <c r="H267" s="462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457">
        <f>((0.79*(1.94/0.1))*3)</f>
        <v>45.977999999999994</v>
      </c>
      <c r="H268" s="462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457">
        <f>((0.69*(1.96/0.1))*3) + ((0.59*(1.96/0.1))*2)</f>
        <v>63.699999999999989</v>
      </c>
      <c r="H269" s="462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457">
        <f>((0.59*(1.95/0.1))*2) + ((0.69*(1.95/0.1))*3) +((0.79*(1.95/0.1))*1)</f>
        <v>78.78</v>
      </c>
      <c r="H270" s="462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457">
        <f>((0.59*(1.97/0.1))*1)  +((0.79*(1.97/0.1))*2)</f>
        <v>42.749000000000002</v>
      </c>
      <c r="H271" s="462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457">
        <f>((0.59*(1.9/0.1))*3)</f>
        <v>33.629999999999995</v>
      </c>
      <c r="H272" s="462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457">
        <f>((0.69*(1.86/0.1))*1) + ((0.69*(1.86/0.1))*1) + ((0.89*(1.86/0.1))*1)</f>
        <v>42.222000000000001</v>
      </c>
      <c r="H273" s="462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457">
        <f>((0.69*(1.87/0.1))*3)</f>
        <v>38.708999999999996</v>
      </c>
      <c r="H274" s="462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457">
        <f>((0.69*(1.9/0.1))*1) + ((0.79*(1.9/0.1))*2) + ((0.59*(1.9/0.1))*1)</f>
        <v>54.339999999999989</v>
      </c>
      <c r="H275" s="462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457">
        <f>((0.79*(1.91/0.1))*1) +((0.59*(1.91/0.1))*1)</f>
        <v>26.357999999999997</v>
      </c>
      <c r="H276" s="462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457">
        <f>((0.79*(1.94/0.1))*1) +((0.59*(1.94/0.1))*5)</f>
        <v>72.555999999999983</v>
      </c>
      <c r="H277" s="462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457">
        <f>((0.69*(1.92/0.1))*2) + ((0.69*(1.92/0.1))*1)</f>
        <v>39.744</v>
      </c>
      <c r="H278" s="462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457">
        <f>((0.59*(1.93/0.1))*2) + ((0.79*(1.93/0.1))*1)</f>
        <v>38.020999999999994</v>
      </c>
      <c r="H279" s="462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457">
        <f>((0.59*(1.87/0.1))*2) + ((0.69*(1.87/0.1))*2)</f>
        <v>47.872</v>
      </c>
      <c r="H280" s="462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457">
        <f>((0.59*(1.88/0.1))*3) + ((0.69*(1.88/0.1))*1)</f>
        <v>46.24799999999999</v>
      </c>
      <c r="H281" s="462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457">
        <f>((0.79*(1.9/0.1))*1) + ((0.69*(1.9/0.1))*3)</f>
        <v>54.339999999999982</v>
      </c>
      <c r="H282" s="462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457">
        <f>((0.59*(1.9/0.1))*1)</f>
        <v>11.209999999999997</v>
      </c>
      <c r="H283" s="462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457">
        <f>((0.69*(1.87/0.1))*1) + ((0.59*(1.87/0.1))*1)</f>
        <v>23.936</v>
      </c>
      <c r="H284" s="462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457">
        <f>((0.69*(2/0.1))*1) + ((0.59*(2/0.1))*2)</f>
        <v>37.4</v>
      </c>
      <c r="H285" s="462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457">
        <f>((0.69*(2.01/0.1))*1) + ((0.59*(2.01/0.1))*5) + ((0.79*(2.01/0.1))*1)</f>
        <v>89.042999999999992</v>
      </c>
      <c r="H286" s="462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457">
        <f>(((1.39+0.47+0.47))*(1.86/0.15))</f>
        <v>28.892000000000003</v>
      </c>
      <c r="H287" s="462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457">
        <f>(((1.09+0.022))*(1.87/0.15))</f>
        <v>13.862933333333336</v>
      </c>
      <c r="H288" s="462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457">
        <f>(((1.09+0.022))*(1.89/0.15))</f>
        <v>14.011200000000001</v>
      </c>
      <c r="H289" s="462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457">
        <f>(((0.59))*(1.9/0.15))</f>
        <v>7.4733333333333327</v>
      </c>
      <c r="H290" s="462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457">
        <f>(((0.59))*(1.92/0.15))</f>
        <v>7.5519999999999996</v>
      </c>
      <c r="H291" s="462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457">
        <f>(((0.59))*(1.9/0.15))</f>
        <v>7.4733333333333327</v>
      </c>
      <c r="H292" s="462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457">
        <f>(((0.69))*(1.98/0.15))</f>
        <v>9.1080000000000005</v>
      </c>
      <c r="H293" s="462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460">
        <v>210.13</v>
      </c>
      <c r="H294" s="463"/>
      <c r="I294" s="464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457">
        <f xml:space="preserve"> (2*2.51) + (40*0.59)</f>
        <v>28.619999999999997</v>
      </c>
      <c r="H295" s="462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457">
        <f xml:space="preserve"> (19*0.79)</f>
        <v>15.010000000000002</v>
      </c>
      <c r="H296" s="462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457">
        <f xml:space="preserve"> (21*0.79)</f>
        <v>16.59</v>
      </c>
      <c r="H297" s="462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457">
        <f xml:space="preserve"> (2*3.86) + (29*0.79)</f>
        <v>30.63</v>
      </c>
      <c r="H298" s="462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457">
        <f xml:space="preserve"> (22*0.59)</f>
        <v>12.979999999999999</v>
      </c>
      <c r="H299" s="462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457">
        <f xml:space="preserve"> (14*0.059)</f>
        <v>0.82599999999999996</v>
      </c>
      <c r="H300" s="462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457">
        <f xml:space="preserve"> (59*0.59)</f>
        <v>34.809999999999995</v>
      </c>
      <c r="H301" s="462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457">
        <v>295</v>
      </c>
      <c r="H303" s="458"/>
      <c r="I303" s="459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460" t="s">
        <v>628</v>
      </c>
      <c r="H306" s="461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457">
        <f xml:space="preserve"> (4*(0.2+0.25+1.85+0.33)) * 2</f>
        <v>21.040000000000003</v>
      </c>
      <c r="H307" s="462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457">
        <f xml:space="preserve"> ((4*(0.2+0.25+1.87+0.33)) * 2)</f>
        <v>21.200000000000003</v>
      </c>
      <c r="H308" s="462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457">
        <f xml:space="preserve"> (4*(0.2+0.25+1.9+0.33)) * 5</f>
        <v>53.6</v>
      </c>
      <c r="H309" s="462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457">
        <f xml:space="preserve"> (4*(0.2+0.25+1.92+0.33)) *3</f>
        <v>32.400000000000006</v>
      </c>
      <c r="H310" s="462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457">
        <f xml:space="preserve"> (4*(0.2+0.25+1.94+0.33)) * 3</f>
        <v>32.64</v>
      </c>
      <c r="H311" s="462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457">
        <f xml:space="preserve"> (4*(0.2+0.25+1.96+0.33)) * 5</f>
        <v>54.800000000000004</v>
      </c>
      <c r="H312" s="462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457">
        <f xml:space="preserve"> (4*(0.2+0.25+1.95+0.33)) * 6</f>
        <v>65.52</v>
      </c>
      <c r="H313" s="462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457">
        <f xml:space="preserve"> (4*(0.2+0.25+1.97+0.33)) * 3</f>
        <v>33</v>
      </c>
      <c r="H314" s="462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457">
        <f xml:space="preserve"> (4*(0.2+0.25+1.9+0.33)) * 3</f>
        <v>32.160000000000004</v>
      </c>
      <c r="H315" s="462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457">
        <f xml:space="preserve"> ((4*(0.2+0.25+1.86+0.33)) * 3)</f>
        <v>31.68</v>
      </c>
      <c r="H316" s="462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457">
        <f xml:space="preserve"> ((4*(0.2+0.25+1.87+0.33)) * 3)</f>
        <v>31.800000000000004</v>
      </c>
      <c r="H317" s="462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457">
        <f xml:space="preserve"> ((4*(0.2+0.25+1.9+0.33)) * 4)</f>
        <v>42.88</v>
      </c>
      <c r="H318" s="462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457">
        <f xml:space="preserve"> ((4*(0.2+0.25+1.91+0.33)) * 2)</f>
        <v>21.52</v>
      </c>
      <c r="H319" s="462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457">
        <f xml:space="preserve"> ((4*(0.2+0.25+1.94+0.33)) * 6)</f>
        <v>65.28</v>
      </c>
      <c r="H320" s="462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457">
        <f xml:space="preserve"> ((4*(0.2+0.25+1.92+0.33)) *3)</f>
        <v>32.400000000000006</v>
      </c>
      <c r="H321" s="462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457">
        <f xml:space="preserve"> ((4*(0.2+0.25+1.93+0.33)) *3)</f>
        <v>32.519999999999996</v>
      </c>
      <c r="H322" s="462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457">
        <f xml:space="preserve"> ((4*(0.2+0.25+1.87+0.33)) *4)</f>
        <v>42.400000000000006</v>
      </c>
      <c r="H323" s="462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457">
        <f xml:space="preserve"> ((4*(0.2+0.25+1.88+0.33)) *4)</f>
        <v>42.56</v>
      </c>
      <c r="H324" s="462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457">
        <f xml:space="preserve"> ((4*(0.2+0.25+1.9+0.33)) *4)</f>
        <v>42.88</v>
      </c>
      <c r="H325" s="462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457">
        <f>((4*(0.2+0.25+1.9+0.33))) + ((8*(0.2+0.25+1.9)))</f>
        <v>29.520000000000003</v>
      </c>
      <c r="H326" s="462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457">
        <f xml:space="preserve"> ((4*(0.2+0.25+1.97+0.33)) *2)</f>
        <v>22</v>
      </c>
      <c r="H327" s="462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457">
        <f xml:space="preserve"> ((4*(0.2+0.25+2+0.33)) *3)</f>
        <v>33.36</v>
      </c>
      <c r="H328" s="462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457">
        <f xml:space="preserve"> ((4*(0.2+0.25+2.01+0.33)) *7)</f>
        <v>78.12</v>
      </c>
      <c r="H329" s="462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457" t="s">
        <v>831</v>
      </c>
      <c r="H330" s="458"/>
      <c r="I330" s="459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460" t="s">
        <v>628</v>
      </c>
      <c r="H331" s="461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457">
        <f>((8*(0.2+0.25+1.86+0.42)))</f>
        <v>21.84</v>
      </c>
      <c r="H332" s="462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457">
        <f>((6*(0.2+0.25+1.87+0.42)))</f>
        <v>16.440000000000001</v>
      </c>
      <c r="H333" s="462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457">
        <f>((6*(0.2+0.25+1.89+0.42)))</f>
        <v>16.559999999999999</v>
      </c>
      <c r="H334" s="462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457">
        <f>((4*(0.2+0.25+1.9+0.42)))</f>
        <v>11.08</v>
      </c>
      <c r="H335" s="462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457">
        <f>((4*(0.2+0.25+1.92+0.42)))</f>
        <v>11.16</v>
      </c>
      <c r="H336" s="462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457">
        <f>((4*(0.2+0.25+1.9+0.42)))</f>
        <v>11.08</v>
      </c>
      <c r="H337" s="462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457">
        <f>((4*(0.2+0.25+1.98+0.42)))+(2*(0.2+0.25+1.98))</f>
        <v>16.260000000000002</v>
      </c>
      <c r="H338" s="462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460">
        <v>52.34</v>
      </c>
      <c r="H339" s="463"/>
      <c r="I339" s="464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457"/>
      <c r="H340" s="458"/>
      <c r="I340" s="459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457">
        <v>223.49</v>
      </c>
      <c r="H341" s="458"/>
      <c r="I341" s="459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460" t="s">
        <v>706</v>
      </c>
      <c r="H350" s="461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457">
        <f xml:space="preserve"> ((0.15+0.25)*2) *2</f>
        <v>1.6</v>
      </c>
      <c r="H351" s="462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457">
        <f xml:space="preserve"> ((0.2+0.25)*2) + ((0.2+0.3)*2)</f>
        <v>1.9</v>
      </c>
      <c r="H352" s="462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457">
        <f xml:space="preserve"> ((0.2+0.25)*2*3) + ((0.2+0.2)*2*1) + ((0.15+0.2)*2*1)</f>
        <v>4.2</v>
      </c>
      <c r="H353" s="462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457">
        <f xml:space="preserve"> ((0.2+0.25)*2*1) + ((0.15+0.25)*2*2)</f>
        <v>2.5</v>
      </c>
      <c r="H354" s="462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457">
        <f xml:space="preserve"> ((0.15+0.3)*2*3)</f>
        <v>2.6999999999999997</v>
      </c>
      <c r="H355" s="462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457">
        <f xml:space="preserve"> ((0.2+0.25)*2*3) + ((0.15+0.25)*2*2)</f>
        <v>4.3000000000000007</v>
      </c>
      <c r="H356" s="462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457">
        <f xml:space="preserve"> ((0.2+0.25)*2*3) + ((0.15+0.25)*2*2) +  ((0.2+0.3)*2*1)</f>
        <v>5.3000000000000007</v>
      </c>
      <c r="H357" s="462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457">
        <f xml:space="preserve"> ((0.2+0.25)*2*2) + ((0.15+0.25)*2*1)</f>
        <v>2.6</v>
      </c>
      <c r="H358" s="462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457">
        <f>((0.15+0.25)*2*3)</f>
        <v>2.4000000000000004</v>
      </c>
      <c r="H359" s="462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457">
        <f xml:space="preserve"> ((0.2+0.25)*2*1) + ((0.15+0.25)*2*1) +  ((0.2+0.35)*2*1)</f>
        <v>2.8000000000000003</v>
      </c>
      <c r="H360" s="462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457">
        <f xml:space="preserve"> ((0.2+0.25)*2*1) + ((0.15+0.3)*2*2)</f>
        <v>2.6999999999999997</v>
      </c>
      <c r="H361" s="462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457">
        <f xml:space="preserve"> ((0.2+0.3)*2*1) + ((0.15+0.3)*2*1) +  ((0.15+0.25)*2*1) + ((0.15+0.35)*2*1)</f>
        <v>3.7</v>
      </c>
      <c r="H362" s="462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457">
        <f xml:space="preserve"> ((0.15+0.25)*2*1) + ((0.2+0.3)*2*1)</f>
        <v>1.8</v>
      </c>
      <c r="H363" s="462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457">
        <f xml:space="preserve"> ((0.15+0.25)*2*5) + ((0.25+0.25)*2*1)</f>
        <v>5</v>
      </c>
      <c r="H364" s="462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457">
        <f xml:space="preserve"> ((0.2+0.25)*2*1) + ((0.15+0.25)*2*1) +  ((0.25+0.25)*2*1)</f>
        <v>2.7</v>
      </c>
      <c r="H365" s="462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457">
        <f xml:space="preserve"> ((0.15+0.25)*2*2) + ((0.25+0.25)*2*1)</f>
        <v>2.6</v>
      </c>
      <c r="H366" s="462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457">
        <f xml:space="preserve"> ((0.15+0.25)*2*2) + ((0.2+0.25)*2*2)</f>
        <v>3.4000000000000004</v>
      </c>
      <c r="H367" s="462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457">
        <f xml:space="preserve"> ((0.15+0.25)*2*3) + ((0.2+0.25)*2*1)</f>
        <v>3.3000000000000003</v>
      </c>
      <c r="H368" s="462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457">
        <f>((0.2+0.25)*2*3) + ((0.25+0.25)*2*1)</f>
        <v>3.7</v>
      </c>
      <c r="H369" s="462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457">
        <f>((0.2+0.2)*2*1)</f>
        <v>0.8</v>
      </c>
      <c r="H370" s="462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457">
        <f>((0.2+0.25)*2*1) + ((0.15+0.25)*2*1)</f>
        <v>1.7000000000000002</v>
      </c>
      <c r="H371" s="462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457">
        <f>((0.2+0.25)*2*1) + ((0.15+0.25)*2*2)</f>
        <v>2.5</v>
      </c>
      <c r="H372" s="462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457">
        <f xml:space="preserve"> ((0.2+0.3)*2*1) + ((0.15+0.25)*2*5) +  ((0.25+0.25)*2*1)</f>
        <v>6</v>
      </c>
      <c r="H373" s="462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457">
        <f>((0.15+0.3)*2*1)</f>
        <v>0.89999999999999991</v>
      </c>
      <c r="H374" s="462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457">
        <f>((0.15+0.5)*2*1)</f>
        <v>1.3</v>
      </c>
      <c r="H375" s="462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457">
        <f>((0.15+0.5)*2*1)</f>
        <v>1.3</v>
      </c>
      <c r="H376" s="462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457">
        <f>((0.15+0.25)*2*1)</f>
        <v>0.8</v>
      </c>
      <c r="H377" s="462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457">
        <f t="shared" ref="G378" si="18">((0.15+0.3)*2*1)</f>
        <v>0.89999999999999991</v>
      </c>
      <c r="H378" s="462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457">
        <f>((0.15+0.25)*2*1)</f>
        <v>0.8</v>
      </c>
      <c r="H379" s="462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457">
        <f>((0.15+0.3)*2*1)</f>
        <v>0.89999999999999991</v>
      </c>
      <c r="H380" s="462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457">
        <f>0.8*327.43</f>
        <v>261.94400000000002</v>
      </c>
      <c r="H385" s="458"/>
      <c r="I385" s="459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457">
        <f>0.6*357.5</f>
        <v>214.5</v>
      </c>
      <c r="H387" s="458"/>
      <c r="I387" s="459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419">
        <f>0.4*39.1</f>
        <v>15.64</v>
      </c>
      <c r="H389" s="420"/>
      <c r="I389" s="421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6" customFormat="1" ht="22.9" customHeight="1" x14ac:dyDescent="0.25">
      <c r="B391" s="368"/>
      <c r="C391" s="369"/>
      <c r="D391" s="370" t="s">
        <v>953</v>
      </c>
      <c r="E391" s="371"/>
      <c r="F391" s="372">
        <v>1</v>
      </c>
      <c r="G391" s="505">
        <f>0.6* 692.8</f>
        <v>415.67999999999995</v>
      </c>
      <c r="H391" s="506"/>
      <c r="I391" s="507"/>
      <c r="J391" s="373"/>
      <c r="K391" s="374">
        <f>F391*G391</f>
        <v>415.67999999999995</v>
      </c>
      <c r="L391" s="374"/>
      <c r="M391" s="374"/>
      <c r="N391" s="375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6" customFormat="1" ht="19.899999999999999" customHeight="1" x14ac:dyDescent="0.25">
      <c r="B393" s="368"/>
      <c r="C393" s="369"/>
      <c r="D393" s="370" t="s">
        <v>953</v>
      </c>
      <c r="E393" s="371"/>
      <c r="F393" s="377">
        <v>1</v>
      </c>
      <c r="G393" s="505">
        <f>0.6* 95</f>
        <v>57</v>
      </c>
      <c r="H393" s="506"/>
      <c r="I393" s="507"/>
      <c r="J393" s="373"/>
      <c r="K393" s="374">
        <f>F393*G393</f>
        <v>57</v>
      </c>
      <c r="L393" s="374"/>
      <c r="M393" s="374"/>
      <c r="N393" s="375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457">
        <v>130.5</v>
      </c>
      <c r="H395" s="458"/>
      <c r="I395" s="459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457">
        <v>157.6</v>
      </c>
      <c r="H397" s="458"/>
      <c r="I397" s="459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457">
        <v>259</v>
      </c>
      <c r="H399" s="458"/>
      <c r="I399" s="459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01">
        <f>0.8*21.7</f>
        <v>17.36</v>
      </c>
      <c r="H401" s="501"/>
      <c r="I401" s="502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00">
        <v>2.04</v>
      </c>
      <c r="H402" s="501"/>
      <c r="I402" s="502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457">
        <f>K400</f>
        <v>19.399999999999999</v>
      </c>
      <c r="H404" s="458"/>
      <c r="I404" s="459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457">
        <v>217.7</v>
      </c>
      <c r="H406" s="458"/>
      <c r="I406" s="459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457">
        <v>154.80000000000001</v>
      </c>
      <c r="H408" s="458"/>
      <c r="I408" s="459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457">
        <f>0.3*997.11</f>
        <v>299.13299999999998</v>
      </c>
      <c r="H411" s="458"/>
      <c r="I411" s="459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419">
        <v>150</v>
      </c>
      <c r="H414" s="420"/>
      <c r="I414" s="421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420"/>
      <c r="H419" s="420"/>
      <c r="I419" s="421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6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419">
        <f>65.42</f>
        <v>65.42</v>
      </c>
      <c r="H421" s="422"/>
      <c r="I421" s="105">
        <v>3.1</v>
      </c>
      <c r="J421" s="99"/>
      <c r="K421" s="356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497" t="s">
        <v>836</v>
      </c>
      <c r="H425" s="498"/>
      <c r="I425" s="499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966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v>45453</v>
      </c>
      <c r="C8" s="449"/>
      <c r="D8" s="23" t="s">
        <v>957</v>
      </c>
      <c r="E8" s="450">
        <f>'BOLETIM DE MEDIÇÃO 08'!Y196</f>
        <v>70347.038280000008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955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tabSelected="1" view="pageBreakPreview" topLeftCell="A43" zoomScale="60" zoomScaleNormal="70" zoomScalePageLayoutView="47" workbookViewId="0">
      <selection activeCell="Y3" sqref="Y3:Z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993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f>'BOLETIM DE MEDIÇÃO 08'!B8:C8</f>
        <v>45555</v>
      </c>
      <c r="C8" s="449"/>
      <c r="D8" s="23" t="str">
        <f>'BOLETIM DE MEDIÇÃO 08'!D8</f>
        <v>19/08/2024 a 20/09/2024</v>
      </c>
      <c r="E8" s="450">
        <f>'BOLETIM DE MEDIÇÃO 08'!E8</f>
        <v>68231.630000000019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988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34" t="s">
        <v>985</v>
      </c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6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467"/>
      <c r="Z3" s="437"/>
    </row>
    <row r="4" spans="2:26" ht="16.5" x14ac:dyDescent="0.25">
      <c r="B4" s="440" t="s">
        <v>542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  <c r="N4" s="441"/>
      <c r="O4" s="16" t="s">
        <v>544</v>
      </c>
      <c r="P4" s="80" t="s">
        <v>555</v>
      </c>
      <c r="Q4" s="442">
        <v>1240378.43</v>
      </c>
      <c r="R4" s="443"/>
      <c r="S4" s="443"/>
      <c r="T4" s="443"/>
      <c r="U4" s="443"/>
      <c r="V4" s="443"/>
      <c r="W4" s="443"/>
      <c r="X4" s="443"/>
      <c r="Y4" s="468"/>
      <c r="Z4" s="438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468"/>
      <c r="Z5" s="438"/>
    </row>
    <row r="6" spans="2:26" ht="16.5" x14ac:dyDescent="0.25">
      <c r="B6" s="440" t="s">
        <v>518</v>
      </c>
      <c r="C6" s="441"/>
      <c r="D6" s="444"/>
      <c r="E6" s="445" t="s">
        <v>519</v>
      </c>
      <c r="F6" s="441"/>
      <c r="G6" s="441"/>
      <c r="H6" s="441"/>
      <c r="I6" s="441"/>
      <c r="J6" s="441"/>
      <c r="K6" s="441"/>
      <c r="L6" s="441"/>
      <c r="M6" s="441"/>
      <c r="N6" s="441"/>
      <c r="O6" s="446" t="s">
        <v>592</v>
      </c>
      <c r="P6" s="447"/>
      <c r="Q6" s="447"/>
      <c r="R6" s="447"/>
      <c r="S6" s="447"/>
      <c r="T6" s="447"/>
      <c r="U6" s="447"/>
      <c r="V6" s="447"/>
      <c r="W6" s="447"/>
      <c r="X6" s="447"/>
      <c r="Y6" s="468"/>
      <c r="Z6" s="438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468"/>
      <c r="Z7" s="438"/>
    </row>
    <row r="8" spans="2:26" ht="17.25" thickBot="1" x14ac:dyDescent="0.3">
      <c r="B8" s="448">
        <f>'BOLETIM DE MEDIÇÃO 08'!B8:C8</f>
        <v>45555</v>
      </c>
      <c r="C8" s="449"/>
      <c r="D8" s="23" t="str">
        <f>'BOLETIM DE MEDIÇÃO 08'!D8</f>
        <v>19/08/2024 a 20/09/2024</v>
      </c>
      <c r="E8" s="450">
        <f>'BOLETIM DE MEDIÇÃO 08'!E8</f>
        <v>68231.630000000019</v>
      </c>
      <c r="F8" s="451"/>
      <c r="G8" s="452"/>
      <c r="H8" s="453">
        <f>'BOLETIM DE MEDIÇÃO 05'!H8</f>
        <v>274592.67562904983</v>
      </c>
      <c r="I8" s="454"/>
      <c r="J8" s="454"/>
      <c r="K8" s="454"/>
      <c r="L8" s="454"/>
      <c r="M8" s="454"/>
      <c r="N8" s="454"/>
      <c r="O8" s="454"/>
      <c r="P8" s="470"/>
      <c r="Q8" s="455" t="s">
        <v>965</v>
      </c>
      <c r="R8" s="456"/>
      <c r="S8" s="456"/>
      <c r="T8" s="456"/>
      <c r="U8" s="456"/>
      <c r="V8" s="456"/>
      <c r="W8" s="456"/>
      <c r="X8" s="456"/>
      <c r="Y8" s="469"/>
      <c r="Z8" s="439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465" t="s">
        <v>565</v>
      </c>
      <c r="C10" s="466"/>
      <c r="D10" s="466"/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</row>
    <row r="11" spans="2:26" ht="10.9" customHeight="1" thickBot="1" x14ac:dyDescent="0.3">
      <c r="B11" s="466"/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527"/>
      <c r="B1" s="527"/>
      <c r="C1" s="527"/>
      <c r="D1" s="527"/>
      <c r="E1" s="527"/>
      <c r="F1" s="527"/>
      <c r="G1" s="527"/>
      <c r="H1" s="527"/>
    </row>
    <row r="2" spans="1:8" ht="10.15" customHeight="1" x14ac:dyDescent="0.25">
      <c r="A2" s="1"/>
      <c r="B2" s="528" t="s">
        <v>0</v>
      </c>
      <c r="C2" s="528"/>
      <c r="D2" s="528"/>
      <c r="E2" s="528"/>
      <c r="F2" s="528"/>
      <c r="G2" s="528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529" t="s">
        <v>10</v>
      </c>
      <c r="C4" s="529"/>
      <c r="D4" s="529"/>
      <c r="E4" s="529"/>
      <c r="F4" s="529"/>
      <c r="G4" s="529"/>
      <c r="H4" s="4">
        <v>1240378.43</v>
      </c>
    </row>
    <row r="5" spans="1:8" ht="19.899999999999999" customHeight="1" x14ac:dyDescent="0.25">
      <c r="A5" s="3" t="s">
        <v>11</v>
      </c>
      <c r="B5" s="529" t="s">
        <v>12</v>
      </c>
      <c r="C5" s="529"/>
      <c r="D5" s="529"/>
      <c r="E5" s="529"/>
      <c r="F5" s="529"/>
      <c r="G5" s="529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529" t="s">
        <v>33</v>
      </c>
      <c r="C12" s="529"/>
      <c r="D12" s="529"/>
      <c r="E12" s="529"/>
      <c r="F12" s="529"/>
      <c r="G12" s="529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529" t="s">
        <v>49</v>
      </c>
      <c r="C17" s="529"/>
      <c r="D17" s="529"/>
      <c r="E17" s="529"/>
      <c r="F17" s="529"/>
      <c r="G17" s="529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529" t="s">
        <v>91</v>
      </c>
      <c r="C31" s="529"/>
      <c r="D31" s="529"/>
      <c r="E31" s="529"/>
      <c r="F31" s="529"/>
      <c r="G31" s="529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529" t="s">
        <v>134</v>
      </c>
      <c r="C47" s="529"/>
      <c r="D47" s="529"/>
      <c r="E47" s="529"/>
      <c r="F47" s="529"/>
      <c r="G47" s="529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529" t="s">
        <v>148</v>
      </c>
      <c r="C52" s="529"/>
      <c r="D52" s="529"/>
      <c r="E52" s="529"/>
      <c r="F52" s="529"/>
      <c r="G52" s="529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529" t="s">
        <v>162</v>
      </c>
      <c r="C57" s="529"/>
      <c r="D57" s="529"/>
      <c r="E57" s="529"/>
      <c r="F57" s="529"/>
      <c r="G57" s="529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9.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529" t="s">
        <v>189</v>
      </c>
      <c r="C66" s="529"/>
      <c r="D66" s="529"/>
      <c r="E66" s="529"/>
      <c r="F66" s="529"/>
      <c r="G66" s="529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529" t="s">
        <v>209</v>
      </c>
      <c r="C73" s="529"/>
      <c r="D73" s="529"/>
      <c r="E73" s="529"/>
      <c r="F73" s="529"/>
      <c r="G73" s="529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529" t="s">
        <v>229</v>
      </c>
      <c r="C81" s="529"/>
      <c r="D81" s="529"/>
      <c r="E81" s="529"/>
      <c r="F81" s="529"/>
      <c r="G81" s="529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24.7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529" t="s">
        <v>313</v>
      </c>
      <c r="C110" s="529"/>
      <c r="D110" s="529"/>
      <c r="E110" s="529"/>
      <c r="F110" s="529"/>
      <c r="G110" s="529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529" t="s">
        <v>339</v>
      </c>
      <c r="C119" s="529"/>
      <c r="D119" s="529"/>
      <c r="E119" s="529"/>
      <c r="F119" s="529"/>
      <c r="G119" s="529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529" t="s">
        <v>368</v>
      </c>
      <c r="C129" s="529"/>
      <c r="D129" s="529"/>
      <c r="E129" s="529"/>
      <c r="F129" s="529"/>
      <c r="G129" s="529"/>
      <c r="H129" s="4">
        <v>36628.07</v>
      </c>
    </row>
    <row r="130" spans="1:8" ht="49.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9.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24.7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24.7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24.7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529" t="s">
        <v>436</v>
      </c>
      <c r="C152" s="529"/>
      <c r="D152" s="529"/>
      <c r="E152" s="529"/>
      <c r="F152" s="529"/>
      <c r="G152" s="529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9.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529" t="s">
        <v>474</v>
      </c>
      <c r="C165" s="529"/>
      <c r="D165" s="529"/>
      <c r="E165" s="529"/>
      <c r="F165" s="529"/>
      <c r="G165" s="529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529" t="s">
        <v>501</v>
      </c>
      <c r="C185" s="529"/>
      <c r="D185" s="529"/>
      <c r="E185" s="529"/>
      <c r="F185" s="529"/>
      <c r="G185" s="529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530" t="s">
        <v>508</v>
      </c>
      <c r="G188" s="530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530" t="s">
        <v>509</v>
      </c>
      <c r="G189" s="530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530" t="s">
        <v>510</v>
      </c>
      <c r="G190" s="530"/>
      <c r="H190" s="4">
        <v>1240378.43</v>
      </c>
    </row>
  </sheetData>
  <mergeCells count="22">
    <mergeCell ref="F189:G189"/>
    <mergeCell ref="F190:G190"/>
    <mergeCell ref="B129:G129"/>
    <mergeCell ref="B152:G152"/>
    <mergeCell ref="B165:G165"/>
    <mergeCell ref="B185:G185"/>
    <mergeCell ref="F188:G188"/>
    <mergeCell ref="B66:G66"/>
    <mergeCell ref="B73:G73"/>
    <mergeCell ref="B81:G81"/>
    <mergeCell ref="B110:G110"/>
    <mergeCell ref="B119:G119"/>
    <mergeCell ref="B17:G17"/>
    <mergeCell ref="B31:G31"/>
    <mergeCell ref="B47:G47"/>
    <mergeCell ref="B52:G52"/>
    <mergeCell ref="B57:G57"/>
    <mergeCell ref="A1:H1"/>
    <mergeCell ref="B2:G2"/>
    <mergeCell ref="B4:G4"/>
    <mergeCell ref="B5:G5"/>
    <mergeCell ref="B12:G12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19</vt:i4>
      </vt:variant>
      <vt:variant>
        <vt:lpstr>Intervalos Nomeados</vt:lpstr>
      </vt:variant>
      <vt:variant>
        <vt:i4>19</vt:i4>
      </vt:variant>
    </vt:vector>
  </HeadingPairs>
  <TitlesOfParts>
    <vt:vector size="38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08</vt:lpstr>
      <vt:lpstr>MEMORIAL DE CALCULO 08</vt:lpstr>
      <vt:lpstr>MEMORIAL DE CALCULO 07</vt:lpstr>
      <vt:lpstr>MEMORIAL DE CALCULO 06</vt:lpstr>
      <vt:lpstr>MEMORIAL FOTOGRÁFICO 06</vt:lpstr>
      <vt:lpstr>MEMORIAL FOTOGRÁFICO 08</vt:lpstr>
      <vt:lpstr>MEMORIAL FOTOGRÁFICO 07</vt:lpstr>
      <vt:lpstr>orcamento</vt:lpstr>
      <vt:lpstr>'BOLETIM DE MEDIÇÃO 05'!Area_de_impressao</vt:lpstr>
      <vt:lpstr>'BOLETIM DE MEDIÇÃO 08'!Area_de_impressao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2024-10-30T13:08:40Z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