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comments10.xml" ContentType="application/vnd.openxmlformats-officedocument.spreadsheetml.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2D0335D7-93B2-4770-83DA-3EEB6C88FA90}" xr6:coauthVersionLast="47" xr6:coauthVersionMax="47" xr10:uidLastSave="{00000000-0000-0000-0000-000000000000}"/>
  <bookViews>
    <workbookView xWindow="0" yWindow="0" windowWidth="20490" windowHeight="10920" firstSheet="11" activeTab="20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10" sheetId="15" r:id="rId12"/>
    <sheet name="MEMORIAL DE CÁLCULO 10" sheetId="26" r:id="rId13"/>
    <sheet name="MEMORIAL DE CALCULO 10" sheetId="24" state="hidden" r:id="rId14"/>
    <sheet name="MEMORIAL DE CALCULO 09)" sheetId="22" state="hidden" r:id="rId15"/>
    <sheet name="MEMORIAL DE CALCULO 08" sheetId="20" state="hidden" r:id="rId16"/>
    <sheet name="MEMORIAL DE CALCULO 07" sheetId="18" state="hidden" r:id="rId17"/>
    <sheet name="MEMORIAL DE CALCULO 06" sheetId="16" state="hidden" r:id="rId18"/>
    <sheet name="MEMORIAL FOTOGRÁFICO 06" sheetId="17" state="hidden" r:id="rId19"/>
    <sheet name="MEMORIAL FOTOGRÁFICO 09" sheetId="23" state="hidden" r:id="rId20"/>
    <sheet name="MEMORIAL FOTOGRÁFICO 10" sheetId="25" r:id="rId21"/>
    <sheet name="MEMORIAL FOTOGRÁFICO 08" sheetId="21" state="hidden" r:id="rId22"/>
    <sheet name="MEMORIAL FOTOGRÁFICO 07" sheetId="19" state="hidden" r:id="rId23"/>
    <sheet name="orcamento" sheetId="1" state="hidden" r:id="rId24"/>
  </sheets>
  <externalReferences>
    <externalReference r:id="rId25"/>
  </externalReferences>
  <definedNames>
    <definedName name="_xlnm._FilterDatabase" localSheetId="11" hidden="1">'BOLETIM DE MEDIÇÃO 10'!$B$12:$AF$212</definedName>
    <definedName name="_xlnm.Print_Area" localSheetId="7">'BOLETIM DE MEDIÇÃO 05'!$B$2:$Z$198</definedName>
    <definedName name="_xlnm.Print_Area" localSheetId="11">'BOLETIM DE MEDIÇÃO 10'!$B$2:$AF$217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7">'MEMORIAL DE CALCULO 06'!$B$2:$N$432</definedName>
    <definedName name="_xlnm.Print_Area" localSheetId="16">'MEMORIAL DE CALCULO 07'!$B$2:$N$546</definedName>
    <definedName name="_xlnm.Print_Area" localSheetId="15">'MEMORIAL DE CALCULO 08'!$B$2:$N$547</definedName>
    <definedName name="_xlnm.Print_Area" localSheetId="14">'MEMORIAL DE CALCULO 09)'!$B$2:$N$549</definedName>
    <definedName name="_xlnm.Print_Area" localSheetId="13">'MEMORIAL DE CALCULO 10'!$B$2:$N$581</definedName>
    <definedName name="_xlnm.Print_Area" localSheetId="12">'MEMORIAL DE CÁLCULO 10'!$B$2:$N$995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8">'MEMORIAL FOTOGRÁFICO 06'!$B$2:$Z$110</definedName>
    <definedName name="_xlnm.Print_Area" localSheetId="22">'MEMORIAL FOTOGRÁFICO 07'!$B$2:$Z$62</definedName>
    <definedName name="_xlnm.Print_Area" localSheetId="21">'MEMORIAL FOTOGRÁFICO 08'!$B$2:$Z$62</definedName>
    <definedName name="_xlnm.Print_Area" localSheetId="19">'MEMORIAL FOTOGRÁFICO 09'!$B$2:$Z$62</definedName>
    <definedName name="_xlnm.Print_Area" localSheetId="20">'MEMORIAL FOTOGRÁFICO 10'!$B$1:$Z$114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7" i="26" l="1"/>
  <c r="K74" i="26" l="1"/>
  <c r="M898" i="26"/>
  <c r="M868" i="26"/>
  <c r="M859" i="26"/>
  <c r="M815" i="26"/>
  <c r="M777" i="26"/>
  <c r="M737" i="26"/>
  <c r="M735" i="26"/>
  <c r="M694" i="26"/>
  <c r="M546" i="26"/>
  <c r="M489" i="26"/>
  <c r="M482" i="26"/>
  <c r="M477" i="26"/>
  <c r="M473" i="26"/>
  <c r="M462" i="26"/>
  <c r="M455" i="26"/>
  <c r="M452" i="26"/>
  <c r="M440" i="26"/>
  <c r="M433" i="26"/>
  <c r="M426" i="26"/>
  <c r="M417" i="26"/>
  <c r="M411" i="26"/>
  <c r="M399" i="26"/>
  <c r="M393" i="26"/>
  <c r="M387" i="26"/>
  <c r="M380" i="26"/>
  <c r="M371" i="26"/>
  <c r="M323" i="26"/>
  <c r="M312" i="26"/>
  <c r="M284" i="26"/>
  <c r="M242" i="26"/>
  <c r="M237" i="26"/>
  <c r="M185" i="26"/>
  <c r="M174" i="26"/>
  <c r="M74" i="26"/>
  <c r="K1026" i="26"/>
  <c r="K1025" i="26"/>
  <c r="G1024" i="26"/>
  <c r="K1024" i="26" s="1"/>
  <c r="K1023" i="26"/>
  <c r="H1022" i="26"/>
  <c r="K1022" i="26" s="1"/>
  <c r="G1021" i="26"/>
  <c r="K1021" i="26" s="1"/>
  <c r="K1020" i="26"/>
  <c r="G1019" i="26"/>
  <c r="K1019" i="26" s="1"/>
  <c r="K1018" i="26"/>
  <c r="G1017" i="26"/>
  <c r="K1017" i="26" s="1"/>
  <c r="K1016" i="26"/>
  <c r="G1015" i="26"/>
  <c r="K1015" i="26" s="1"/>
  <c r="K1014" i="26"/>
  <c r="K1010" i="26"/>
  <c r="K1009" i="26"/>
  <c r="G1008" i="26"/>
  <c r="K1008" i="26" s="1"/>
  <c r="K1007" i="26"/>
  <c r="H1006" i="26"/>
  <c r="K1006" i="26" s="1"/>
  <c r="G1005" i="26"/>
  <c r="K1005" i="26" s="1"/>
  <c r="K1004" i="26"/>
  <c r="G1003" i="26"/>
  <c r="K1003" i="26" s="1"/>
  <c r="K1002" i="26"/>
  <c r="G1001" i="26"/>
  <c r="K1001" i="26" s="1"/>
  <c r="K1000" i="26"/>
  <c r="G999" i="26"/>
  <c r="K999" i="26" s="1"/>
  <c r="K998" i="26"/>
  <c r="K994" i="26"/>
  <c r="G993" i="26"/>
  <c r="K993" i="26" s="1"/>
  <c r="K992" i="26"/>
  <c r="K991" i="26"/>
  <c r="H991" i="26"/>
  <c r="G990" i="26"/>
  <c r="K990" i="26" s="1"/>
  <c r="K989" i="26"/>
  <c r="G988" i="26"/>
  <c r="K988" i="26" s="1"/>
  <c r="K987" i="26"/>
  <c r="G986" i="26"/>
  <c r="K986" i="26" s="1"/>
  <c r="K985" i="26"/>
  <c r="G984" i="26"/>
  <c r="K984" i="26" s="1"/>
  <c r="K983" i="26"/>
  <c r="G979" i="26"/>
  <c r="K979" i="26" s="1"/>
  <c r="K978" i="26"/>
  <c r="H977" i="26"/>
  <c r="K977" i="26" s="1"/>
  <c r="G976" i="26"/>
  <c r="K976" i="26" s="1"/>
  <c r="K975" i="26"/>
  <c r="G974" i="26"/>
  <c r="K974" i="26" s="1"/>
  <c r="K973" i="26"/>
  <c r="G972" i="26"/>
  <c r="K972" i="26" s="1"/>
  <c r="K971" i="26"/>
  <c r="G970" i="26"/>
  <c r="K970" i="26" s="1"/>
  <c r="K969" i="26"/>
  <c r="G965" i="26"/>
  <c r="K965" i="26" s="1"/>
  <c r="K963" i="26" s="1"/>
  <c r="G961" i="26"/>
  <c r="K961" i="26" s="1"/>
  <c r="K959" i="26" s="1"/>
  <c r="K957" i="26"/>
  <c r="K955" i="26" s="1"/>
  <c r="K953" i="26"/>
  <c r="K951" i="26"/>
  <c r="L951" i="26" s="1"/>
  <c r="N951" i="26" s="1"/>
  <c r="K948" i="26"/>
  <c r="K946" i="26" s="1"/>
  <c r="K944" i="26"/>
  <c r="K942" i="26" s="1"/>
  <c r="K940" i="26"/>
  <c r="K938" i="26" s="1"/>
  <c r="G936" i="26"/>
  <c r="K936" i="26" s="1"/>
  <c r="G934" i="26"/>
  <c r="K934" i="26" s="1"/>
  <c r="I931" i="26"/>
  <c r="K931" i="26" s="1"/>
  <c r="I930" i="26"/>
  <c r="K930" i="26" s="1"/>
  <c r="I929" i="26"/>
  <c r="K929" i="26" s="1"/>
  <c r="I928" i="26"/>
  <c r="K928" i="26" s="1"/>
  <c r="I927" i="26"/>
  <c r="K927" i="26" s="1"/>
  <c r="I926" i="26"/>
  <c r="K926" i="26" s="1"/>
  <c r="I925" i="26"/>
  <c r="K925" i="26" s="1"/>
  <c r="I924" i="26"/>
  <c r="K924" i="26" s="1"/>
  <c r="I923" i="26"/>
  <c r="K923" i="26" s="1"/>
  <c r="I922" i="26"/>
  <c r="K922" i="26" s="1"/>
  <c r="I921" i="26"/>
  <c r="K921" i="26" s="1"/>
  <c r="I920" i="26"/>
  <c r="G920" i="26"/>
  <c r="I919" i="26"/>
  <c r="K919" i="26" s="1"/>
  <c r="I918" i="26"/>
  <c r="K918" i="26" s="1"/>
  <c r="I917" i="26"/>
  <c r="K917" i="26" s="1"/>
  <c r="I916" i="26"/>
  <c r="K916" i="26" s="1"/>
  <c r="I915" i="26"/>
  <c r="K915" i="26" s="1"/>
  <c r="I914" i="26"/>
  <c r="K914" i="26" s="1"/>
  <c r="I913" i="26"/>
  <c r="K913" i="26" s="1"/>
  <c r="I912" i="26"/>
  <c r="K912" i="26" s="1"/>
  <c r="I911" i="26"/>
  <c r="K911" i="26" s="1"/>
  <c r="I910" i="26"/>
  <c r="K910" i="26" s="1"/>
  <c r="I909" i="26"/>
  <c r="K909" i="26" s="1"/>
  <c r="I908" i="26"/>
  <c r="K908" i="26" s="1"/>
  <c r="I907" i="26"/>
  <c r="K907" i="26" s="1"/>
  <c r="I906" i="26"/>
  <c r="K906" i="26" s="1"/>
  <c r="I905" i="26"/>
  <c r="K905" i="26" s="1"/>
  <c r="I904" i="26"/>
  <c r="K904" i="26" s="1"/>
  <c r="I903" i="26"/>
  <c r="K903" i="26" s="1"/>
  <c r="I902" i="26"/>
  <c r="G902" i="26"/>
  <c r="G932" i="26" s="1"/>
  <c r="K932" i="26" s="1"/>
  <c r="I901" i="26"/>
  <c r="K901" i="26" s="1"/>
  <c r="I900" i="26"/>
  <c r="K900" i="26" s="1"/>
  <c r="I893" i="26"/>
  <c r="H893" i="26"/>
  <c r="I892" i="26"/>
  <c r="H892" i="26"/>
  <c r="I891" i="26"/>
  <c r="H891" i="26"/>
  <c r="I890" i="26"/>
  <c r="K890" i="26" s="1"/>
  <c r="H890" i="26"/>
  <c r="I889" i="26"/>
  <c r="H889" i="26"/>
  <c r="K889" i="26" s="1"/>
  <c r="K887" i="26"/>
  <c r="I884" i="26"/>
  <c r="H884" i="26"/>
  <c r="I883" i="26"/>
  <c r="H883" i="26"/>
  <c r="I882" i="26"/>
  <c r="H882" i="26"/>
  <c r="I881" i="26"/>
  <c r="H881" i="26"/>
  <c r="K881" i="26" s="1"/>
  <c r="I880" i="26"/>
  <c r="H880" i="26"/>
  <c r="K878" i="26"/>
  <c r="I875" i="26"/>
  <c r="H875" i="26"/>
  <c r="I874" i="26"/>
  <c r="H874" i="26"/>
  <c r="I873" i="26"/>
  <c r="H873" i="26"/>
  <c r="I872" i="26"/>
  <c r="H872" i="26"/>
  <c r="I871" i="26"/>
  <c r="H871" i="26"/>
  <c r="K869" i="26"/>
  <c r="I866" i="26"/>
  <c r="H866" i="26"/>
  <c r="K866" i="26" s="1"/>
  <c r="I865" i="26"/>
  <c r="H865" i="26"/>
  <c r="I864" i="26"/>
  <c r="H864" i="26"/>
  <c r="I863" i="26"/>
  <c r="H863" i="26"/>
  <c r="I862" i="26"/>
  <c r="H862" i="26"/>
  <c r="K860" i="26"/>
  <c r="K858" i="26"/>
  <c r="K857" i="26" s="1"/>
  <c r="K856" i="26"/>
  <c r="I853" i="26"/>
  <c r="K853" i="26" s="1"/>
  <c r="I852" i="26"/>
  <c r="K852" i="26" s="1"/>
  <c r="I851" i="26"/>
  <c r="K851" i="26" s="1"/>
  <c r="I850" i="26"/>
  <c r="K850" i="26" s="1"/>
  <c r="I849" i="26"/>
  <c r="K849" i="26" s="1"/>
  <c r="I848" i="26"/>
  <c r="K848" i="26" s="1"/>
  <c r="I847" i="26"/>
  <c r="K847" i="26" s="1"/>
  <c r="I846" i="26"/>
  <c r="K846" i="26" s="1"/>
  <c r="I845" i="26"/>
  <c r="K845" i="26" s="1"/>
  <c r="I844" i="26"/>
  <c r="K844" i="26" s="1"/>
  <c r="I843" i="26"/>
  <c r="K843" i="26" s="1"/>
  <c r="I842" i="26"/>
  <c r="K842" i="26" s="1"/>
  <c r="I841" i="26"/>
  <c r="K841" i="26" s="1"/>
  <c r="K840" i="26"/>
  <c r="I840" i="26"/>
  <c r="I839" i="26"/>
  <c r="K839" i="26" s="1"/>
  <c r="I838" i="26"/>
  <c r="K838" i="26" s="1"/>
  <c r="I837" i="26"/>
  <c r="K837" i="26" s="1"/>
  <c r="I836" i="26"/>
  <c r="K836" i="26" s="1"/>
  <c r="I835" i="26"/>
  <c r="K835" i="26" s="1"/>
  <c r="I834" i="26"/>
  <c r="K834" i="26" s="1"/>
  <c r="I833" i="26"/>
  <c r="K833" i="26" s="1"/>
  <c r="I832" i="26"/>
  <c r="K832" i="26" s="1"/>
  <c r="I831" i="26"/>
  <c r="K831" i="26" s="1"/>
  <c r="I830" i="26"/>
  <c r="K830" i="26" s="1"/>
  <c r="I829" i="26"/>
  <c r="K829" i="26" s="1"/>
  <c r="I828" i="26"/>
  <c r="K828" i="26" s="1"/>
  <c r="I827" i="26"/>
  <c r="K827" i="26" s="1"/>
  <c r="I826" i="26"/>
  <c r="K826" i="26" s="1"/>
  <c r="I825" i="26"/>
  <c r="K825" i="26" s="1"/>
  <c r="I824" i="26"/>
  <c r="K824" i="26" s="1"/>
  <c r="I823" i="26"/>
  <c r="K823" i="26" s="1"/>
  <c r="I822" i="26"/>
  <c r="K822" i="26" s="1"/>
  <c r="K821" i="26"/>
  <c r="K819" i="26"/>
  <c r="K818" i="26"/>
  <c r="I813" i="26"/>
  <c r="K813" i="26" s="1"/>
  <c r="I812" i="26"/>
  <c r="K812" i="26" s="1"/>
  <c r="I811" i="26"/>
  <c r="K811" i="26" s="1"/>
  <c r="I810" i="26"/>
  <c r="K810" i="26" s="1"/>
  <c r="I809" i="26"/>
  <c r="K809" i="26" s="1"/>
  <c r="I808" i="26"/>
  <c r="K808" i="26" s="1"/>
  <c r="I807" i="26"/>
  <c r="K807" i="26" s="1"/>
  <c r="K806" i="26"/>
  <c r="I806" i="26"/>
  <c r="I805" i="26"/>
  <c r="K805" i="26" s="1"/>
  <c r="I804" i="26"/>
  <c r="K804" i="26" s="1"/>
  <c r="I803" i="26"/>
  <c r="K803" i="26" s="1"/>
  <c r="I802" i="26"/>
  <c r="K802" i="26" s="1"/>
  <c r="I801" i="26"/>
  <c r="K801" i="26" s="1"/>
  <c r="I800" i="26"/>
  <c r="K800" i="26" s="1"/>
  <c r="I799" i="26"/>
  <c r="K799" i="26" s="1"/>
  <c r="I798" i="26"/>
  <c r="K798" i="26" s="1"/>
  <c r="I797" i="26"/>
  <c r="K797" i="26" s="1"/>
  <c r="I796" i="26"/>
  <c r="K796" i="26" s="1"/>
  <c r="I795" i="26"/>
  <c r="K795" i="26" s="1"/>
  <c r="I794" i="26"/>
  <c r="K794" i="26" s="1"/>
  <c r="I793" i="26"/>
  <c r="K793" i="26" s="1"/>
  <c r="I792" i="26"/>
  <c r="K792" i="26" s="1"/>
  <c r="I791" i="26"/>
  <c r="K791" i="26" s="1"/>
  <c r="I790" i="26"/>
  <c r="K790" i="26" s="1"/>
  <c r="I789" i="26"/>
  <c r="K789" i="26" s="1"/>
  <c r="I788" i="26"/>
  <c r="K788" i="26" s="1"/>
  <c r="I787" i="26"/>
  <c r="K787" i="26" s="1"/>
  <c r="I786" i="26"/>
  <c r="K786" i="26" s="1"/>
  <c r="I785" i="26"/>
  <c r="K785" i="26" s="1"/>
  <c r="I784" i="26"/>
  <c r="K784" i="26" s="1"/>
  <c r="I783" i="26"/>
  <c r="K783" i="26" s="1"/>
  <c r="I782" i="26"/>
  <c r="K782" i="26" s="1"/>
  <c r="K781" i="26"/>
  <c r="K779" i="26"/>
  <c r="K775" i="26"/>
  <c r="I773" i="26"/>
  <c r="K773" i="26" s="1"/>
  <c r="I772" i="26"/>
  <c r="K772" i="26" s="1"/>
  <c r="I771" i="26"/>
  <c r="K771" i="26" s="1"/>
  <c r="I770" i="26"/>
  <c r="K770" i="26" s="1"/>
  <c r="I769" i="26"/>
  <c r="K769" i="26" s="1"/>
  <c r="K768" i="26"/>
  <c r="I768" i="26"/>
  <c r="I767" i="26"/>
  <c r="K767" i="26" s="1"/>
  <c r="I766" i="26"/>
  <c r="K766" i="26" s="1"/>
  <c r="I765" i="26"/>
  <c r="K765" i="26" s="1"/>
  <c r="I764" i="26"/>
  <c r="K764" i="26" s="1"/>
  <c r="I763" i="26"/>
  <c r="K763" i="26" s="1"/>
  <c r="I762" i="26"/>
  <c r="K762" i="26" s="1"/>
  <c r="I761" i="26"/>
  <c r="K761" i="26" s="1"/>
  <c r="I760" i="26"/>
  <c r="K760" i="26" s="1"/>
  <c r="I759" i="26"/>
  <c r="K759" i="26" s="1"/>
  <c r="I758" i="26"/>
  <c r="K758" i="26" s="1"/>
  <c r="I757" i="26"/>
  <c r="K757" i="26" s="1"/>
  <c r="I756" i="26"/>
  <c r="K756" i="26" s="1"/>
  <c r="I755" i="26"/>
  <c r="K755" i="26" s="1"/>
  <c r="I754" i="26"/>
  <c r="K754" i="26" s="1"/>
  <c r="I753" i="26"/>
  <c r="K753" i="26" s="1"/>
  <c r="I752" i="26"/>
  <c r="K752" i="26" s="1"/>
  <c r="I751" i="26"/>
  <c r="K751" i="26" s="1"/>
  <c r="I750" i="26"/>
  <c r="K750" i="26" s="1"/>
  <c r="I749" i="26"/>
  <c r="K749" i="26" s="1"/>
  <c r="I748" i="26"/>
  <c r="K748" i="26" s="1"/>
  <c r="I747" i="26"/>
  <c r="K747" i="26" s="1"/>
  <c r="I746" i="26"/>
  <c r="K746" i="26" s="1"/>
  <c r="I745" i="26"/>
  <c r="K745" i="26" s="1"/>
  <c r="I744" i="26"/>
  <c r="K744" i="26" s="1"/>
  <c r="I743" i="26"/>
  <c r="K743" i="26" s="1"/>
  <c r="I742" i="26"/>
  <c r="K742" i="26" s="1"/>
  <c r="K741" i="26"/>
  <c r="K739" i="26"/>
  <c r="K734" i="26"/>
  <c r="I732" i="26"/>
  <c r="K732" i="26" s="1"/>
  <c r="I731" i="26"/>
  <c r="K731" i="26" s="1"/>
  <c r="I730" i="26"/>
  <c r="K730" i="26" s="1"/>
  <c r="I729" i="26"/>
  <c r="K729" i="26" s="1"/>
  <c r="I728" i="26"/>
  <c r="K728" i="26" s="1"/>
  <c r="I727" i="26"/>
  <c r="K727" i="26" s="1"/>
  <c r="I726" i="26"/>
  <c r="K726" i="26" s="1"/>
  <c r="I725" i="26"/>
  <c r="K725" i="26" s="1"/>
  <c r="I724" i="26"/>
  <c r="K724" i="26" s="1"/>
  <c r="I723" i="26"/>
  <c r="K723" i="26" s="1"/>
  <c r="I722" i="26"/>
  <c r="K722" i="26" s="1"/>
  <c r="I721" i="26"/>
  <c r="K721" i="26" s="1"/>
  <c r="I720" i="26"/>
  <c r="K720" i="26" s="1"/>
  <c r="I719" i="26"/>
  <c r="K719" i="26" s="1"/>
  <c r="I718" i="26"/>
  <c r="K718" i="26" s="1"/>
  <c r="I717" i="26"/>
  <c r="K717" i="26" s="1"/>
  <c r="I716" i="26"/>
  <c r="K716" i="26" s="1"/>
  <c r="I715" i="26"/>
  <c r="K715" i="26" s="1"/>
  <c r="I714" i="26"/>
  <c r="K714" i="26" s="1"/>
  <c r="I713" i="26"/>
  <c r="K713" i="26" s="1"/>
  <c r="I712" i="26"/>
  <c r="K712" i="26" s="1"/>
  <c r="I711" i="26"/>
  <c r="K711" i="26" s="1"/>
  <c r="I710" i="26"/>
  <c r="K710" i="26" s="1"/>
  <c r="I709" i="26"/>
  <c r="K709" i="26" s="1"/>
  <c r="I708" i="26"/>
  <c r="K708" i="26" s="1"/>
  <c r="K707" i="26"/>
  <c r="I707" i="26"/>
  <c r="K706" i="26"/>
  <c r="I706" i="26"/>
  <c r="I705" i="26"/>
  <c r="K705" i="26" s="1"/>
  <c r="I704" i="26"/>
  <c r="K704" i="26" s="1"/>
  <c r="I703" i="26"/>
  <c r="K703" i="26" s="1"/>
  <c r="I702" i="26"/>
  <c r="K702" i="26" s="1"/>
  <c r="I701" i="26"/>
  <c r="K701" i="26" s="1"/>
  <c r="K700" i="26"/>
  <c r="K698" i="26"/>
  <c r="K697" i="26"/>
  <c r="K692" i="26"/>
  <c r="K691" i="26"/>
  <c r="K690" i="26"/>
  <c r="K687" i="26"/>
  <c r="K684" i="26"/>
  <c r="K683" i="26"/>
  <c r="K682" i="26"/>
  <c r="K680" i="26"/>
  <c r="K678" i="26"/>
  <c r="K677" i="26"/>
  <c r="K676" i="26"/>
  <c r="K675" i="26"/>
  <c r="K674" i="26"/>
  <c r="K673" i="26"/>
  <c r="K672" i="26"/>
  <c r="K671" i="26"/>
  <c r="K670" i="26"/>
  <c r="K669" i="26"/>
  <c r="K668" i="26"/>
  <c r="K667" i="26"/>
  <c r="K666" i="26"/>
  <c r="K665" i="26"/>
  <c r="K664" i="26"/>
  <c r="K663" i="26"/>
  <c r="K662" i="26"/>
  <c r="K661" i="26"/>
  <c r="K660" i="26"/>
  <c r="K659" i="26"/>
  <c r="K658" i="26"/>
  <c r="K657" i="26"/>
  <c r="K656" i="26"/>
  <c r="K655" i="26"/>
  <c r="K654" i="26"/>
  <c r="K653" i="26"/>
  <c r="K652" i="26"/>
  <c r="K651" i="26"/>
  <c r="K650" i="26"/>
  <c r="K649" i="26"/>
  <c r="K648" i="26"/>
  <c r="K647" i="26"/>
  <c r="K646" i="26"/>
  <c r="K645" i="26"/>
  <c r="K644" i="26"/>
  <c r="K643" i="26"/>
  <c r="K642" i="26"/>
  <c r="G639" i="26"/>
  <c r="K639" i="26" s="1"/>
  <c r="K638" i="26"/>
  <c r="K636" i="26"/>
  <c r="G633" i="26"/>
  <c r="K633" i="26" s="1"/>
  <c r="G632" i="26"/>
  <c r="K632" i="26" s="1"/>
  <c r="K631" i="26"/>
  <c r="K629" i="26"/>
  <c r="K628" i="26"/>
  <c r="K624" i="26"/>
  <c r="K619" i="26"/>
  <c r="G616" i="26"/>
  <c r="K616" i="26" s="1"/>
  <c r="G615" i="26"/>
  <c r="G625" i="26" s="1"/>
  <c r="K625" i="26" s="1"/>
  <c r="K614" i="26"/>
  <c r="K612" i="26"/>
  <c r="K611" i="26"/>
  <c r="K610" i="26"/>
  <c r="K609" i="26"/>
  <c r="K608" i="26"/>
  <c r="K607" i="26"/>
  <c r="K606" i="26"/>
  <c r="K604" i="26"/>
  <c r="K603" i="26"/>
  <c r="K602" i="26"/>
  <c r="G600" i="26"/>
  <c r="K600" i="26" s="1"/>
  <c r="K598" i="26"/>
  <c r="G596" i="26"/>
  <c r="K596" i="26" s="1"/>
  <c r="G594" i="26"/>
  <c r="K594" i="26" s="1"/>
  <c r="G591" i="26"/>
  <c r="K591" i="26" s="1"/>
  <c r="K589" i="26"/>
  <c r="G589" i="26"/>
  <c r="G587" i="26"/>
  <c r="K587" i="26" s="1"/>
  <c r="K585" i="26"/>
  <c r="K584" i="26"/>
  <c r="K583" i="26"/>
  <c r="K582" i="26"/>
  <c r="K581" i="26"/>
  <c r="K580" i="26"/>
  <c r="K579" i="26"/>
  <c r="K578" i="26"/>
  <c r="K577" i="26"/>
  <c r="K576" i="26"/>
  <c r="K575" i="26"/>
  <c r="K574" i="26"/>
  <c r="K573" i="26"/>
  <c r="K572" i="26"/>
  <c r="K570" i="26"/>
  <c r="K569" i="26"/>
  <c r="K568" i="26" s="1"/>
  <c r="K566" i="26"/>
  <c r="K565" i="26"/>
  <c r="K564" i="26"/>
  <c r="K563" i="26"/>
  <c r="K560" i="26"/>
  <c r="K559" i="26"/>
  <c r="K558" i="26"/>
  <c r="K557" i="26"/>
  <c r="K556" i="26"/>
  <c r="K555" i="26"/>
  <c r="K554" i="26"/>
  <c r="K553" i="26"/>
  <c r="K552" i="26"/>
  <c r="K551" i="26"/>
  <c r="K550" i="26"/>
  <c r="K549" i="26"/>
  <c r="K548" i="26"/>
  <c r="K547" i="26"/>
  <c r="K545" i="26"/>
  <c r="K544" i="26"/>
  <c r="K543" i="26"/>
  <c r="K542" i="26"/>
  <c r="K541" i="26"/>
  <c r="K540" i="26"/>
  <c r="G537" i="26"/>
  <c r="K537" i="26" s="1"/>
  <c r="G535" i="26"/>
  <c r="K535" i="26" s="1"/>
  <c r="G533" i="26"/>
  <c r="K533" i="26" s="1"/>
  <c r="G528" i="26"/>
  <c r="K528" i="26" s="1"/>
  <c r="G526" i="26"/>
  <c r="K526" i="26" s="1"/>
  <c r="G524" i="26"/>
  <c r="K524" i="26" s="1"/>
  <c r="K521" i="26"/>
  <c r="K520" i="26"/>
  <c r="K519" i="26"/>
  <c r="G517" i="26"/>
  <c r="G514" i="26"/>
  <c r="G511" i="26"/>
  <c r="K509" i="26"/>
  <c r="K508" i="26"/>
  <c r="K507" i="26"/>
  <c r="K506" i="26"/>
  <c r="K505" i="26"/>
  <c r="K504" i="26"/>
  <c r="K503" i="26"/>
  <c r="K501" i="26"/>
  <c r="G500" i="26"/>
  <c r="K500" i="26" s="1"/>
  <c r="K498" i="26"/>
  <c r="K496" i="26"/>
  <c r="K495" i="26"/>
  <c r="G493" i="26"/>
  <c r="G492" i="26"/>
  <c r="G491" i="26"/>
  <c r="G487" i="26"/>
  <c r="G485" i="26"/>
  <c r="G484" i="26"/>
  <c r="G483" i="26"/>
  <c r="K479" i="26"/>
  <c r="G478" i="26"/>
  <c r="K478" i="26" s="1"/>
  <c r="K475" i="26"/>
  <c r="G474" i="26"/>
  <c r="K474" i="26" s="1"/>
  <c r="K472" i="26"/>
  <c r="K471" i="26"/>
  <c r="K470" i="26"/>
  <c r="K467" i="26"/>
  <c r="H466" i="26"/>
  <c r="K466" i="26" s="1"/>
  <c r="G465" i="26"/>
  <c r="K465" i="26" s="1"/>
  <c r="G529" i="26" s="1"/>
  <c r="G538" i="26" s="1"/>
  <c r="K538" i="26" s="1"/>
  <c r="G463" i="26"/>
  <c r="K463" i="26" s="1"/>
  <c r="K461" i="26"/>
  <c r="K460" i="26"/>
  <c r="K457" i="26"/>
  <c r="K456" i="26"/>
  <c r="K450" i="26"/>
  <c r="K448" i="26"/>
  <c r="K447" i="26"/>
  <c r="K446" i="26"/>
  <c r="K444" i="26"/>
  <c r="G444" i="26"/>
  <c r="K443" i="26"/>
  <c r="G443" i="26"/>
  <c r="K441" i="26"/>
  <c r="K439" i="26"/>
  <c r="G436" i="26"/>
  <c r="K436" i="26" s="1"/>
  <c r="K434" i="26"/>
  <c r="K431" i="26"/>
  <c r="K430" i="26"/>
  <c r="K429" i="26"/>
  <c r="K427" i="26"/>
  <c r="G425" i="26"/>
  <c r="K423" i="26" s="1"/>
  <c r="G420" i="26"/>
  <c r="K420" i="26" s="1"/>
  <c r="K418" i="26"/>
  <c r="G414" i="26"/>
  <c r="K414" i="26" s="1"/>
  <c r="K412" i="26"/>
  <c r="G406" i="26"/>
  <c r="K406" i="26" s="1"/>
  <c r="G404" i="26"/>
  <c r="K404" i="26" s="1"/>
  <c r="G403" i="26"/>
  <c r="K403" i="26" s="1"/>
  <c r="G402" i="26"/>
  <c r="K402" i="26" s="1"/>
  <c r="K400" i="26"/>
  <c r="G397" i="26"/>
  <c r="K397" i="26" s="1"/>
  <c r="G396" i="26"/>
  <c r="K396" i="26" s="1"/>
  <c r="K394" i="26"/>
  <c r="K392" i="26"/>
  <c r="K391" i="26"/>
  <c r="K390" i="26"/>
  <c r="K388" i="26"/>
  <c r="K383" i="26"/>
  <c r="K381" i="26"/>
  <c r="K378" i="26"/>
  <c r="K377" i="26"/>
  <c r="G376" i="26"/>
  <c r="K376" i="26" s="1"/>
  <c r="K375" i="26"/>
  <c r="K374" i="26"/>
  <c r="K372" i="26"/>
  <c r="G370" i="26"/>
  <c r="K370" i="26" s="1"/>
  <c r="G369" i="26"/>
  <c r="K369" i="26" s="1"/>
  <c r="G368" i="26"/>
  <c r="K368" i="26" s="1"/>
  <c r="G367" i="26"/>
  <c r="K367" i="26" s="1"/>
  <c r="G366" i="26"/>
  <c r="K366" i="26" s="1"/>
  <c r="G365" i="26"/>
  <c r="K365" i="26" s="1"/>
  <c r="G364" i="26"/>
  <c r="K364" i="26" s="1"/>
  <c r="G363" i="26"/>
  <c r="K363" i="26" s="1"/>
  <c r="G362" i="26"/>
  <c r="K362" i="26" s="1"/>
  <c r="G361" i="26"/>
  <c r="K361" i="26" s="1"/>
  <c r="G360" i="26"/>
  <c r="K360" i="26" s="1"/>
  <c r="G359" i="26"/>
  <c r="K359" i="26" s="1"/>
  <c r="G358" i="26"/>
  <c r="K358" i="26" s="1"/>
  <c r="G357" i="26"/>
  <c r="K357" i="26" s="1"/>
  <c r="G356" i="26"/>
  <c r="K356" i="26" s="1"/>
  <c r="G355" i="26"/>
  <c r="K355" i="26" s="1"/>
  <c r="G354" i="26"/>
  <c r="K354" i="26" s="1"/>
  <c r="G353" i="26"/>
  <c r="K353" i="26" s="1"/>
  <c r="G352" i="26"/>
  <c r="K352" i="26" s="1"/>
  <c r="G351" i="26"/>
  <c r="K351" i="26" s="1"/>
  <c r="G350" i="26"/>
  <c r="K350" i="26" s="1"/>
  <c r="G349" i="26"/>
  <c r="K349" i="26" s="1"/>
  <c r="G348" i="26"/>
  <c r="K348" i="26" s="1"/>
  <c r="G347" i="26"/>
  <c r="K347" i="26" s="1"/>
  <c r="G346" i="26"/>
  <c r="K346" i="26" s="1"/>
  <c r="G345" i="26"/>
  <c r="K345" i="26" s="1"/>
  <c r="G344" i="26"/>
  <c r="K344" i="26" s="1"/>
  <c r="G343" i="26"/>
  <c r="K343" i="26" s="1"/>
  <c r="G342" i="26"/>
  <c r="K342" i="26" s="1"/>
  <c r="G341" i="26"/>
  <c r="K341" i="26" s="1"/>
  <c r="K339" i="26"/>
  <c r="K338" i="26"/>
  <c r="K337" i="26"/>
  <c r="K336" i="26"/>
  <c r="K335" i="26"/>
  <c r="K334" i="26"/>
  <c r="K333" i="26"/>
  <c r="K329" i="26"/>
  <c r="G328" i="26"/>
  <c r="K328" i="26" s="1"/>
  <c r="K327" i="26"/>
  <c r="K326" i="26"/>
  <c r="K324" i="26"/>
  <c r="K321" i="26"/>
  <c r="G320" i="26"/>
  <c r="K320" i="26" s="1"/>
  <c r="G319" i="26"/>
  <c r="K319" i="26" s="1"/>
  <c r="G318" i="26"/>
  <c r="K318" i="26" s="1"/>
  <c r="K317" i="26"/>
  <c r="G317" i="26"/>
  <c r="G316" i="26"/>
  <c r="K316" i="26" s="1"/>
  <c r="G315" i="26"/>
  <c r="K315" i="26" s="1"/>
  <c r="G314" i="26"/>
  <c r="K314" i="26" s="1"/>
  <c r="K310" i="26"/>
  <c r="G309" i="26"/>
  <c r="K309" i="26" s="1"/>
  <c r="G308" i="26"/>
  <c r="K308" i="26" s="1"/>
  <c r="G307" i="26"/>
  <c r="K307" i="26" s="1"/>
  <c r="G306" i="26"/>
  <c r="K306" i="26" s="1"/>
  <c r="G305" i="26"/>
  <c r="K305" i="26" s="1"/>
  <c r="G304" i="26"/>
  <c r="K304" i="26" s="1"/>
  <c r="G303" i="26"/>
  <c r="K303" i="26" s="1"/>
  <c r="G302" i="26"/>
  <c r="K302" i="26" s="1"/>
  <c r="G301" i="26"/>
  <c r="K301" i="26" s="1"/>
  <c r="K300" i="26"/>
  <c r="G300" i="26"/>
  <c r="G299" i="26"/>
  <c r="K299" i="26" s="1"/>
  <c r="G298" i="26"/>
  <c r="K298" i="26" s="1"/>
  <c r="G297" i="26"/>
  <c r="K297" i="26" s="1"/>
  <c r="G296" i="26"/>
  <c r="K296" i="26" s="1"/>
  <c r="G295" i="26"/>
  <c r="K295" i="26" s="1"/>
  <c r="G294" i="26"/>
  <c r="K294" i="26" s="1"/>
  <c r="G293" i="26"/>
  <c r="K293" i="26" s="1"/>
  <c r="K292" i="26"/>
  <c r="G292" i="26"/>
  <c r="G291" i="26"/>
  <c r="K291" i="26" s="1"/>
  <c r="G290" i="26"/>
  <c r="K290" i="26" s="1"/>
  <c r="G289" i="26"/>
  <c r="K289" i="26" s="1"/>
  <c r="G288" i="26"/>
  <c r="K288" i="26" s="1"/>
  <c r="G287" i="26"/>
  <c r="K287" i="26" s="1"/>
  <c r="K283" i="26"/>
  <c r="K282" i="26" s="1"/>
  <c r="G280" i="26"/>
  <c r="K280" i="26" s="1"/>
  <c r="G279" i="26"/>
  <c r="K279" i="26" s="1"/>
  <c r="G278" i="26"/>
  <c r="K278" i="26" s="1"/>
  <c r="G277" i="26"/>
  <c r="K277" i="26" s="1"/>
  <c r="G276" i="26"/>
  <c r="K276" i="26" s="1"/>
  <c r="K274" i="26"/>
  <c r="G273" i="26"/>
  <c r="K273" i="26" s="1"/>
  <c r="G272" i="26"/>
  <c r="K272" i="26" s="1"/>
  <c r="G271" i="26"/>
  <c r="K271" i="26" s="1"/>
  <c r="G270" i="26"/>
  <c r="K270" i="26" s="1"/>
  <c r="G269" i="26"/>
  <c r="K269" i="26" s="1"/>
  <c r="K268" i="26"/>
  <c r="G268" i="26"/>
  <c r="G267" i="26"/>
  <c r="K267" i="26" s="1"/>
  <c r="G266" i="26"/>
  <c r="K266" i="26" s="1"/>
  <c r="G265" i="26"/>
  <c r="K265" i="26" s="1"/>
  <c r="G264" i="26"/>
  <c r="K264" i="26" s="1"/>
  <c r="G263" i="26"/>
  <c r="K263" i="26" s="1"/>
  <c r="G262" i="26"/>
  <c r="K262" i="26" s="1"/>
  <c r="G261" i="26"/>
  <c r="K261" i="26" s="1"/>
  <c r="G260" i="26"/>
  <c r="K260" i="26" s="1"/>
  <c r="G259" i="26"/>
  <c r="K259" i="26" s="1"/>
  <c r="G258" i="26"/>
  <c r="K258" i="26" s="1"/>
  <c r="G257" i="26"/>
  <c r="K257" i="26" s="1"/>
  <c r="G256" i="26"/>
  <c r="K256" i="26" s="1"/>
  <c r="G255" i="26"/>
  <c r="K255" i="26" s="1"/>
  <c r="G254" i="26"/>
  <c r="K254" i="26" s="1"/>
  <c r="G253" i="26"/>
  <c r="K253" i="26" s="1"/>
  <c r="G252" i="26"/>
  <c r="K252" i="26" s="1"/>
  <c r="G251" i="26"/>
  <c r="K251" i="26" s="1"/>
  <c r="G250" i="26"/>
  <c r="K250" i="26" s="1"/>
  <c r="G249" i="26"/>
  <c r="K249" i="26" s="1"/>
  <c r="G248" i="26"/>
  <c r="K248" i="26" s="1"/>
  <c r="G247" i="26"/>
  <c r="K247" i="26" s="1"/>
  <c r="G246" i="26"/>
  <c r="K246" i="26" s="1"/>
  <c r="G245" i="26"/>
  <c r="K245" i="26" s="1"/>
  <c r="G244" i="26"/>
  <c r="K244" i="26" s="1"/>
  <c r="K234" i="26"/>
  <c r="K232" i="26"/>
  <c r="K231" i="26"/>
  <c r="G230" i="26"/>
  <c r="K230" i="26" s="1"/>
  <c r="K229" i="26"/>
  <c r="K228" i="26"/>
  <c r="K226" i="26"/>
  <c r="K225" i="26"/>
  <c r="K224" i="26"/>
  <c r="K223" i="26"/>
  <c r="K222" i="26"/>
  <c r="K221" i="26"/>
  <c r="K220" i="26"/>
  <c r="K219" i="26"/>
  <c r="K218" i="26"/>
  <c r="K217" i="26"/>
  <c r="K216" i="26"/>
  <c r="K215" i="26"/>
  <c r="K214" i="26"/>
  <c r="K213" i="26"/>
  <c r="K212" i="26"/>
  <c r="K211" i="26"/>
  <c r="K210" i="26"/>
  <c r="K209" i="26"/>
  <c r="K208" i="26"/>
  <c r="K207" i="26"/>
  <c r="K206" i="26"/>
  <c r="K205" i="26"/>
  <c r="K204" i="26"/>
  <c r="K203" i="26"/>
  <c r="K202" i="26"/>
  <c r="K201" i="26"/>
  <c r="K200" i="26"/>
  <c r="K199" i="26"/>
  <c r="K198" i="26"/>
  <c r="K196" i="26"/>
  <c r="K195" i="26"/>
  <c r="K193" i="26"/>
  <c r="K192" i="26"/>
  <c r="K191" i="26"/>
  <c r="K190" i="26"/>
  <c r="K189" i="26"/>
  <c r="K188" i="26"/>
  <c r="K187" i="26"/>
  <c r="K181" i="26"/>
  <c r="K180" i="26"/>
  <c r="G179" i="26"/>
  <c r="K179" i="26" s="1"/>
  <c r="K178" i="26"/>
  <c r="K177" i="26"/>
  <c r="G175" i="26"/>
  <c r="K175" i="26" s="1"/>
  <c r="K173" i="26"/>
  <c r="K172" i="26"/>
  <c r="K171" i="26"/>
  <c r="K170" i="26"/>
  <c r="K169" i="26"/>
  <c r="K168" i="26"/>
  <c r="K167" i="26"/>
  <c r="K164" i="26"/>
  <c r="K163" i="26"/>
  <c r="K162" i="26"/>
  <c r="K161" i="26"/>
  <c r="K160" i="26"/>
  <c r="K159" i="26"/>
  <c r="K158" i="26"/>
  <c r="G153" i="26"/>
  <c r="K153" i="26" s="1"/>
  <c r="G151" i="26"/>
  <c r="K151" i="26" s="1"/>
  <c r="G149" i="26"/>
  <c r="K149" i="26" s="1"/>
  <c r="K147" i="26"/>
  <c r="K146" i="26"/>
  <c r="K145" i="26"/>
  <c r="K144" i="26"/>
  <c r="K143" i="26"/>
  <c r="K139" i="26"/>
  <c r="K138" i="26"/>
  <c r="G138" i="26"/>
  <c r="K137" i="26"/>
  <c r="K136" i="26"/>
  <c r="K134" i="26"/>
  <c r="K133" i="26"/>
  <c r="K132" i="26"/>
  <c r="K131" i="26"/>
  <c r="K130" i="26"/>
  <c r="K129" i="26"/>
  <c r="K128" i="26"/>
  <c r="K127" i="26"/>
  <c r="K126" i="26"/>
  <c r="K125" i="26"/>
  <c r="K124" i="26"/>
  <c r="K123" i="26"/>
  <c r="K122" i="26"/>
  <c r="K121" i="26"/>
  <c r="K120" i="26"/>
  <c r="K119" i="26"/>
  <c r="K118" i="26"/>
  <c r="K117" i="26"/>
  <c r="K116" i="26"/>
  <c r="K115" i="26"/>
  <c r="K114" i="26"/>
  <c r="K113" i="26"/>
  <c r="K112" i="26"/>
  <c r="K111" i="26"/>
  <c r="K110" i="26"/>
  <c r="K109" i="26"/>
  <c r="K108" i="26"/>
  <c r="K107" i="26"/>
  <c r="K106" i="26"/>
  <c r="K105" i="26"/>
  <c r="K104" i="26"/>
  <c r="K103" i="26"/>
  <c r="K102" i="26"/>
  <c r="K101" i="26"/>
  <c r="K100" i="26"/>
  <c r="K99" i="26"/>
  <c r="K98" i="26"/>
  <c r="K97" i="26"/>
  <c r="K96" i="26"/>
  <c r="K95" i="26"/>
  <c r="K94" i="26"/>
  <c r="K93" i="26"/>
  <c r="K92" i="26"/>
  <c r="K91" i="26"/>
  <c r="K90" i="26"/>
  <c r="K89" i="26"/>
  <c r="K88" i="26"/>
  <c r="K87" i="26"/>
  <c r="K86" i="26"/>
  <c r="K85" i="26"/>
  <c r="K84" i="26"/>
  <c r="K83" i="26"/>
  <c r="K82" i="26"/>
  <c r="K81" i="26"/>
  <c r="K80" i="26"/>
  <c r="K79" i="26"/>
  <c r="K78" i="26"/>
  <c r="K77" i="26"/>
  <c r="K76" i="26"/>
  <c r="G70" i="26"/>
  <c r="K68" i="26" s="1"/>
  <c r="K67" i="26"/>
  <c r="K66" i="26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K32" i="26"/>
  <c r="K31" i="26"/>
  <c r="K30" i="26"/>
  <c r="K29" i="26"/>
  <c r="K28" i="26"/>
  <c r="K27" i="26"/>
  <c r="K25" i="26"/>
  <c r="K24" i="26"/>
  <c r="K22" i="26"/>
  <c r="K21" i="26" s="1"/>
  <c r="K20" i="26"/>
  <c r="K19" i="26" s="1"/>
  <c r="K18" i="26"/>
  <c r="K17" i="26" s="1"/>
  <c r="K16" i="26"/>
  <c r="K15" i="26"/>
  <c r="K14" i="26"/>
  <c r="K863" i="26" l="1"/>
  <c r="K884" i="26"/>
  <c r="K891" i="26"/>
  <c r="K892" i="26"/>
  <c r="K981" i="26"/>
  <c r="L981" i="26" s="1"/>
  <c r="N981" i="26" s="1"/>
  <c r="K681" i="26"/>
  <c r="K872" i="26"/>
  <c r="K902" i="26"/>
  <c r="K898" i="26" s="1"/>
  <c r="L898" i="26" s="1"/>
  <c r="N898" i="26" s="1"/>
  <c r="K630" i="26"/>
  <c r="G486" i="26"/>
  <c r="K871" i="26"/>
  <c r="K875" i="26"/>
  <c r="K893" i="26"/>
  <c r="K562" i="26"/>
  <c r="K864" i="26"/>
  <c r="K883" i="26"/>
  <c r="K586" i="26"/>
  <c r="K599" i="26"/>
  <c r="K593" i="26"/>
  <c r="K156" i="26"/>
  <c r="K499" i="26"/>
  <c r="K615" i="26"/>
  <c r="K613" i="26" s="1"/>
  <c r="K862" i="26"/>
  <c r="K865" i="26"/>
  <c r="K880" i="26"/>
  <c r="K1012" i="26"/>
  <c r="G490" i="26"/>
  <c r="G494" i="26" s="1"/>
  <c r="K873" i="26"/>
  <c r="G453" i="26"/>
  <c r="K453" i="26" s="1"/>
  <c r="K452" i="26" s="1"/>
  <c r="K874" i="26"/>
  <c r="G239" i="26"/>
  <c r="K637" i="26"/>
  <c r="K165" i="26"/>
  <c r="K469" i="26"/>
  <c r="G620" i="26"/>
  <c r="K620" i="26" s="1"/>
  <c r="K618" i="26" s="1"/>
  <c r="K882" i="26"/>
  <c r="K920" i="26"/>
  <c r="G736" i="26"/>
  <c r="K735" i="26" s="1"/>
  <c r="K967" i="26"/>
  <c r="L967" i="26" s="1"/>
  <c r="N967" i="26" s="1"/>
  <c r="K532" i="26"/>
  <c r="K886" i="26"/>
  <c r="K996" i="26"/>
  <c r="K623" i="26"/>
  <c r="K529" i="26"/>
  <c r="K523" i="26" s="1"/>
  <c r="K877" i="26" l="1"/>
  <c r="D8" i="26" l="1"/>
  <c r="B8" i="26"/>
  <c r="M403" i="24"/>
  <c r="K404" i="24"/>
  <c r="K355" i="24"/>
  <c r="K354" i="24" s="1"/>
  <c r="M354" i="24"/>
  <c r="K341" i="24"/>
  <c r="G340" i="24"/>
  <c r="K340" i="24" s="1"/>
  <c r="G339" i="24"/>
  <c r="K339" i="24" s="1"/>
  <c r="G338" i="24"/>
  <c r="K338" i="24" s="1"/>
  <c r="G337" i="24"/>
  <c r="K337" i="24" s="1"/>
  <c r="G336" i="24"/>
  <c r="K336" i="24" s="1"/>
  <c r="G335" i="24"/>
  <c r="K335" i="24" s="1"/>
  <c r="G334" i="24"/>
  <c r="K334" i="24" s="1"/>
  <c r="G333" i="24"/>
  <c r="K333" i="24" s="1"/>
  <c r="G332" i="24"/>
  <c r="K332" i="24" s="1"/>
  <c r="G331" i="24"/>
  <c r="K331" i="24" s="1"/>
  <c r="G330" i="24"/>
  <c r="K330" i="24" s="1"/>
  <c r="G329" i="24"/>
  <c r="K329" i="24" s="1"/>
  <c r="G328" i="24"/>
  <c r="K328" i="24" s="1"/>
  <c r="G327" i="24"/>
  <c r="K327" i="24" s="1"/>
  <c r="G326" i="24"/>
  <c r="K326" i="24" s="1"/>
  <c r="G325" i="24"/>
  <c r="K325" i="24" s="1"/>
  <c r="G324" i="24"/>
  <c r="K324" i="24" s="1"/>
  <c r="G323" i="24"/>
  <c r="K323" i="24" s="1"/>
  <c r="G322" i="24"/>
  <c r="K322" i="24" s="1"/>
  <c r="G321" i="24"/>
  <c r="K321" i="24" s="1"/>
  <c r="G320" i="24"/>
  <c r="K320" i="24" s="1"/>
  <c r="G319" i="24"/>
  <c r="K319" i="24" s="1"/>
  <c r="G318" i="24"/>
  <c r="K318" i="24" s="1"/>
  <c r="M343" i="24"/>
  <c r="G408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59" i="24"/>
  <c r="G351" i="24"/>
  <c r="G350" i="24"/>
  <c r="G349" i="24"/>
  <c r="G348" i="24"/>
  <c r="G347" i="24"/>
  <c r="G346" i="24"/>
  <c r="G345" i="24"/>
  <c r="G412" i="24"/>
  <c r="G422" i="24"/>
  <c r="G427" i="24"/>
  <c r="K306" i="24"/>
  <c r="G312" i="24"/>
  <c r="G311" i="24"/>
  <c r="G310" i="24"/>
  <c r="G309" i="24"/>
  <c r="G308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M270" i="24"/>
  <c r="K271" i="24"/>
  <c r="G272" i="24"/>
  <c r="K272" i="24" s="1"/>
  <c r="K216" i="24"/>
  <c r="M216" i="24"/>
  <c r="G261" i="24"/>
  <c r="M207" i="24"/>
  <c r="K208" i="24"/>
  <c r="K210" i="24"/>
  <c r="K214" i="24"/>
  <c r="K213" i="24"/>
  <c r="G212" i="24"/>
  <c r="K212" i="24" s="1"/>
  <c r="K211" i="24"/>
  <c r="K108" i="24"/>
  <c r="M108" i="24"/>
  <c r="G187" i="24"/>
  <c r="G185" i="24"/>
  <c r="G183" i="24"/>
  <c r="G172" i="24"/>
  <c r="K207" i="24" l="1"/>
  <c r="D8" i="25" l="1"/>
  <c r="B8" i="25"/>
  <c r="K591" i="24"/>
  <c r="K590" i="24"/>
  <c r="K589" i="24"/>
  <c r="K588" i="24"/>
  <c r="K587" i="24"/>
  <c r="G580" i="24"/>
  <c r="K580" i="24" s="1"/>
  <c r="K579" i="24" s="1"/>
  <c r="M579" i="24"/>
  <c r="G548" i="24"/>
  <c r="K548" i="24" s="1"/>
  <c r="K547" i="24" s="1"/>
  <c r="G543" i="24"/>
  <c r="K543" i="24" s="1"/>
  <c r="K542" i="24" s="1"/>
  <c r="N541" i="24"/>
  <c r="N540" i="24"/>
  <c r="K537" i="24"/>
  <c r="K536" i="24" s="1"/>
  <c r="K534" i="24"/>
  <c r="K533" i="24" s="1"/>
  <c r="N532" i="24"/>
  <c r="N531" i="24"/>
  <c r="N529" i="24"/>
  <c r="N528" i="24"/>
  <c r="N526" i="24"/>
  <c r="N525" i="24"/>
  <c r="N523" i="24"/>
  <c r="N522" i="24"/>
  <c r="N520" i="24"/>
  <c r="N519" i="24"/>
  <c r="N517" i="24"/>
  <c r="N516" i="24"/>
  <c r="N514" i="24"/>
  <c r="N513" i="24"/>
  <c r="N511" i="24"/>
  <c r="N510" i="24"/>
  <c r="N508" i="24"/>
  <c r="N507" i="24"/>
  <c r="N505" i="24"/>
  <c r="N504" i="24"/>
  <c r="K504" i="24"/>
  <c r="K503" i="24" s="1"/>
  <c r="N502" i="24"/>
  <c r="N501" i="24"/>
  <c r="K500" i="24"/>
  <c r="N499" i="24"/>
  <c r="N498" i="24"/>
  <c r="G498" i="24"/>
  <c r="K498" i="24" s="1"/>
  <c r="K497" i="24" s="1"/>
  <c r="N496" i="24"/>
  <c r="N495" i="24"/>
  <c r="G495" i="24"/>
  <c r="K495" i="24" s="1"/>
  <c r="K494" i="24" s="1"/>
  <c r="N493" i="24"/>
  <c r="N492" i="24"/>
  <c r="G492" i="24"/>
  <c r="K492" i="24" s="1"/>
  <c r="K491" i="24" s="1"/>
  <c r="N490" i="24"/>
  <c r="N489" i="24"/>
  <c r="G489" i="24"/>
  <c r="K489" i="24" s="1"/>
  <c r="K488" i="24" s="1"/>
  <c r="N487" i="24"/>
  <c r="N486" i="24"/>
  <c r="G486" i="24"/>
  <c r="K486" i="24" s="1"/>
  <c r="K485" i="24" s="1"/>
  <c r="K483" i="24"/>
  <c r="K482" i="24"/>
  <c r="K481" i="24"/>
  <c r="K480" i="24"/>
  <c r="K479" i="24"/>
  <c r="M478" i="24"/>
  <c r="K477" i="24"/>
  <c r="K476" i="24" s="1"/>
  <c r="M476" i="24"/>
  <c r="M473" i="24"/>
  <c r="K473" i="24"/>
  <c r="M471" i="24"/>
  <c r="K471" i="24"/>
  <c r="M469" i="24"/>
  <c r="K469" i="24"/>
  <c r="K468" i="24"/>
  <c r="K467" i="24"/>
  <c r="K466" i="24"/>
  <c r="K465" i="24"/>
  <c r="K464" i="24"/>
  <c r="K463" i="24"/>
  <c r="M462" i="24"/>
  <c r="K461" i="24"/>
  <c r="K460" i="24" s="1"/>
  <c r="M460" i="24"/>
  <c r="K457" i="24"/>
  <c r="K456" i="24" s="1"/>
  <c r="M456" i="24"/>
  <c r="K454" i="24"/>
  <c r="K453" i="24" s="1"/>
  <c r="M453" i="24"/>
  <c r="K451" i="24"/>
  <c r="K450" i="24" s="1"/>
  <c r="M450" i="24"/>
  <c r="M446" i="24"/>
  <c r="K445" i="24"/>
  <c r="K444" i="24" s="1"/>
  <c r="M444" i="24"/>
  <c r="K443" i="24"/>
  <c r="M442" i="24"/>
  <c r="K442" i="24"/>
  <c r="K441" i="24"/>
  <c r="K440" i="24" s="1"/>
  <c r="M440" i="24"/>
  <c r="K439" i="24"/>
  <c r="K438" i="24" s="1"/>
  <c r="M438" i="24"/>
  <c r="K437" i="24"/>
  <c r="K436" i="24" s="1"/>
  <c r="M436" i="24"/>
  <c r="K435" i="24"/>
  <c r="K434" i="24" s="1"/>
  <c r="M434" i="24"/>
  <c r="K433" i="24"/>
  <c r="K432" i="24" s="1"/>
  <c r="M432" i="24"/>
  <c r="K431" i="24"/>
  <c r="K430" i="24" s="1"/>
  <c r="M430" i="24"/>
  <c r="K429" i="24"/>
  <c r="K428" i="24" s="1"/>
  <c r="M428" i="24"/>
  <c r="K427" i="24"/>
  <c r="K426" i="24" s="1"/>
  <c r="M426" i="24"/>
  <c r="K425" i="24"/>
  <c r="K424" i="24" s="1"/>
  <c r="M424" i="24"/>
  <c r="K423" i="24"/>
  <c r="K422" i="24"/>
  <c r="M421" i="24"/>
  <c r="K420" i="24"/>
  <c r="K419" i="24"/>
  <c r="M418" i="24"/>
  <c r="M416" i="24"/>
  <c r="K416" i="24"/>
  <c r="M413" i="24"/>
  <c r="K413" i="24"/>
  <c r="K412" i="24"/>
  <c r="K315" i="24"/>
  <c r="K314" i="24" s="1"/>
  <c r="M314" i="24"/>
  <c r="G313" i="24"/>
  <c r="K313" i="24" s="1"/>
  <c r="K312" i="24"/>
  <c r="K311" i="24"/>
  <c r="K310" i="24"/>
  <c r="K309" i="24"/>
  <c r="K308" i="24"/>
  <c r="K305" i="24"/>
  <c r="K304" i="24"/>
  <c r="K303" i="24"/>
  <c r="K302" i="24"/>
  <c r="K301" i="24"/>
  <c r="K300" i="24"/>
  <c r="K299" i="24"/>
  <c r="K298" i="24"/>
  <c r="K297" i="24"/>
  <c r="K296" i="24"/>
  <c r="K295" i="24"/>
  <c r="K294" i="24"/>
  <c r="K293" i="24"/>
  <c r="K292" i="24"/>
  <c r="K291" i="24"/>
  <c r="K290" i="24"/>
  <c r="K289" i="24"/>
  <c r="K288" i="24"/>
  <c r="K287" i="24"/>
  <c r="K286" i="24"/>
  <c r="K285" i="24"/>
  <c r="K284" i="24"/>
  <c r="K283" i="24"/>
  <c r="K282" i="24"/>
  <c r="K281" i="24"/>
  <c r="K280" i="24"/>
  <c r="K279" i="24"/>
  <c r="K278" i="24"/>
  <c r="K277" i="24"/>
  <c r="K276" i="24"/>
  <c r="M264" i="24"/>
  <c r="K264" i="24"/>
  <c r="L207" i="24"/>
  <c r="K206" i="24"/>
  <c r="K205" i="24"/>
  <c r="K204" i="24"/>
  <c r="K203" i="24"/>
  <c r="K202" i="24"/>
  <c r="K201" i="24"/>
  <c r="K200" i="24"/>
  <c r="M198" i="24"/>
  <c r="K197" i="24"/>
  <c r="K196" i="24"/>
  <c r="K195" i="24"/>
  <c r="K194" i="24"/>
  <c r="K193" i="24"/>
  <c r="K192" i="24"/>
  <c r="K191" i="24"/>
  <c r="M189" i="24"/>
  <c r="I105" i="24"/>
  <c r="K105" i="24" s="1"/>
  <c r="I104" i="24"/>
  <c r="K104" i="24" s="1"/>
  <c r="I103" i="24"/>
  <c r="K103" i="24" s="1"/>
  <c r="I102" i="24"/>
  <c r="K102" i="24" s="1"/>
  <c r="I101" i="24"/>
  <c r="K101" i="24" s="1"/>
  <c r="I100" i="24"/>
  <c r="K100" i="24" s="1"/>
  <c r="I99" i="24"/>
  <c r="K99" i="24" s="1"/>
  <c r="I98" i="24"/>
  <c r="K98" i="24" s="1"/>
  <c r="I97" i="24"/>
  <c r="K97" i="24" s="1"/>
  <c r="I96" i="24"/>
  <c r="K96" i="24" s="1"/>
  <c r="I95" i="24"/>
  <c r="K95" i="24" s="1"/>
  <c r="I94" i="24"/>
  <c r="G94" i="24"/>
  <c r="I93" i="24"/>
  <c r="K93" i="24" s="1"/>
  <c r="I92" i="24"/>
  <c r="K92" i="24" s="1"/>
  <c r="I91" i="24"/>
  <c r="K91" i="24" s="1"/>
  <c r="I90" i="24"/>
  <c r="K90" i="24" s="1"/>
  <c r="I89" i="24"/>
  <c r="K89" i="24" s="1"/>
  <c r="I88" i="24"/>
  <c r="K88" i="24" s="1"/>
  <c r="I87" i="24"/>
  <c r="K87" i="24" s="1"/>
  <c r="I86" i="24"/>
  <c r="K86" i="24" s="1"/>
  <c r="I85" i="24"/>
  <c r="K85" i="24" s="1"/>
  <c r="I84" i="24"/>
  <c r="K84" i="24" s="1"/>
  <c r="I83" i="24"/>
  <c r="K83" i="24" s="1"/>
  <c r="I82" i="24"/>
  <c r="K82" i="24" s="1"/>
  <c r="I81" i="24"/>
  <c r="K81" i="24" s="1"/>
  <c r="I80" i="24"/>
  <c r="K80" i="24" s="1"/>
  <c r="I79" i="24"/>
  <c r="K79" i="24" s="1"/>
  <c r="I78" i="24"/>
  <c r="K78" i="24" s="1"/>
  <c r="I77" i="24"/>
  <c r="K77" i="24" s="1"/>
  <c r="I76" i="24"/>
  <c r="G76" i="24"/>
  <c r="I75" i="24"/>
  <c r="K75" i="24" s="1"/>
  <c r="I74" i="24"/>
  <c r="K74" i="24" s="1"/>
  <c r="M72" i="24"/>
  <c r="J72" i="24"/>
  <c r="L71" i="24"/>
  <c r="G70" i="24"/>
  <c r="K68" i="24" s="1"/>
  <c r="M68" i="24"/>
  <c r="K67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M25" i="24"/>
  <c r="K25" i="24"/>
  <c r="M24" i="24"/>
  <c r="K24" i="24"/>
  <c r="K22" i="24"/>
  <c r="K21" i="24" s="1"/>
  <c r="M21" i="24"/>
  <c r="K20" i="24"/>
  <c r="K19" i="24" s="1"/>
  <c r="M19" i="24"/>
  <c r="K18" i="24"/>
  <c r="K17" i="24" s="1"/>
  <c r="M17" i="24"/>
  <c r="M16" i="24"/>
  <c r="K16" i="24"/>
  <c r="M15" i="24"/>
  <c r="K15" i="24"/>
  <c r="M14" i="24"/>
  <c r="K14" i="24"/>
  <c r="D8" i="24"/>
  <c r="B8" i="24"/>
  <c r="T15" i="15"/>
  <c r="T16" i="15"/>
  <c r="T17" i="15"/>
  <c r="T18" i="15"/>
  <c r="T19" i="15"/>
  <c r="T21" i="15"/>
  <c r="T22" i="15"/>
  <c r="T23" i="15"/>
  <c r="T24" i="15"/>
  <c r="T26" i="15"/>
  <c r="T27" i="15"/>
  <c r="T28" i="15"/>
  <c r="T29" i="15"/>
  <c r="T30" i="15"/>
  <c r="T31" i="15"/>
  <c r="T32" i="15"/>
  <c r="T33" i="15"/>
  <c r="T34" i="15"/>
  <c r="T35" i="15"/>
  <c r="T36" i="15"/>
  <c r="T37" i="15"/>
  <c r="T38" i="15"/>
  <c r="T40" i="15"/>
  <c r="T41" i="15"/>
  <c r="T42" i="15"/>
  <c r="T43" i="15"/>
  <c r="T44" i="15"/>
  <c r="T45" i="15"/>
  <c r="T46" i="15"/>
  <c r="T47" i="15"/>
  <c r="T48" i="15"/>
  <c r="T49" i="15"/>
  <c r="T50" i="15"/>
  <c r="T51" i="15"/>
  <c r="T52" i="15"/>
  <c r="T53" i="15"/>
  <c r="T54" i="15"/>
  <c r="T56" i="15"/>
  <c r="T57" i="15"/>
  <c r="T58" i="15"/>
  <c r="T59" i="15"/>
  <c r="T61" i="15"/>
  <c r="T62" i="15"/>
  <c r="T63" i="15"/>
  <c r="T64" i="15"/>
  <c r="T66" i="15"/>
  <c r="T67" i="15"/>
  <c r="T68" i="15"/>
  <c r="T69" i="15"/>
  <c r="T70" i="15"/>
  <c r="T71" i="15"/>
  <c r="T72" i="15"/>
  <c r="T73" i="15"/>
  <c r="T75" i="15"/>
  <c r="T76" i="15"/>
  <c r="T77" i="15"/>
  <c r="T78" i="15"/>
  <c r="T79" i="15"/>
  <c r="T80" i="15"/>
  <c r="T82" i="15"/>
  <c r="T83" i="15"/>
  <c r="T84" i="15"/>
  <c r="T85" i="15"/>
  <c r="T86" i="15"/>
  <c r="T87" i="15"/>
  <c r="T88" i="15"/>
  <c r="T90" i="15"/>
  <c r="T91" i="15"/>
  <c r="T92" i="15"/>
  <c r="T93" i="15"/>
  <c r="T94" i="15"/>
  <c r="T95" i="15"/>
  <c r="T96" i="15"/>
  <c r="T97" i="15"/>
  <c r="T98" i="15"/>
  <c r="T99" i="15"/>
  <c r="T100" i="15"/>
  <c r="T101" i="15"/>
  <c r="T102" i="15"/>
  <c r="T103" i="15"/>
  <c r="T104" i="15"/>
  <c r="T105" i="15"/>
  <c r="T106" i="15"/>
  <c r="T107" i="15"/>
  <c r="T108" i="15"/>
  <c r="T109" i="15"/>
  <c r="T110" i="15"/>
  <c r="T111" i="15"/>
  <c r="T112" i="15"/>
  <c r="T113" i="15"/>
  <c r="T114" i="15"/>
  <c r="T115" i="15"/>
  <c r="T116" i="15"/>
  <c r="T117" i="15"/>
  <c r="T119" i="15"/>
  <c r="T120" i="15"/>
  <c r="T121" i="15"/>
  <c r="T122" i="15"/>
  <c r="T123" i="15"/>
  <c r="T124" i="15"/>
  <c r="T125" i="15"/>
  <c r="T126" i="15"/>
  <c r="T128" i="15"/>
  <c r="T129" i="15"/>
  <c r="T130" i="15"/>
  <c r="T131" i="15"/>
  <c r="T132" i="15"/>
  <c r="T133" i="15"/>
  <c r="T134" i="15"/>
  <c r="T135" i="15"/>
  <c r="T136" i="15"/>
  <c r="T138" i="15"/>
  <c r="T139" i="15"/>
  <c r="T140" i="15"/>
  <c r="T141" i="15"/>
  <c r="T142" i="15"/>
  <c r="T143" i="15"/>
  <c r="T144" i="15"/>
  <c r="T145" i="15"/>
  <c r="T146" i="15"/>
  <c r="T147" i="15"/>
  <c r="T148" i="15"/>
  <c r="T149" i="15"/>
  <c r="T150" i="15"/>
  <c r="T151" i="15"/>
  <c r="T152" i="15"/>
  <c r="T153" i="15"/>
  <c r="T154" i="15"/>
  <c r="T155" i="15"/>
  <c r="T156" i="15"/>
  <c r="T157" i="15"/>
  <c r="T158" i="15"/>
  <c r="T159" i="15"/>
  <c r="T161" i="15"/>
  <c r="T162" i="15"/>
  <c r="T163" i="15"/>
  <c r="T164" i="15"/>
  <c r="T165" i="15"/>
  <c r="T166" i="15"/>
  <c r="T167" i="15"/>
  <c r="T168" i="15"/>
  <c r="T169" i="15"/>
  <c r="T170" i="15"/>
  <c r="T171" i="15"/>
  <c r="T172" i="15"/>
  <c r="T174" i="15"/>
  <c r="T175" i="15"/>
  <c r="T176" i="15"/>
  <c r="T177" i="15"/>
  <c r="T178" i="15"/>
  <c r="T179" i="15"/>
  <c r="T180" i="15"/>
  <c r="T181" i="15"/>
  <c r="T182" i="15"/>
  <c r="T183" i="15"/>
  <c r="T184" i="15"/>
  <c r="T185" i="15"/>
  <c r="T186" i="15"/>
  <c r="T187" i="15"/>
  <c r="T188" i="15"/>
  <c r="T189" i="15"/>
  <c r="T190" i="15"/>
  <c r="T191" i="15"/>
  <c r="T192" i="15"/>
  <c r="T194" i="15"/>
  <c r="T195" i="15"/>
  <c r="T197" i="15"/>
  <c r="T198" i="15"/>
  <c r="T199" i="15"/>
  <c r="T200" i="15"/>
  <c r="T201" i="15"/>
  <c r="T202" i="15"/>
  <c r="T203" i="15"/>
  <c r="T204" i="15"/>
  <c r="T205" i="15"/>
  <c r="T206" i="15"/>
  <c r="T207" i="15"/>
  <c r="T208" i="15"/>
  <c r="T14" i="15"/>
  <c r="K274" i="24" l="1"/>
  <c r="K421" i="24"/>
  <c r="K76" i="24"/>
  <c r="G106" i="24"/>
  <c r="K106" i="24" s="1"/>
  <c r="K418" i="24"/>
  <c r="K478" i="24"/>
  <c r="K584" i="24"/>
  <c r="K462" i="24"/>
  <c r="K94" i="24"/>
  <c r="L270" i="24"/>
  <c r="N270" i="24" s="1"/>
  <c r="K189" i="24"/>
  <c r="K198" i="24"/>
  <c r="K273" i="24"/>
  <c r="N207" i="24"/>
  <c r="U196" i="15"/>
  <c r="V196" i="15"/>
  <c r="W196" i="15"/>
  <c r="X196" i="15"/>
  <c r="Y196" i="15"/>
  <c r="Z196" i="15"/>
  <c r="AA196" i="15"/>
  <c r="AB196" i="15"/>
  <c r="AC196" i="15"/>
  <c r="R197" i="15"/>
  <c r="S197" i="15" s="1"/>
  <c r="U197" i="15"/>
  <c r="V197" i="15"/>
  <c r="W197" i="15"/>
  <c r="X197" i="15"/>
  <c r="Y197" i="15"/>
  <c r="Z197" i="15"/>
  <c r="AA197" i="15"/>
  <c r="AB197" i="15"/>
  <c r="AC197" i="15"/>
  <c r="AD197" i="15"/>
  <c r="R198" i="15"/>
  <c r="S198" i="15" s="1"/>
  <c r="U198" i="15"/>
  <c r="V198" i="15"/>
  <c r="W198" i="15"/>
  <c r="X198" i="15"/>
  <c r="Y198" i="15"/>
  <c r="Z198" i="15"/>
  <c r="AA198" i="15"/>
  <c r="AB198" i="15"/>
  <c r="AC198" i="15"/>
  <c r="AD198" i="15"/>
  <c r="R199" i="15"/>
  <c r="S199" i="15"/>
  <c r="U199" i="15"/>
  <c r="V199" i="15"/>
  <c r="W199" i="15"/>
  <c r="X199" i="15"/>
  <c r="Y199" i="15"/>
  <c r="Z199" i="15"/>
  <c r="AA199" i="15"/>
  <c r="AB199" i="15"/>
  <c r="AC199" i="15"/>
  <c r="AD199" i="15"/>
  <c r="R200" i="15"/>
  <c r="S200" i="15"/>
  <c r="U200" i="15"/>
  <c r="V200" i="15"/>
  <c r="W200" i="15"/>
  <c r="X200" i="15"/>
  <c r="Y200" i="15"/>
  <c r="Z200" i="15"/>
  <c r="AA200" i="15"/>
  <c r="AB200" i="15"/>
  <c r="AC200" i="15"/>
  <c r="AD200" i="15"/>
  <c r="R201" i="15"/>
  <c r="S201" i="15" s="1"/>
  <c r="U201" i="15"/>
  <c r="V201" i="15"/>
  <c r="W201" i="15"/>
  <c r="X201" i="15"/>
  <c r="Y201" i="15"/>
  <c r="Z201" i="15"/>
  <c r="AA201" i="15"/>
  <c r="AB201" i="15"/>
  <c r="AC201" i="15"/>
  <c r="AD201" i="15"/>
  <c r="R202" i="15"/>
  <c r="S202" i="15"/>
  <c r="U202" i="15"/>
  <c r="V202" i="15"/>
  <c r="W202" i="15"/>
  <c r="X202" i="15"/>
  <c r="Y202" i="15"/>
  <c r="Z202" i="15"/>
  <c r="AA202" i="15"/>
  <c r="AB202" i="15"/>
  <c r="AC202" i="15"/>
  <c r="AD202" i="15"/>
  <c r="R203" i="15"/>
  <c r="S203" i="15"/>
  <c r="U203" i="15"/>
  <c r="V203" i="15"/>
  <c r="W203" i="15"/>
  <c r="X203" i="15"/>
  <c r="Y203" i="15"/>
  <c r="Z203" i="15"/>
  <c r="AA203" i="15"/>
  <c r="AB203" i="15"/>
  <c r="AC203" i="15"/>
  <c r="AD203" i="15"/>
  <c r="R204" i="15"/>
  <c r="S204" i="15" s="1"/>
  <c r="U204" i="15"/>
  <c r="V204" i="15"/>
  <c r="W204" i="15"/>
  <c r="X204" i="15"/>
  <c r="Y204" i="15"/>
  <c r="Z204" i="15"/>
  <c r="AA204" i="15"/>
  <c r="AB204" i="15"/>
  <c r="AC204" i="15"/>
  <c r="AD204" i="15"/>
  <c r="R205" i="15"/>
  <c r="S205" i="15" s="1"/>
  <c r="U205" i="15"/>
  <c r="V205" i="15"/>
  <c r="W205" i="15"/>
  <c r="X205" i="15"/>
  <c r="Y205" i="15"/>
  <c r="Z205" i="15"/>
  <c r="AA205" i="15"/>
  <c r="AB205" i="15"/>
  <c r="AC205" i="15"/>
  <c r="AD205" i="15"/>
  <c r="R206" i="15"/>
  <c r="S206" i="15" s="1"/>
  <c r="U206" i="15"/>
  <c r="V206" i="15"/>
  <c r="W206" i="15"/>
  <c r="X206" i="15"/>
  <c r="Y206" i="15"/>
  <c r="Z206" i="15"/>
  <c r="AA206" i="15"/>
  <c r="AB206" i="15"/>
  <c r="AC206" i="15"/>
  <c r="AD206" i="15"/>
  <c r="R207" i="15"/>
  <c r="S207" i="15"/>
  <c r="U207" i="15"/>
  <c r="V207" i="15"/>
  <c r="W207" i="15"/>
  <c r="X207" i="15"/>
  <c r="Y207" i="15"/>
  <c r="Z207" i="15"/>
  <c r="AA207" i="15"/>
  <c r="AB207" i="15"/>
  <c r="AC207" i="15"/>
  <c r="AD207" i="15"/>
  <c r="R208" i="15"/>
  <c r="S208" i="15"/>
  <c r="U208" i="15"/>
  <c r="V208" i="15"/>
  <c r="W208" i="15"/>
  <c r="X208" i="15"/>
  <c r="Y208" i="15"/>
  <c r="Z208" i="15"/>
  <c r="AA208" i="15"/>
  <c r="AB208" i="15"/>
  <c r="AC208" i="15"/>
  <c r="AD208" i="15"/>
  <c r="AD15" i="15"/>
  <c r="AD16" i="15"/>
  <c r="AD17" i="15"/>
  <c r="AD18" i="15"/>
  <c r="AD19" i="15"/>
  <c r="AD20" i="15"/>
  <c r="AD21" i="15"/>
  <c r="AD22" i="15"/>
  <c r="AD23" i="15"/>
  <c r="AD24" i="15"/>
  <c r="AD25" i="15"/>
  <c r="AD26" i="15"/>
  <c r="AD27" i="15"/>
  <c r="AD28" i="15"/>
  <c r="AD29" i="15"/>
  <c r="AD30" i="15"/>
  <c r="AD31" i="15"/>
  <c r="AD32" i="15"/>
  <c r="AD33" i="15"/>
  <c r="AD34" i="15"/>
  <c r="AD35" i="15"/>
  <c r="AD36" i="15"/>
  <c r="AD37" i="15"/>
  <c r="AD38" i="15"/>
  <c r="AD39" i="15"/>
  <c r="AD40" i="15"/>
  <c r="AD41" i="15"/>
  <c r="AD42" i="15"/>
  <c r="AD43" i="15"/>
  <c r="AD44" i="15"/>
  <c r="AD45" i="15"/>
  <c r="AD46" i="15"/>
  <c r="AD47" i="15"/>
  <c r="AD48" i="15"/>
  <c r="AD49" i="15"/>
  <c r="AD50" i="15"/>
  <c r="AD51" i="15"/>
  <c r="AD52" i="15"/>
  <c r="AD53" i="15"/>
  <c r="AD54" i="15"/>
  <c r="AD55" i="15"/>
  <c r="AD56" i="15"/>
  <c r="AD57" i="15"/>
  <c r="AD58" i="15"/>
  <c r="AD59" i="15"/>
  <c r="AD60" i="15"/>
  <c r="AD61" i="15"/>
  <c r="AD62" i="15"/>
  <c r="AD63" i="15"/>
  <c r="AD64" i="15"/>
  <c r="AD65" i="15"/>
  <c r="AD66" i="15"/>
  <c r="AD67" i="15"/>
  <c r="AD68" i="15"/>
  <c r="AD69" i="15"/>
  <c r="AD70" i="15"/>
  <c r="AD71" i="15"/>
  <c r="AD72" i="15"/>
  <c r="AD73" i="15"/>
  <c r="AD74" i="15"/>
  <c r="AD75" i="15"/>
  <c r="AD76" i="15"/>
  <c r="AD77" i="15"/>
  <c r="AD78" i="15"/>
  <c r="AD79" i="15"/>
  <c r="AD80" i="15"/>
  <c r="AD81" i="15"/>
  <c r="AD82" i="15"/>
  <c r="AD83" i="15"/>
  <c r="AD84" i="15"/>
  <c r="AD85" i="15"/>
  <c r="AD86" i="15"/>
  <c r="AD87" i="15"/>
  <c r="AD88" i="15"/>
  <c r="AD89" i="15"/>
  <c r="AD90" i="15"/>
  <c r="AD91" i="15"/>
  <c r="AD92" i="15"/>
  <c r="AD93" i="15"/>
  <c r="AD94" i="15"/>
  <c r="AD95" i="15"/>
  <c r="AD96" i="15"/>
  <c r="AD97" i="15"/>
  <c r="AD98" i="15"/>
  <c r="AD99" i="15"/>
  <c r="AD100" i="15"/>
  <c r="AD101" i="15"/>
  <c r="AD102" i="15"/>
  <c r="AD103" i="15"/>
  <c r="AD104" i="15"/>
  <c r="AD105" i="15"/>
  <c r="AD106" i="15"/>
  <c r="AD107" i="15"/>
  <c r="AD108" i="15"/>
  <c r="AD109" i="15"/>
  <c r="AD110" i="15"/>
  <c r="AD111" i="15"/>
  <c r="AD112" i="15"/>
  <c r="AD113" i="15"/>
  <c r="AD114" i="15"/>
  <c r="AD115" i="15"/>
  <c r="AD116" i="15"/>
  <c r="AD117" i="15"/>
  <c r="AD118" i="15"/>
  <c r="AD119" i="15"/>
  <c r="AD120" i="15"/>
  <c r="AD121" i="15"/>
  <c r="AD122" i="15"/>
  <c r="AD123" i="15"/>
  <c r="AD124" i="15"/>
  <c r="AD125" i="15"/>
  <c r="AD126" i="15"/>
  <c r="AD127" i="15"/>
  <c r="AD128" i="15"/>
  <c r="AD129" i="15"/>
  <c r="AD130" i="15"/>
  <c r="AD131" i="15"/>
  <c r="AD132" i="15"/>
  <c r="AD133" i="15"/>
  <c r="AD134" i="15"/>
  <c r="AD135" i="15"/>
  <c r="AD136" i="15"/>
  <c r="AD137" i="15"/>
  <c r="AD138" i="15"/>
  <c r="AD139" i="15"/>
  <c r="AD140" i="15"/>
  <c r="AD141" i="15"/>
  <c r="AD142" i="15"/>
  <c r="AD143" i="15"/>
  <c r="AD144" i="15"/>
  <c r="AD145" i="15"/>
  <c r="AD146" i="15"/>
  <c r="AD147" i="15"/>
  <c r="AD148" i="15"/>
  <c r="AD149" i="15"/>
  <c r="AD150" i="15"/>
  <c r="AD151" i="15"/>
  <c r="AD152" i="15"/>
  <c r="AD153" i="15"/>
  <c r="AD154" i="15"/>
  <c r="AD155" i="15"/>
  <c r="AD156" i="15"/>
  <c r="AD157" i="15"/>
  <c r="AD158" i="15"/>
  <c r="AD159" i="15"/>
  <c r="AD160" i="15"/>
  <c r="AD161" i="15"/>
  <c r="AD162" i="15"/>
  <c r="AD163" i="15"/>
  <c r="AD164" i="15"/>
  <c r="AD165" i="15"/>
  <c r="AD166" i="15"/>
  <c r="AD167" i="15"/>
  <c r="AD168" i="15"/>
  <c r="AD169" i="15"/>
  <c r="AD170" i="15"/>
  <c r="AD171" i="15"/>
  <c r="AD172" i="15"/>
  <c r="AD173" i="15"/>
  <c r="AD174" i="15"/>
  <c r="AD175" i="15"/>
  <c r="AD176" i="15"/>
  <c r="AD177" i="15"/>
  <c r="AD178" i="15"/>
  <c r="AD179" i="15"/>
  <c r="AD180" i="15"/>
  <c r="AD181" i="15"/>
  <c r="AD182" i="15"/>
  <c r="AD183" i="15"/>
  <c r="AD184" i="15"/>
  <c r="AD185" i="15"/>
  <c r="AD186" i="15"/>
  <c r="AD187" i="15"/>
  <c r="AD188" i="15"/>
  <c r="AD189" i="15"/>
  <c r="AD190" i="15"/>
  <c r="AD191" i="15"/>
  <c r="AD192" i="15"/>
  <c r="AD193" i="15"/>
  <c r="AD194" i="15"/>
  <c r="AD195" i="15"/>
  <c r="AD14" i="15"/>
  <c r="R18" i="15"/>
  <c r="R19" i="15"/>
  <c r="R20" i="15"/>
  <c r="R24" i="15"/>
  <c r="R25" i="15"/>
  <c r="R27" i="15"/>
  <c r="R28" i="15"/>
  <c r="R31" i="15"/>
  <c r="R35" i="15"/>
  <c r="R39" i="15"/>
  <c r="R55" i="15"/>
  <c r="R60" i="15"/>
  <c r="R61" i="15"/>
  <c r="J482" i="26" s="1"/>
  <c r="L482" i="26" s="1"/>
  <c r="N482" i="26" s="1"/>
  <c r="R64" i="15"/>
  <c r="R65" i="15"/>
  <c r="R66" i="15"/>
  <c r="R67" i="15"/>
  <c r="R68" i="15"/>
  <c r="R69" i="15"/>
  <c r="R70" i="15"/>
  <c r="R71" i="15"/>
  <c r="R72" i="15"/>
  <c r="R73" i="15"/>
  <c r="R74" i="15"/>
  <c r="J452" i="24" s="1"/>
  <c r="R75" i="15"/>
  <c r="J453" i="24" s="1"/>
  <c r="L453" i="24" s="1"/>
  <c r="N453" i="24" s="1"/>
  <c r="R76" i="15"/>
  <c r="J454" i="24" s="1"/>
  <c r="R77" i="15"/>
  <c r="J455" i="24" s="1"/>
  <c r="R78" i="15"/>
  <c r="J456" i="24" s="1"/>
  <c r="L456" i="24" s="1"/>
  <c r="N456" i="24" s="1"/>
  <c r="R79" i="15"/>
  <c r="J457" i="24" s="1"/>
  <c r="R80" i="15"/>
  <c r="J458" i="24" s="1"/>
  <c r="R81" i="15"/>
  <c r="R84" i="15"/>
  <c r="R85" i="15"/>
  <c r="R86" i="15"/>
  <c r="R87" i="15"/>
  <c r="R88" i="15"/>
  <c r="R89" i="15"/>
  <c r="R90" i="15"/>
  <c r="J546" i="26" s="1"/>
  <c r="R91" i="15"/>
  <c r="R92" i="15"/>
  <c r="R93" i="15"/>
  <c r="R94" i="15"/>
  <c r="R95" i="15"/>
  <c r="R96" i="15"/>
  <c r="R97" i="15"/>
  <c r="R98" i="15"/>
  <c r="R99" i="15"/>
  <c r="R100" i="15"/>
  <c r="R101" i="15"/>
  <c r="R102" i="15"/>
  <c r="R103" i="15"/>
  <c r="R104" i="15"/>
  <c r="R105" i="15"/>
  <c r="R106" i="15"/>
  <c r="R107" i="15"/>
  <c r="R111" i="15"/>
  <c r="R112" i="15"/>
  <c r="R113" i="15"/>
  <c r="R114" i="15"/>
  <c r="R115" i="15"/>
  <c r="R116" i="15"/>
  <c r="R117" i="15"/>
  <c r="R118" i="15"/>
  <c r="R121" i="15"/>
  <c r="R122" i="15"/>
  <c r="R123" i="15"/>
  <c r="R124" i="15"/>
  <c r="R125" i="15"/>
  <c r="R126" i="15"/>
  <c r="R127" i="15"/>
  <c r="R128" i="15"/>
  <c r="R129" i="15"/>
  <c r="R130" i="15"/>
  <c r="R131" i="15"/>
  <c r="R132" i="15"/>
  <c r="R133" i="15"/>
  <c r="R134" i="15"/>
  <c r="R135" i="15"/>
  <c r="R136" i="15"/>
  <c r="R137" i="15"/>
  <c r="R138" i="15"/>
  <c r="J485" i="24" s="1"/>
  <c r="L485" i="24" s="1"/>
  <c r="N485" i="24" s="1"/>
  <c r="R139" i="15"/>
  <c r="J488" i="24" s="1"/>
  <c r="L488" i="24" s="1"/>
  <c r="N488" i="24" s="1"/>
  <c r="R140" i="15"/>
  <c r="J491" i="24" s="1"/>
  <c r="L491" i="24" s="1"/>
  <c r="N491" i="24" s="1"/>
  <c r="R141" i="15"/>
  <c r="J494" i="24" s="1"/>
  <c r="L494" i="24" s="1"/>
  <c r="N494" i="24" s="1"/>
  <c r="R142" i="15"/>
  <c r="J497" i="24" s="1"/>
  <c r="L497" i="24" s="1"/>
  <c r="N497" i="24" s="1"/>
  <c r="R143" i="15"/>
  <c r="J500" i="24" s="1"/>
  <c r="L500" i="24" s="1"/>
  <c r="N500" i="24" s="1"/>
  <c r="R144" i="15"/>
  <c r="J503" i="24" s="1"/>
  <c r="L503" i="24" s="1"/>
  <c r="N503" i="24" s="1"/>
  <c r="R145" i="15"/>
  <c r="J506" i="24" s="1"/>
  <c r="L506" i="24" s="1"/>
  <c r="N506" i="24" s="1"/>
  <c r="R146" i="15"/>
  <c r="J509" i="24" s="1"/>
  <c r="L509" i="24" s="1"/>
  <c r="N509" i="24" s="1"/>
  <c r="R147" i="15"/>
  <c r="J512" i="24" s="1"/>
  <c r="L512" i="24" s="1"/>
  <c r="N512" i="24" s="1"/>
  <c r="R148" i="15"/>
  <c r="J515" i="24" s="1"/>
  <c r="L515" i="24" s="1"/>
  <c r="N515" i="24" s="1"/>
  <c r="R149" i="15"/>
  <c r="J518" i="24" s="1"/>
  <c r="L518" i="24" s="1"/>
  <c r="N518" i="24" s="1"/>
  <c r="R150" i="15"/>
  <c r="J521" i="24" s="1"/>
  <c r="L521" i="24" s="1"/>
  <c r="N521" i="24" s="1"/>
  <c r="R151" i="15"/>
  <c r="J524" i="24" s="1"/>
  <c r="L524" i="24" s="1"/>
  <c r="N524" i="24" s="1"/>
  <c r="R152" i="15"/>
  <c r="J527" i="24" s="1"/>
  <c r="L527" i="24" s="1"/>
  <c r="N527" i="24" s="1"/>
  <c r="R153" i="15"/>
  <c r="J530" i="24" s="1"/>
  <c r="L530" i="24" s="1"/>
  <c r="N530" i="24" s="1"/>
  <c r="R156" i="15"/>
  <c r="J539" i="24" s="1"/>
  <c r="L539" i="24" s="1"/>
  <c r="N539" i="24" s="1"/>
  <c r="R158" i="15"/>
  <c r="J544" i="24" s="1"/>
  <c r="L544" i="24" s="1"/>
  <c r="R159" i="15"/>
  <c r="J547" i="24" s="1"/>
  <c r="L547" i="24" s="1"/>
  <c r="R160" i="15"/>
  <c r="R161" i="15"/>
  <c r="R162" i="15"/>
  <c r="R163" i="15"/>
  <c r="R164" i="15"/>
  <c r="R165" i="15"/>
  <c r="R166" i="15"/>
  <c r="R167" i="15"/>
  <c r="R168" i="15"/>
  <c r="R169" i="15"/>
  <c r="R170" i="15"/>
  <c r="R171" i="15"/>
  <c r="R172" i="15"/>
  <c r="R173" i="15"/>
  <c r="R175" i="15"/>
  <c r="R182" i="15"/>
  <c r="R191" i="15"/>
  <c r="R192" i="15"/>
  <c r="R193" i="15"/>
  <c r="R194" i="15"/>
  <c r="R195" i="15"/>
  <c r="AD209" i="15" l="1"/>
  <c r="R212" i="15" s="1"/>
  <c r="AE204" i="15"/>
  <c r="AF204" i="15" s="1"/>
  <c r="J316" i="24"/>
  <c r="L316" i="24" s="1"/>
  <c r="N316" i="24" s="1"/>
  <c r="J284" i="26"/>
  <c r="L284" i="26" s="1"/>
  <c r="N284" i="26" s="1"/>
  <c r="AE203" i="15"/>
  <c r="AF203" i="15" s="1"/>
  <c r="AE205" i="15"/>
  <c r="AF205" i="15" s="1"/>
  <c r="E8" i="15"/>
  <c r="K72" i="24"/>
  <c r="L72" i="24" s="1"/>
  <c r="N72" i="24" s="1"/>
  <c r="AE208" i="15"/>
  <c r="AF208" i="15" s="1"/>
  <c r="AE207" i="15"/>
  <c r="AF207" i="15" s="1"/>
  <c r="AE206" i="15"/>
  <c r="AF206" i="15" s="1"/>
  <c r="AE202" i="15"/>
  <c r="AF202" i="15" s="1"/>
  <c r="AE201" i="15"/>
  <c r="AF201" i="15" s="1"/>
  <c r="AE200" i="15"/>
  <c r="AF200" i="15" s="1"/>
  <c r="AE199" i="15"/>
  <c r="AF199" i="15" s="1"/>
  <c r="AE198" i="15"/>
  <c r="AF198" i="15" s="1"/>
  <c r="AE197" i="15"/>
  <c r="AF197" i="15" s="1"/>
  <c r="E8" i="24" l="1"/>
  <c r="E8" i="26"/>
  <c r="E8" i="25"/>
  <c r="M418" i="22"/>
  <c r="M430" i="22"/>
  <c r="K431" i="22"/>
  <c r="K413" i="22"/>
  <c r="K412" i="22" s="1"/>
  <c r="P53" i="15" s="1"/>
  <c r="K409" i="22"/>
  <c r="K408" i="22" s="1"/>
  <c r="P51" i="15" s="1"/>
  <c r="AC51" i="15" s="1"/>
  <c r="M400" i="22"/>
  <c r="K401" i="22"/>
  <c r="K400" i="22" s="1"/>
  <c r="P47" i="15" s="1"/>
  <c r="K397" i="22"/>
  <c r="K396" i="22" s="1"/>
  <c r="P45" i="15" s="1"/>
  <c r="K391" i="22"/>
  <c r="G390" i="22"/>
  <c r="K390" i="22" s="1"/>
  <c r="K388" i="22"/>
  <c r="K387" i="22"/>
  <c r="M384" i="22"/>
  <c r="K384" i="22"/>
  <c r="P40" i="15" s="1"/>
  <c r="D8" i="23"/>
  <c r="B8" i="23"/>
  <c r="K559" i="22"/>
  <c r="K558" i="22"/>
  <c r="K557" i="22"/>
  <c r="K556" i="22"/>
  <c r="K555" i="22"/>
  <c r="G548" i="22"/>
  <c r="K548" i="22" s="1"/>
  <c r="K547" i="22" s="1"/>
  <c r="M547" i="22"/>
  <c r="G516" i="22"/>
  <c r="K516" i="22" s="1"/>
  <c r="K515" i="22" s="1"/>
  <c r="G511" i="22"/>
  <c r="K511" i="22" s="1"/>
  <c r="K510" i="22" s="1"/>
  <c r="N509" i="22"/>
  <c r="N508" i="22"/>
  <c r="K505" i="22"/>
  <c r="K504" i="22" s="1"/>
  <c r="K502" i="22"/>
  <c r="K501" i="22" s="1"/>
  <c r="N500" i="22"/>
  <c r="N499" i="22"/>
  <c r="N497" i="22"/>
  <c r="N496" i="22"/>
  <c r="N494" i="22"/>
  <c r="N493" i="22"/>
  <c r="N491" i="22"/>
  <c r="N490" i="22"/>
  <c r="N488" i="22"/>
  <c r="N487" i="22"/>
  <c r="N485" i="22"/>
  <c r="N484" i="22"/>
  <c r="N482" i="22"/>
  <c r="N481" i="22"/>
  <c r="N479" i="22"/>
  <c r="N478" i="22"/>
  <c r="N476" i="22"/>
  <c r="N475" i="22"/>
  <c r="N473" i="22"/>
  <c r="N472" i="22"/>
  <c r="K472" i="22"/>
  <c r="K471" i="22" s="1"/>
  <c r="N470" i="22"/>
  <c r="N469" i="22"/>
  <c r="K468" i="22"/>
  <c r="N467" i="22"/>
  <c r="N466" i="22"/>
  <c r="G466" i="22"/>
  <c r="K466" i="22" s="1"/>
  <c r="K465" i="22" s="1"/>
  <c r="N464" i="22"/>
  <c r="N463" i="22"/>
  <c r="G463" i="22"/>
  <c r="K463" i="22" s="1"/>
  <c r="K462" i="22" s="1"/>
  <c r="N461" i="22"/>
  <c r="N460" i="22"/>
  <c r="G460" i="22"/>
  <c r="K460" i="22" s="1"/>
  <c r="K459" i="22" s="1"/>
  <c r="N458" i="22"/>
  <c r="N457" i="22"/>
  <c r="G457" i="22"/>
  <c r="K457" i="22" s="1"/>
  <c r="K456" i="22" s="1"/>
  <c r="N455" i="22"/>
  <c r="N454" i="22"/>
  <c r="G454" i="22"/>
  <c r="K454" i="22" s="1"/>
  <c r="K453" i="22" s="1"/>
  <c r="K451" i="22"/>
  <c r="K450" i="22"/>
  <c r="K449" i="22"/>
  <c r="K448" i="22"/>
  <c r="K447" i="22"/>
  <c r="M446" i="22"/>
  <c r="K445" i="22"/>
  <c r="K444" i="22" s="1"/>
  <c r="M444" i="22"/>
  <c r="M441" i="22"/>
  <c r="K441" i="22"/>
  <c r="M439" i="22"/>
  <c r="K439" i="22"/>
  <c r="M437" i="22"/>
  <c r="K437" i="22"/>
  <c r="K436" i="22"/>
  <c r="K435" i="22"/>
  <c r="K434" i="22"/>
  <c r="K433" i="22"/>
  <c r="K432" i="22"/>
  <c r="K429" i="22"/>
  <c r="K428" i="22" s="1"/>
  <c r="P82" i="15" s="1"/>
  <c r="AC82" i="15" s="1"/>
  <c r="M428" i="22"/>
  <c r="K425" i="22"/>
  <c r="M424" i="22"/>
  <c r="K422" i="22"/>
  <c r="K421" i="22" s="1"/>
  <c r="M421" i="22"/>
  <c r="K419" i="22"/>
  <c r="K418" i="22" s="1"/>
  <c r="P56" i="15" s="1"/>
  <c r="AC56" i="15" s="1"/>
  <c r="M414" i="22"/>
  <c r="M412" i="22"/>
  <c r="M410" i="22"/>
  <c r="M408" i="22"/>
  <c r="K407" i="22"/>
  <c r="K406" i="22" s="1"/>
  <c r="P50" i="15" s="1"/>
  <c r="M406" i="22"/>
  <c r="K405" i="22"/>
  <c r="K404" i="22" s="1"/>
  <c r="P49" i="15" s="1"/>
  <c r="AC49" i="15" s="1"/>
  <c r="M404" i="22"/>
  <c r="K403" i="22"/>
  <c r="K402" i="22" s="1"/>
  <c r="P48" i="15" s="1"/>
  <c r="M402" i="22"/>
  <c r="K399" i="22"/>
  <c r="K398" i="22" s="1"/>
  <c r="P46" i="15" s="1"/>
  <c r="M398" i="22"/>
  <c r="M396" i="22"/>
  <c r="G395" i="22"/>
  <c r="K395" i="22" s="1"/>
  <c r="K394" i="22" s="1"/>
  <c r="M394" i="22"/>
  <c r="K393" i="22"/>
  <c r="K392" i="22" s="1"/>
  <c r="P43" i="15" s="1"/>
  <c r="M392" i="22"/>
  <c r="M389" i="22"/>
  <c r="M386" i="22"/>
  <c r="M381" i="22"/>
  <c r="K381" i="22"/>
  <c r="G380" i="22"/>
  <c r="K380" i="22" s="1"/>
  <c r="G379" i="22"/>
  <c r="K379" i="22" s="1"/>
  <c r="G378" i="22"/>
  <c r="K378" i="22" s="1"/>
  <c r="G377" i="22"/>
  <c r="K377" i="22" s="1"/>
  <c r="G376" i="22"/>
  <c r="K376" i="22" s="1"/>
  <c r="G375" i="22"/>
  <c r="K375" i="22" s="1"/>
  <c r="G374" i="22"/>
  <c r="K374" i="22" s="1"/>
  <c r="G373" i="22"/>
  <c r="K373" i="22" s="1"/>
  <c r="G372" i="22"/>
  <c r="K372" i="22" s="1"/>
  <c r="G371" i="22"/>
  <c r="K371" i="22" s="1"/>
  <c r="G370" i="22"/>
  <c r="K370" i="22" s="1"/>
  <c r="G369" i="22"/>
  <c r="K369" i="22" s="1"/>
  <c r="G368" i="22"/>
  <c r="K368" i="22" s="1"/>
  <c r="G367" i="22"/>
  <c r="K367" i="22" s="1"/>
  <c r="G366" i="22"/>
  <c r="K366" i="22" s="1"/>
  <c r="G365" i="22"/>
  <c r="K365" i="22" s="1"/>
  <c r="G364" i="22"/>
  <c r="K364" i="22" s="1"/>
  <c r="G363" i="22"/>
  <c r="K363" i="22" s="1"/>
  <c r="G362" i="22"/>
  <c r="K362" i="22" s="1"/>
  <c r="G361" i="22"/>
  <c r="K361" i="22" s="1"/>
  <c r="G360" i="22"/>
  <c r="K360" i="22" s="1"/>
  <c r="G359" i="22"/>
  <c r="K359" i="22" s="1"/>
  <c r="G358" i="22"/>
  <c r="K358" i="22" s="1"/>
  <c r="G357" i="22"/>
  <c r="K357" i="22" s="1"/>
  <c r="G356" i="22"/>
  <c r="K356" i="22" s="1"/>
  <c r="G355" i="22"/>
  <c r="K355" i="22" s="1"/>
  <c r="G354" i="22"/>
  <c r="K354" i="22" s="1"/>
  <c r="G353" i="22"/>
  <c r="K353" i="22" s="1"/>
  <c r="G352" i="22"/>
  <c r="K352" i="22" s="1"/>
  <c r="G351" i="22"/>
  <c r="K351" i="22" s="1"/>
  <c r="K349" i="22"/>
  <c r="K348" i="22"/>
  <c r="K347" i="22"/>
  <c r="K346" i="22"/>
  <c r="K345" i="22"/>
  <c r="K344" i="22"/>
  <c r="K343" i="22"/>
  <c r="M340" i="22"/>
  <c r="K340" i="22"/>
  <c r="G338" i="22"/>
  <c r="K338" i="22" s="1"/>
  <c r="G337" i="22"/>
  <c r="K337" i="22" s="1"/>
  <c r="G336" i="22"/>
  <c r="K336" i="22" s="1"/>
  <c r="G335" i="22"/>
  <c r="K335" i="22" s="1"/>
  <c r="G334" i="22"/>
  <c r="K334" i="22" s="1"/>
  <c r="G333" i="22"/>
  <c r="K333" i="22" s="1"/>
  <c r="G332" i="22"/>
  <c r="K332" i="22" s="1"/>
  <c r="M330" i="22"/>
  <c r="K330" i="22"/>
  <c r="G329" i="22"/>
  <c r="K329" i="22" s="1"/>
  <c r="G328" i="22"/>
  <c r="K328" i="22" s="1"/>
  <c r="G327" i="22"/>
  <c r="K327" i="22" s="1"/>
  <c r="G326" i="22"/>
  <c r="K326" i="22" s="1"/>
  <c r="G325" i="22"/>
  <c r="K325" i="22" s="1"/>
  <c r="G324" i="22"/>
  <c r="K324" i="22" s="1"/>
  <c r="G323" i="22"/>
  <c r="K323" i="22" s="1"/>
  <c r="G322" i="22"/>
  <c r="K322" i="22" s="1"/>
  <c r="G321" i="22"/>
  <c r="K321" i="22" s="1"/>
  <c r="G320" i="22"/>
  <c r="K320" i="22" s="1"/>
  <c r="G319" i="22"/>
  <c r="K319" i="22" s="1"/>
  <c r="G318" i="22"/>
  <c r="K318" i="22" s="1"/>
  <c r="G317" i="22"/>
  <c r="K317" i="22" s="1"/>
  <c r="G316" i="22"/>
  <c r="K316" i="22" s="1"/>
  <c r="G315" i="22"/>
  <c r="K315" i="22" s="1"/>
  <c r="G314" i="22"/>
  <c r="K314" i="22" s="1"/>
  <c r="G313" i="22"/>
  <c r="K313" i="22" s="1"/>
  <c r="G312" i="22"/>
  <c r="K312" i="22" s="1"/>
  <c r="G311" i="22"/>
  <c r="K311" i="22" s="1"/>
  <c r="G310" i="22"/>
  <c r="K310" i="22" s="1"/>
  <c r="G309" i="22"/>
  <c r="K309" i="22" s="1"/>
  <c r="G308" i="22"/>
  <c r="K308" i="22" s="1"/>
  <c r="G307" i="22"/>
  <c r="K307" i="22" s="1"/>
  <c r="M304" i="22"/>
  <c r="K303" i="22"/>
  <c r="K302" i="22" s="1"/>
  <c r="M302" i="22"/>
  <c r="G301" i="22"/>
  <c r="K301" i="22" s="1"/>
  <c r="G300" i="22"/>
  <c r="K300" i="22" s="1"/>
  <c r="G299" i="22"/>
  <c r="K299" i="22" s="1"/>
  <c r="G298" i="22"/>
  <c r="K298" i="22" s="1"/>
  <c r="G297" i="22"/>
  <c r="K297" i="22" s="1"/>
  <c r="G296" i="22"/>
  <c r="K296" i="22" s="1"/>
  <c r="G295" i="22"/>
  <c r="K295" i="22" s="1"/>
  <c r="G293" i="22"/>
  <c r="K293" i="22" s="1"/>
  <c r="G292" i="22"/>
  <c r="K292" i="22" s="1"/>
  <c r="G291" i="22"/>
  <c r="K291" i="22" s="1"/>
  <c r="G290" i="22"/>
  <c r="K290" i="22" s="1"/>
  <c r="G289" i="22"/>
  <c r="K289" i="22" s="1"/>
  <c r="G288" i="22"/>
  <c r="K288" i="22" s="1"/>
  <c r="G287" i="22"/>
  <c r="K287" i="22" s="1"/>
  <c r="G286" i="22"/>
  <c r="K286" i="22" s="1"/>
  <c r="G285" i="22"/>
  <c r="K285" i="22" s="1"/>
  <c r="G284" i="22"/>
  <c r="K284" i="22" s="1"/>
  <c r="G283" i="22"/>
  <c r="K283" i="22" s="1"/>
  <c r="G282" i="22"/>
  <c r="K282" i="22" s="1"/>
  <c r="G281" i="22"/>
  <c r="K281" i="22" s="1"/>
  <c r="G280" i="22"/>
  <c r="K280" i="22" s="1"/>
  <c r="G279" i="22"/>
  <c r="K279" i="22" s="1"/>
  <c r="G278" i="22"/>
  <c r="K278" i="22" s="1"/>
  <c r="G277" i="22"/>
  <c r="K277" i="22" s="1"/>
  <c r="G276" i="22"/>
  <c r="K276" i="22" s="1"/>
  <c r="G275" i="22"/>
  <c r="K275" i="22" s="1"/>
  <c r="G274" i="22"/>
  <c r="K274" i="22" s="1"/>
  <c r="G273" i="22"/>
  <c r="K273" i="22" s="1"/>
  <c r="G272" i="22"/>
  <c r="K272" i="22" s="1"/>
  <c r="G271" i="22"/>
  <c r="K271" i="22" s="1"/>
  <c r="G270" i="22"/>
  <c r="K270" i="22" s="1"/>
  <c r="G269" i="22"/>
  <c r="K269" i="22" s="1"/>
  <c r="G268" i="22"/>
  <c r="K268" i="22" s="1"/>
  <c r="G267" i="22"/>
  <c r="K267" i="22" s="1"/>
  <c r="G266" i="22"/>
  <c r="K266" i="22" s="1"/>
  <c r="G265" i="22"/>
  <c r="K265" i="22" s="1"/>
  <c r="G264" i="22"/>
  <c r="K264" i="22" s="1"/>
  <c r="M262" i="22"/>
  <c r="K262" i="22"/>
  <c r="G261" i="22"/>
  <c r="K260" i="22" s="1"/>
  <c r="M260" i="22"/>
  <c r="M257" i="22"/>
  <c r="K257" i="22"/>
  <c r="K256" i="22"/>
  <c r="K255" i="22"/>
  <c r="K254" i="22"/>
  <c r="K253" i="22"/>
  <c r="K252" i="22"/>
  <c r="K251" i="22"/>
  <c r="K250" i="22"/>
  <c r="K248" i="22"/>
  <c r="K247" i="22"/>
  <c r="K246" i="22"/>
  <c r="K245" i="22"/>
  <c r="K244" i="22"/>
  <c r="K243" i="22"/>
  <c r="K242" i="22"/>
  <c r="K241" i="22"/>
  <c r="K240" i="22"/>
  <c r="K239" i="22"/>
  <c r="K238" i="22"/>
  <c r="K237" i="22"/>
  <c r="K236" i="22"/>
  <c r="K235" i="22"/>
  <c r="K234" i="22"/>
  <c r="K233" i="22"/>
  <c r="K232" i="22"/>
  <c r="K231" i="22"/>
  <c r="K230" i="22"/>
  <c r="K229" i="22"/>
  <c r="K228" i="22"/>
  <c r="K227" i="22"/>
  <c r="K226" i="22"/>
  <c r="K225" i="22"/>
  <c r="K224" i="22"/>
  <c r="K223" i="22"/>
  <c r="K222" i="22"/>
  <c r="K221" i="22"/>
  <c r="K220" i="22"/>
  <c r="K219" i="22"/>
  <c r="K218" i="22"/>
  <c r="K216" i="22"/>
  <c r="K215" i="22"/>
  <c r="K214" i="22"/>
  <c r="K213" i="22"/>
  <c r="K212" i="22"/>
  <c r="K211" i="22"/>
  <c r="K210" i="22"/>
  <c r="M208" i="22"/>
  <c r="K208" i="22"/>
  <c r="G207" i="22"/>
  <c r="K207" i="22" s="1"/>
  <c r="G206" i="22"/>
  <c r="K206" i="22" s="1"/>
  <c r="G205" i="22"/>
  <c r="K205" i="22" s="1"/>
  <c r="G204" i="22"/>
  <c r="K204" i="22" s="1"/>
  <c r="G203" i="22"/>
  <c r="K203" i="22" s="1"/>
  <c r="G202" i="22"/>
  <c r="K202" i="22" s="1"/>
  <c r="G201" i="22"/>
  <c r="K201" i="22" s="1"/>
  <c r="G178" i="22"/>
  <c r="G177" i="22"/>
  <c r="G176" i="22"/>
  <c r="G175" i="22"/>
  <c r="G174" i="22"/>
  <c r="K174" i="22" s="1"/>
  <c r="M172" i="22"/>
  <c r="K172" i="22"/>
  <c r="K171" i="22"/>
  <c r="K170" i="22"/>
  <c r="K169" i="22"/>
  <c r="K168" i="22"/>
  <c r="K167" i="22"/>
  <c r="K166" i="22"/>
  <c r="K165" i="22"/>
  <c r="M163" i="22"/>
  <c r="K162" i="22"/>
  <c r="K161" i="22"/>
  <c r="K160" i="22"/>
  <c r="K159" i="22"/>
  <c r="K158" i="22"/>
  <c r="K157" i="22"/>
  <c r="K156" i="22"/>
  <c r="M154" i="22"/>
  <c r="K153" i="22"/>
  <c r="K152" i="22"/>
  <c r="K151" i="22"/>
  <c r="K150" i="22"/>
  <c r="K149" i="22"/>
  <c r="K148" i="22"/>
  <c r="K147" i="22"/>
  <c r="K146" i="22"/>
  <c r="K145" i="22"/>
  <c r="K144" i="22"/>
  <c r="K143" i="22"/>
  <c r="K142" i="22"/>
  <c r="K141" i="22"/>
  <c r="K140" i="22"/>
  <c r="K139" i="22"/>
  <c r="K138" i="22"/>
  <c r="K137" i="22"/>
  <c r="K136" i="22"/>
  <c r="K135" i="22"/>
  <c r="K134" i="22"/>
  <c r="K133" i="22"/>
  <c r="K132" i="22"/>
  <c r="K131" i="22"/>
  <c r="K130" i="22"/>
  <c r="K129" i="22"/>
  <c r="K128" i="22"/>
  <c r="K127" i="22"/>
  <c r="K126" i="22"/>
  <c r="K125" i="22"/>
  <c r="K124" i="22"/>
  <c r="K123" i="22"/>
  <c r="K122" i="22"/>
  <c r="K121" i="22"/>
  <c r="K120" i="22"/>
  <c r="K119" i="22"/>
  <c r="K118" i="22"/>
  <c r="K117" i="22"/>
  <c r="K116" i="22"/>
  <c r="K115" i="22"/>
  <c r="K114" i="22"/>
  <c r="K113" i="22"/>
  <c r="K112" i="22"/>
  <c r="K111" i="22"/>
  <c r="K110" i="22"/>
  <c r="M108" i="22"/>
  <c r="I105" i="22"/>
  <c r="K105" i="22" s="1"/>
  <c r="I104" i="22"/>
  <c r="K104" i="22" s="1"/>
  <c r="I103" i="22"/>
  <c r="K103" i="22" s="1"/>
  <c r="I102" i="22"/>
  <c r="K102" i="22" s="1"/>
  <c r="I101" i="22"/>
  <c r="K101" i="22" s="1"/>
  <c r="I100" i="22"/>
  <c r="K100" i="22" s="1"/>
  <c r="I99" i="22"/>
  <c r="K99" i="22" s="1"/>
  <c r="I98" i="22"/>
  <c r="K98" i="22" s="1"/>
  <c r="I97" i="22"/>
  <c r="K97" i="22" s="1"/>
  <c r="I96" i="22"/>
  <c r="K96" i="22" s="1"/>
  <c r="I95" i="22"/>
  <c r="K95" i="22" s="1"/>
  <c r="I94" i="22"/>
  <c r="G94" i="22"/>
  <c r="I93" i="22"/>
  <c r="K93" i="22" s="1"/>
  <c r="I92" i="22"/>
  <c r="K92" i="22" s="1"/>
  <c r="I91" i="22"/>
  <c r="K91" i="22" s="1"/>
  <c r="I90" i="22"/>
  <c r="K90" i="22" s="1"/>
  <c r="I89" i="22"/>
  <c r="K89" i="22" s="1"/>
  <c r="I88" i="22"/>
  <c r="K88" i="22" s="1"/>
  <c r="I87" i="22"/>
  <c r="K87" i="22" s="1"/>
  <c r="I86" i="22"/>
  <c r="K86" i="22" s="1"/>
  <c r="I85" i="22"/>
  <c r="K85" i="22" s="1"/>
  <c r="I84" i="22"/>
  <c r="K84" i="22" s="1"/>
  <c r="I83" i="22"/>
  <c r="K83" i="22" s="1"/>
  <c r="I82" i="22"/>
  <c r="K82" i="22" s="1"/>
  <c r="I81" i="22"/>
  <c r="K81" i="22" s="1"/>
  <c r="I80" i="22"/>
  <c r="K80" i="22" s="1"/>
  <c r="I79" i="22"/>
  <c r="K79" i="22" s="1"/>
  <c r="I78" i="22"/>
  <c r="K78" i="22" s="1"/>
  <c r="I77" i="22"/>
  <c r="K77" i="22" s="1"/>
  <c r="I76" i="22"/>
  <c r="G76" i="22"/>
  <c r="I75" i="22"/>
  <c r="K75" i="22" s="1"/>
  <c r="I74" i="22"/>
  <c r="K74" i="22" s="1"/>
  <c r="M72" i="22"/>
  <c r="J72" i="22"/>
  <c r="L71" i="22"/>
  <c r="G70" i="22"/>
  <c r="K68" i="22" s="1"/>
  <c r="M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M25" i="22"/>
  <c r="K25" i="22"/>
  <c r="M24" i="22"/>
  <c r="K24" i="22"/>
  <c r="K22" i="22"/>
  <c r="K21" i="22" s="1"/>
  <c r="M21" i="22"/>
  <c r="K20" i="22"/>
  <c r="K19" i="22" s="1"/>
  <c r="M19" i="22"/>
  <c r="K18" i="22"/>
  <c r="K17" i="22" s="1"/>
  <c r="M17" i="22"/>
  <c r="M16" i="22"/>
  <c r="K16" i="22"/>
  <c r="M15" i="22"/>
  <c r="K15" i="22"/>
  <c r="M14" i="22"/>
  <c r="K14" i="22"/>
  <c r="D8" i="22"/>
  <c r="B8" i="22"/>
  <c r="G454" i="20"/>
  <c r="G451" i="20"/>
  <c r="G404" i="20"/>
  <c r="K404" i="20" s="1"/>
  <c r="G387" i="20"/>
  <c r="K387" i="20" s="1"/>
  <c r="K386" i="20" s="1"/>
  <c r="O42" i="15" s="1"/>
  <c r="G385" i="20"/>
  <c r="K385" i="20" s="1"/>
  <c r="K384" i="20" s="1"/>
  <c r="O41" i="15" s="1"/>
  <c r="G403" i="20"/>
  <c r="K403" i="20" s="1"/>
  <c r="J489" i="20"/>
  <c r="K415" i="20"/>
  <c r="K414" i="20" s="1"/>
  <c r="O56" i="15" s="1"/>
  <c r="AB56" i="15" s="1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0" i="15" s="1"/>
  <c r="R110" i="15" s="1"/>
  <c r="J473" i="24" s="1"/>
  <c r="L473" i="24" s="1"/>
  <c r="N473" i="24" s="1"/>
  <c r="K434" i="20"/>
  <c r="O108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19" i="15" s="1"/>
  <c r="G508" i="20"/>
  <c r="K508" i="20" s="1"/>
  <c r="K507" i="20" s="1"/>
  <c r="O157" i="15" s="1"/>
  <c r="R157" i="15" s="1"/>
  <c r="J542" i="24" s="1"/>
  <c r="L542" i="24" s="1"/>
  <c r="N542" i="24" s="1"/>
  <c r="K502" i="20"/>
  <c r="K501" i="20" s="1"/>
  <c r="O155" i="15" s="1"/>
  <c r="R155" i="15" s="1"/>
  <c r="J536" i="24" s="1"/>
  <c r="L536" i="24" s="1"/>
  <c r="N536" i="24" s="1"/>
  <c r="K499" i="20"/>
  <c r="K498" i="20" s="1"/>
  <c r="O154" i="15" s="1"/>
  <c r="R154" i="15" s="1"/>
  <c r="J533" i="24" s="1"/>
  <c r="L533" i="24" s="1"/>
  <c r="N533" i="24" s="1"/>
  <c r="AB15" i="15"/>
  <c r="AC15" i="15"/>
  <c r="AB16" i="15"/>
  <c r="AC16" i="15"/>
  <c r="AB17" i="15"/>
  <c r="AC17" i="15"/>
  <c r="AB18" i="15"/>
  <c r="AC18" i="15"/>
  <c r="AB19" i="15"/>
  <c r="AC19" i="15"/>
  <c r="AB20" i="15"/>
  <c r="AC20" i="15"/>
  <c r="AB21" i="15"/>
  <c r="AC21" i="15"/>
  <c r="AB22" i="15"/>
  <c r="AC22" i="15"/>
  <c r="AB23" i="15"/>
  <c r="AC23" i="15"/>
  <c r="AB24" i="15"/>
  <c r="AC24" i="15"/>
  <c r="AB25" i="15"/>
  <c r="AC25" i="15"/>
  <c r="AB26" i="15"/>
  <c r="AC26" i="15"/>
  <c r="AB27" i="15"/>
  <c r="AC27" i="15"/>
  <c r="AB28" i="15"/>
  <c r="AC28" i="15"/>
  <c r="AB29" i="15"/>
  <c r="AC29" i="15"/>
  <c r="AB30" i="15"/>
  <c r="AC30" i="15"/>
  <c r="AB31" i="15"/>
  <c r="AC31" i="15"/>
  <c r="AB32" i="15"/>
  <c r="AC32" i="15"/>
  <c r="AB33" i="15"/>
  <c r="AC33" i="15"/>
  <c r="AB34" i="15"/>
  <c r="AC34" i="15"/>
  <c r="AB35" i="15"/>
  <c r="AC35" i="15"/>
  <c r="AB36" i="15"/>
  <c r="AC36" i="15"/>
  <c r="AB37" i="15"/>
  <c r="AC37" i="15"/>
  <c r="AB38" i="15"/>
  <c r="AC38" i="15"/>
  <c r="AB39" i="15"/>
  <c r="AC39" i="15"/>
  <c r="AB40" i="15"/>
  <c r="AB43" i="15"/>
  <c r="AB44" i="15"/>
  <c r="AC44" i="15"/>
  <c r="AB45" i="15"/>
  <c r="AB46" i="15"/>
  <c r="AB47" i="15"/>
  <c r="AB48" i="15"/>
  <c r="AB49" i="15"/>
  <c r="AB50" i="15"/>
  <c r="AB53" i="15"/>
  <c r="AB54" i="15"/>
  <c r="AC54" i="15"/>
  <c r="AB55" i="15"/>
  <c r="AC55" i="15"/>
  <c r="AB57" i="15"/>
  <c r="AC57" i="15"/>
  <c r="AB58" i="15"/>
  <c r="AC58" i="15"/>
  <c r="AB59" i="15"/>
  <c r="AC59" i="15"/>
  <c r="AB60" i="15"/>
  <c r="AC60" i="15"/>
  <c r="AB61" i="15"/>
  <c r="AC61" i="15"/>
  <c r="AB62" i="15"/>
  <c r="AC62" i="15"/>
  <c r="AB63" i="15"/>
  <c r="AC63" i="15"/>
  <c r="AB64" i="15"/>
  <c r="AC64" i="15"/>
  <c r="AB65" i="15"/>
  <c r="AC65" i="15"/>
  <c r="AB66" i="15"/>
  <c r="AC66" i="15"/>
  <c r="AB67" i="15"/>
  <c r="AC67" i="15"/>
  <c r="AB68" i="15"/>
  <c r="AC68" i="15"/>
  <c r="AB69" i="15"/>
  <c r="AC69" i="15"/>
  <c r="AB70" i="15"/>
  <c r="AC70" i="15"/>
  <c r="AB71" i="15"/>
  <c r="AC71" i="15"/>
  <c r="AB72" i="15"/>
  <c r="AC72" i="15"/>
  <c r="AB73" i="15"/>
  <c r="AC73" i="15"/>
  <c r="AB74" i="15"/>
  <c r="AC74" i="15"/>
  <c r="AB75" i="15"/>
  <c r="AC75" i="15"/>
  <c r="AB76" i="15"/>
  <c r="AC76" i="15"/>
  <c r="AB77" i="15"/>
  <c r="AC77" i="15"/>
  <c r="AB78" i="15"/>
  <c r="AC78" i="15"/>
  <c r="AB79" i="15"/>
  <c r="AC79" i="15"/>
  <c r="AB80" i="15"/>
  <c r="AC80" i="15"/>
  <c r="AB81" i="15"/>
  <c r="AC81" i="15"/>
  <c r="AB84" i="15"/>
  <c r="AC84" i="15"/>
  <c r="AB85" i="15"/>
  <c r="AC85" i="15"/>
  <c r="AB86" i="15"/>
  <c r="AC86" i="15"/>
  <c r="AB87" i="15"/>
  <c r="AC87" i="15"/>
  <c r="AB88" i="15"/>
  <c r="AC88" i="15"/>
  <c r="AB89" i="15"/>
  <c r="AC89" i="15"/>
  <c r="AB90" i="15"/>
  <c r="AC90" i="15"/>
  <c r="AB91" i="15"/>
  <c r="AC91" i="15"/>
  <c r="AB92" i="15"/>
  <c r="AC92" i="15"/>
  <c r="AB93" i="15"/>
  <c r="AC93" i="15"/>
  <c r="AB94" i="15"/>
  <c r="AC94" i="15"/>
  <c r="AB95" i="15"/>
  <c r="AC95" i="15"/>
  <c r="AB96" i="15"/>
  <c r="AC96" i="15"/>
  <c r="AB97" i="15"/>
  <c r="AC97" i="15"/>
  <c r="AB98" i="15"/>
  <c r="AC98" i="15"/>
  <c r="AB99" i="15"/>
  <c r="AC99" i="15"/>
  <c r="AB100" i="15"/>
  <c r="AC100" i="15"/>
  <c r="AB101" i="15"/>
  <c r="AC101" i="15"/>
  <c r="AB102" i="15"/>
  <c r="AC102" i="15"/>
  <c r="AB103" i="15"/>
  <c r="AC103" i="15"/>
  <c r="AB104" i="15"/>
  <c r="AC104" i="15"/>
  <c r="AB105" i="15"/>
  <c r="AC105" i="15"/>
  <c r="AB106" i="15"/>
  <c r="AC106" i="15"/>
  <c r="AB107" i="15"/>
  <c r="AC107" i="15"/>
  <c r="AC108" i="15"/>
  <c r="AC109" i="15"/>
  <c r="AC110" i="15"/>
  <c r="AB111" i="15"/>
  <c r="AC111" i="15"/>
  <c r="AB112" i="15"/>
  <c r="AC112" i="15"/>
  <c r="AB113" i="15"/>
  <c r="AC113" i="15"/>
  <c r="AB114" i="15"/>
  <c r="AC114" i="15"/>
  <c r="AB115" i="15"/>
  <c r="AC115" i="15"/>
  <c r="AB116" i="15"/>
  <c r="AC116" i="15"/>
  <c r="AB117" i="15"/>
  <c r="AC117" i="15"/>
  <c r="AB118" i="15"/>
  <c r="AC118" i="15"/>
  <c r="AC119" i="15"/>
  <c r="AC120" i="15"/>
  <c r="AB121" i="15"/>
  <c r="AC121" i="15"/>
  <c r="AB122" i="15"/>
  <c r="AC122" i="15"/>
  <c r="AB123" i="15"/>
  <c r="AC123" i="15"/>
  <c r="AB124" i="15"/>
  <c r="AC124" i="15"/>
  <c r="AB125" i="15"/>
  <c r="AC125" i="15"/>
  <c r="AB126" i="15"/>
  <c r="AC126" i="15"/>
  <c r="AB127" i="15"/>
  <c r="AC127" i="15"/>
  <c r="AB128" i="15"/>
  <c r="AC128" i="15"/>
  <c r="AB129" i="15"/>
  <c r="AC129" i="15"/>
  <c r="AB130" i="15"/>
  <c r="AC130" i="15"/>
  <c r="AB131" i="15"/>
  <c r="AC131" i="15"/>
  <c r="AB132" i="15"/>
  <c r="AC132" i="15"/>
  <c r="AB133" i="15"/>
  <c r="AC133" i="15"/>
  <c r="AB134" i="15"/>
  <c r="AC134" i="15"/>
  <c r="AB135" i="15"/>
  <c r="AC135" i="15"/>
  <c r="AB136" i="15"/>
  <c r="AC136" i="15"/>
  <c r="AB137" i="15"/>
  <c r="AC137" i="15"/>
  <c r="AB138" i="15"/>
  <c r="AC138" i="15"/>
  <c r="AB139" i="15"/>
  <c r="AC139" i="15"/>
  <c r="AB140" i="15"/>
  <c r="AC140" i="15"/>
  <c r="AB141" i="15"/>
  <c r="AC141" i="15"/>
  <c r="AB142" i="15"/>
  <c r="AC142" i="15"/>
  <c r="AB143" i="15"/>
  <c r="AC143" i="15"/>
  <c r="AB144" i="15"/>
  <c r="AC144" i="15"/>
  <c r="AB145" i="15"/>
  <c r="AC145" i="15"/>
  <c r="AB146" i="15"/>
  <c r="AC146" i="15"/>
  <c r="AB147" i="15"/>
  <c r="AC147" i="15"/>
  <c r="AB148" i="15"/>
  <c r="AC148" i="15"/>
  <c r="AB149" i="15"/>
  <c r="AC149" i="15"/>
  <c r="AB150" i="15"/>
  <c r="AC150" i="15"/>
  <c r="AB151" i="15"/>
  <c r="AC151" i="15"/>
  <c r="AB152" i="15"/>
  <c r="AC152" i="15"/>
  <c r="AB153" i="15"/>
  <c r="AC153" i="15"/>
  <c r="AC154" i="15"/>
  <c r="AC155" i="15"/>
  <c r="AB156" i="15"/>
  <c r="AC156" i="15"/>
  <c r="AC157" i="15"/>
  <c r="AB158" i="15"/>
  <c r="AC158" i="15"/>
  <c r="AB159" i="15"/>
  <c r="AC159" i="15"/>
  <c r="AB160" i="15"/>
  <c r="AC160" i="15"/>
  <c r="AB161" i="15"/>
  <c r="AC161" i="15"/>
  <c r="AB162" i="15"/>
  <c r="AC162" i="15"/>
  <c r="AB163" i="15"/>
  <c r="AC163" i="15"/>
  <c r="AB164" i="15"/>
  <c r="AC164" i="15"/>
  <c r="AB165" i="15"/>
  <c r="AC165" i="15"/>
  <c r="AB166" i="15"/>
  <c r="AC166" i="15"/>
  <c r="AB167" i="15"/>
  <c r="AC167" i="15"/>
  <c r="AB168" i="15"/>
  <c r="AC168" i="15"/>
  <c r="AB169" i="15"/>
  <c r="AC169" i="15"/>
  <c r="AB170" i="15"/>
  <c r="AC170" i="15"/>
  <c r="AB171" i="15"/>
  <c r="AC171" i="15"/>
  <c r="AB172" i="15"/>
  <c r="AC172" i="15"/>
  <c r="AB173" i="15"/>
  <c r="AC173" i="15"/>
  <c r="AB174" i="15"/>
  <c r="AC174" i="15"/>
  <c r="AB175" i="15"/>
  <c r="AC175" i="15"/>
  <c r="AB176" i="15"/>
  <c r="AC176" i="15"/>
  <c r="AB177" i="15"/>
  <c r="AC177" i="15"/>
  <c r="AB178" i="15"/>
  <c r="AC178" i="15"/>
  <c r="AB179" i="15"/>
  <c r="AC179" i="15"/>
  <c r="AB180" i="15"/>
  <c r="AC180" i="15"/>
  <c r="AB181" i="15"/>
  <c r="AC181" i="15"/>
  <c r="AB182" i="15"/>
  <c r="AC182" i="15"/>
  <c r="AB183" i="15"/>
  <c r="AC183" i="15"/>
  <c r="AB184" i="15"/>
  <c r="AC184" i="15"/>
  <c r="AB185" i="15"/>
  <c r="AC185" i="15"/>
  <c r="AB186" i="15"/>
  <c r="AC186" i="15"/>
  <c r="AB187" i="15"/>
  <c r="AC187" i="15"/>
  <c r="AB188" i="15"/>
  <c r="AC188" i="15"/>
  <c r="AB189" i="15"/>
  <c r="AC189" i="15"/>
  <c r="AB190" i="15"/>
  <c r="AC190" i="15"/>
  <c r="AB191" i="15"/>
  <c r="AC191" i="15"/>
  <c r="AB192" i="15"/>
  <c r="AC192" i="15"/>
  <c r="AB193" i="15"/>
  <c r="AC193" i="15"/>
  <c r="AB194" i="15"/>
  <c r="AC194" i="15"/>
  <c r="AB195" i="15"/>
  <c r="AC195" i="15"/>
  <c r="AC14" i="15"/>
  <c r="AB14" i="15"/>
  <c r="AA14" i="15"/>
  <c r="J416" i="20"/>
  <c r="J423" i="22"/>
  <c r="J426" i="22"/>
  <c r="J471" i="20"/>
  <c r="J477" i="22"/>
  <c r="L477" i="22" s="1"/>
  <c r="N477" i="22" s="1"/>
  <c r="J477" i="20"/>
  <c r="J483" i="22"/>
  <c r="L483" i="22" s="1"/>
  <c r="N483" i="22" s="1"/>
  <c r="J486" i="22"/>
  <c r="L486" i="22" s="1"/>
  <c r="N486" i="22" s="1"/>
  <c r="J489" i="22"/>
  <c r="L489" i="22" s="1"/>
  <c r="N489" i="22" s="1"/>
  <c r="J492" i="22"/>
  <c r="L492" i="22" s="1"/>
  <c r="N492" i="22" s="1"/>
  <c r="J495" i="22"/>
  <c r="L495" i="22" s="1"/>
  <c r="N495" i="22" s="1"/>
  <c r="J495" i="20"/>
  <c r="J504" i="20"/>
  <c r="J512" i="22"/>
  <c r="L512" i="22" s="1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K465" i="20"/>
  <c r="J465" i="20" s="1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K436" i="20"/>
  <c r="O109" i="15" s="1"/>
  <c r="R109" i="15" s="1"/>
  <c r="J471" i="24" s="1"/>
  <c r="L471" i="24" s="1"/>
  <c r="N471" i="24" s="1"/>
  <c r="K433" i="20"/>
  <c r="K425" i="20"/>
  <c r="K424" i="20" s="1"/>
  <c r="O82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G501" i="18"/>
  <c r="K501" i="18" s="1"/>
  <c r="K500" i="18" s="1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507" i="18"/>
  <c r="K506" i="18" s="1"/>
  <c r="K498" i="18"/>
  <c r="K497" i="18" s="1"/>
  <c r="K467" i="18"/>
  <c r="K468" i="18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2" i="15" s="1"/>
  <c r="R82" i="15" s="1"/>
  <c r="J460" i="24" s="1"/>
  <c r="L460" i="24" s="1"/>
  <c r="N460" i="24" s="1"/>
  <c r="M417" i="18"/>
  <c r="K418" i="18"/>
  <c r="K417" i="18" s="1"/>
  <c r="N63" i="15" s="1"/>
  <c r="R63" i="15" s="1"/>
  <c r="K405" i="18"/>
  <c r="K406" i="18"/>
  <c r="R119" i="15" l="1"/>
  <c r="J492" i="20"/>
  <c r="J422" i="20"/>
  <c r="J471" i="22"/>
  <c r="L471" i="22" s="1"/>
  <c r="N471" i="22" s="1"/>
  <c r="J507" i="22"/>
  <c r="L507" i="22" s="1"/>
  <c r="N507" i="22" s="1"/>
  <c r="J468" i="20"/>
  <c r="J421" i="20"/>
  <c r="J420" i="22"/>
  <c r="J439" i="22"/>
  <c r="L439" i="22" s="1"/>
  <c r="N439" i="22" s="1"/>
  <c r="J456" i="22"/>
  <c r="L456" i="22" s="1"/>
  <c r="N456" i="22" s="1"/>
  <c r="J480" i="22"/>
  <c r="L480" i="22" s="1"/>
  <c r="N480" i="22" s="1"/>
  <c r="J486" i="20"/>
  <c r="J419" i="20"/>
  <c r="J465" i="22"/>
  <c r="L465" i="22" s="1"/>
  <c r="N465" i="22" s="1"/>
  <c r="J450" i="20"/>
  <c r="J483" i="20"/>
  <c r="J421" i="22"/>
  <c r="L421" i="22" s="1"/>
  <c r="N421" i="22" s="1"/>
  <c r="J474" i="22"/>
  <c r="L474" i="22" s="1"/>
  <c r="N474" i="22" s="1"/>
  <c r="J498" i="22"/>
  <c r="L498" i="22" s="1"/>
  <c r="N498" i="22" s="1"/>
  <c r="J480" i="20"/>
  <c r="J459" i="22"/>
  <c r="L459" i="22" s="1"/>
  <c r="N459" i="22" s="1"/>
  <c r="J468" i="22"/>
  <c r="L468" i="22" s="1"/>
  <c r="N468" i="22" s="1"/>
  <c r="J515" i="22"/>
  <c r="L515" i="22" s="1"/>
  <c r="J474" i="20"/>
  <c r="J425" i="22"/>
  <c r="J453" i="22"/>
  <c r="L453" i="22" s="1"/>
  <c r="N453" i="22" s="1"/>
  <c r="J501" i="22"/>
  <c r="L501" i="22" s="1"/>
  <c r="N501" i="22" s="1"/>
  <c r="J462" i="22"/>
  <c r="L462" i="22" s="1"/>
  <c r="N462" i="22" s="1"/>
  <c r="AC53" i="15"/>
  <c r="AC48" i="15"/>
  <c r="AC50" i="15"/>
  <c r="AC47" i="15"/>
  <c r="AC45" i="15"/>
  <c r="J422" i="22"/>
  <c r="AC46" i="15"/>
  <c r="K386" i="22"/>
  <c r="P41" i="15" s="1"/>
  <c r="AC41" i="15" s="1"/>
  <c r="K389" i="22"/>
  <c r="P42" i="15" s="1"/>
  <c r="AC42" i="15" s="1"/>
  <c r="AC43" i="15"/>
  <c r="AC40" i="15"/>
  <c r="G106" i="22"/>
  <c r="K106" i="22" s="1"/>
  <c r="K94" i="22"/>
  <c r="K108" i="22"/>
  <c r="L108" i="22" s="1"/>
  <c r="N108" i="22" s="1"/>
  <c r="K261" i="22"/>
  <c r="K430" i="22"/>
  <c r="P83" i="15" s="1"/>
  <c r="AC83" i="15" s="1"/>
  <c r="K424" i="22"/>
  <c r="J424" i="22" s="1"/>
  <c r="L424" i="22" s="1"/>
  <c r="N424" i="22" s="1"/>
  <c r="J208" i="22"/>
  <c r="L208" i="22" s="1"/>
  <c r="N208" i="22" s="1"/>
  <c r="K304" i="22"/>
  <c r="L304" i="22" s="1"/>
  <c r="N304" i="22" s="1"/>
  <c r="K163" i="22"/>
  <c r="K552" i="22"/>
  <c r="K154" i="22"/>
  <c r="K446" i="22"/>
  <c r="K76" i="22"/>
  <c r="J453" i="20"/>
  <c r="K402" i="20"/>
  <c r="G407" i="20" s="1"/>
  <c r="AB110" i="15"/>
  <c r="J438" i="20"/>
  <c r="AB42" i="15"/>
  <c r="AB108" i="15"/>
  <c r="J418" i="20"/>
  <c r="K443" i="20"/>
  <c r="O120" i="15" s="1"/>
  <c r="J417" i="20"/>
  <c r="L417" i="20" s="1"/>
  <c r="N417" i="20" s="1"/>
  <c r="AB41" i="15"/>
  <c r="AB109" i="15"/>
  <c r="J436" i="20"/>
  <c r="K427" i="20"/>
  <c r="O83" i="15" s="1"/>
  <c r="AB82" i="15"/>
  <c r="AB119" i="15"/>
  <c r="AB154" i="15"/>
  <c r="J498" i="20"/>
  <c r="J501" i="20"/>
  <c r="AB155" i="15"/>
  <c r="AB157" i="15"/>
  <c r="J507" i="20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AA119" i="15"/>
  <c r="M386" i="18"/>
  <c r="K387" i="18"/>
  <c r="K386" i="18" s="1"/>
  <c r="AA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AA15" i="15"/>
  <c r="AA16" i="15"/>
  <c r="AA17" i="15"/>
  <c r="AA18" i="15"/>
  <c r="AA19" i="15"/>
  <c r="AA20" i="15"/>
  <c r="AA21" i="15"/>
  <c r="AA22" i="15"/>
  <c r="AA23" i="15"/>
  <c r="AA24" i="15"/>
  <c r="AA25" i="15"/>
  <c r="AA26" i="15"/>
  <c r="AA27" i="15"/>
  <c r="AA28" i="15"/>
  <c r="AA29" i="15"/>
  <c r="AA30" i="15"/>
  <c r="AA31" i="15"/>
  <c r="AA32" i="15"/>
  <c r="AA33" i="15"/>
  <c r="AA34" i="15"/>
  <c r="AA35" i="15"/>
  <c r="AA36" i="15"/>
  <c r="AA37" i="15"/>
  <c r="AA38" i="15"/>
  <c r="AA39" i="15"/>
  <c r="AA40" i="15"/>
  <c r="AA43" i="15"/>
  <c r="AA44" i="15"/>
  <c r="AA45" i="15"/>
  <c r="AA46" i="15"/>
  <c r="AA47" i="15"/>
  <c r="AA48" i="15"/>
  <c r="AA49" i="15"/>
  <c r="AA50" i="15"/>
  <c r="AA53" i="15"/>
  <c r="AA54" i="15"/>
  <c r="AA55" i="15"/>
  <c r="AA56" i="15"/>
  <c r="AA57" i="15"/>
  <c r="AA58" i="15"/>
  <c r="AA59" i="15"/>
  <c r="AA60" i="15"/>
  <c r="AA61" i="15"/>
  <c r="AA62" i="15"/>
  <c r="AA63" i="15"/>
  <c r="AA64" i="15"/>
  <c r="AA65" i="15"/>
  <c r="AA66" i="15"/>
  <c r="AA67" i="15"/>
  <c r="AA68" i="15"/>
  <c r="AA69" i="15"/>
  <c r="AA70" i="15"/>
  <c r="AA71" i="15"/>
  <c r="AA72" i="15"/>
  <c r="AA73" i="15"/>
  <c r="AA74" i="15"/>
  <c r="AA75" i="15"/>
  <c r="AA76" i="15"/>
  <c r="AA77" i="15"/>
  <c r="AA78" i="15"/>
  <c r="AA79" i="15"/>
  <c r="AA80" i="15"/>
  <c r="AA81" i="15"/>
  <c r="AA82" i="15"/>
  <c r="AA83" i="15"/>
  <c r="AA84" i="15"/>
  <c r="AA85" i="15"/>
  <c r="AA86" i="15"/>
  <c r="AA87" i="15"/>
  <c r="AA88" i="15"/>
  <c r="AA89" i="15"/>
  <c r="AA90" i="15"/>
  <c r="AA91" i="15"/>
  <c r="AA92" i="15"/>
  <c r="AA93" i="15"/>
  <c r="AA94" i="15"/>
  <c r="AA95" i="15"/>
  <c r="AA96" i="15"/>
  <c r="AA97" i="15"/>
  <c r="AA98" i="15"/>
  <c r="AA99" i="15"/>
  <c r="AA100" i="15"/>
  <c r="AA101" i="15"/>
  <c r="AA102" i="15"/>
  <c r="AA103" i="15"/>
  <c r="AA104" i="15"/>
  <c r="AA105" i="15"/>
  <c r="AA106" i="15"/>
  <c r="AA107" i="15"/>
  <c r="AA108" i="15"/>
  <c r="AA109" i="15"/>
  <c r="AA110" i="15"/>
  <c r="AA111" i="15"/>
  <c r="AA112" i="15"/>
  <c r="AA113" i="15"/>
  <c r="AA114" i="15"/>
  <c r="AA115" i="15"/>
  <c r="AA116" i="15"/>
  <c r="AA117" i="15"/>
  <c r="AA118" i="15"/>
  <c r="AA120" i="15"/>
  <c r="AA121" i="15"/>
  <c r="AA122" i="15"/>
  <c r="AA123" i="15"/>
  <c r="AA124" i="15"/>
  <c r="AA125" i="15"/>
  <c r="AA126" i="15"/>
  <c r="AA127" i="15"/>
  <c r="AA128" i="15"/>
  <c r="AA129" i="15"/>
  <c r="AA130" i="15"/>
  <c r="AA131" i="15"/>
  <c r="AA132" i="15"/>
  <c r="AA133" i="15"/>
  <c r="AA134" i="15"/>
  <c r="AA135" i="15"/>
  <c r="AA136" i="15"/>
  <c r="AA137" i="15"/>
  <c r="AA138" i="15"/>
  <c r="AA139" i="15"/>
  <c r="AA140" i="15"/>
  <c r="AA141" i="15"/>
  <c r="AA142" i="15"/>
  <c r="AA143" i="15"/>
  <c r="AA144" i="15"/>
  <c r="AA145" i="15"/>
  <c r="AA146" i="15"/>
  <c r="AA147" i="15"/>
  <c r="AA148" i="15"/>
  <c r="AA149" i="15"/>
  <c r="AA150" i="15"/>
  <c r="AA151" i="15"/>
  <c r="AA152" i="15"/>
  <c r="AA153" i="15"/>
  <c r="AA154" i="15"/>
  <c r="AA155" i="15"/>
  <c r="AA156" i="15"/>
  <c r="AA157" i="15"/>
  <c r="AA158" i="15"/>
  <c r="AA159" i="15"/>
  <c r="AA160" i="15"/>
  <c r="AA161" i="15"/>
  <c r="AA162" i="15"/>
  <c r="AA163" i="15"/>
  <c r="AA164" i="15"/>
  <c r="AA165" i="15"/>
  <c r="AA166" i="15"/>
  <c r="AA167" i="15"/>
  <c r="AA168" i="15"/>
  <c r="AA169" i="15"/>
  <c r="AA170" i="15"/>
  <c r="AA171" i="15"/>
  <c r="AA172" i="15"/>
  <c r="AA173" i="15"/>
  <c r="AA174" i="15"/>
  <c r="AA175" i="15"/>
  <c r="AA176" i="15"/>
  <c r="AA177" i="15"/>
  <c r="AA178" i="15"/>
  <c r="AA179" i="15"/>
  <c r="AA180" i="15"/>
  <c r="AA181" i="15"/>
  <c r="AA182" i="15"/>
  <c r="AA183" i="15"/>
  <c r="AA184" i="15"/>
  <c r="AA185" i="15"/>
  <c r="AA186" i="15"/>
  <c r="AA187" i="15"/>
  <c r="AA188" i="15"/>
  <c r="AA189" i="15"/>
  <c r="AA190" i="15"/>
  <c r="AA191" i="15"/>
  <c r="AA192" i="15"/>
  <c r="AA193" i="15"/>
  <c r="AA194" i="15"/>
  <c r="AA195" i="15"/>
  <c r="Z14" i="15"/>
  <c r="G387" i="16"/>
  <c r="G389" i="16"/>
  <c r="G411" i="16"/>
  <c r="G401" i="16"/>
  <c r="G385" i="16"/>
  <c r="K385" i="16" s="1"/>
  <c r="K402" i="16"/>
  <c r="J441" i="20" l="1"/>
  <c r="J476" i="24"/>
  <c r="L476" i="24" s="1"/>
  <c r="N476" i="24" s="1"/>
  <c r="O51" i="15"/>
  <c r="AB51" i="15" s="1"/>
  <c r="J444" i="22"/>
  <c r="L444" i="22" s="1"/>
  <c r="N444" i="22" s="1"/>
  <c r="AB83" i="15"/>
  <c r="R83" i="15"/>
  <c r="R42" i="15"/>
  <c r="AB120" i="15"/>
  <c r="R120" i="15"/>
  <c r="J504" i="22"/>
  <c r="L504" i="22" s="1"/>
  <c r="N504" i="22" s="1"/>
  <c r="J510" i="22"/>
  <c r="L510" i="22" s="1"/>
  <c r="N510" i="22" s="1"/>
  <c r="J441" i="22"/>
  <c r="L441" i="22" s="1"/>
  <c r="N441" i="22" s="1"/>
  <c r="J424" i="20"/>
  <c r="J428" i="22"/>
  <c r="L428" i="22" s="1"/>
  <c r="N428" i="22" s="1"/>
  <c r="J389" i="22"/>
  <c r="L389" i="22" s="1"/>
  <c r="N389" i="22" s="1"/>
  <c r="K72" i="22"/>
  <c r="L72" i="22" s="1"/>
  <c r="N72" i="22" s="1"/>
  <c r="K410" i="22"/>
  <c r="K411" i="22"/>
  <c r="K72" i="20"/>
  <c r="L72" i="20" s="1"/>
  <c r="N72" i="20" s="1"/>
  <c r="K406" i="20"/>
  <c r="K407" i="20"/>
  <c r="N41" i="15"/>
  <c r="AA41" i="15" s="1"/>
  <c r="K403" i="18"/>
  <c r="N51" i="15" s="1"/>
  <c r="AA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Z46" i="15" s="1"/>
  <c r="Z15" i="15"/>
  <c r="Z16" i="15"/>
  <c r="Z17" i="15"/>
  <c r="Z18" i="15"/>
  <c r="Z19" i="15"/>
  <c r="Z20" i="15"/>
  <c r="Z21" i="15"/>
  <c r="Z22" i="15"/>
  <c r="Z23" i="15"/>
  <c r="Z24" i="15"/>
  <c r="Z25" i="15"/>
  <c r="Z26" i="15"/>
  <c r="Z27" i="15"/>
  <c r="Z28" i="15"/>
  <c r="Z29" i="15"/>
  <c r="Z30" i="15"/>
  <c r="Z31" i="15"/>
  <c r="Z32" i="15"/>
  <c r="Z33" i="15"/>
  <c r="Z34" i="15"/>
  <c r="Z35" i="15"/>
  <c r="Z36" i="15"/>
  <c r="Z37" i="15"/>
  <c r="Z38" i="15"/>
  <c r="Z39" i="15"/>
  <c r="Z40" i="15"/>
  <c r="Z42" i="15"/>
  <c r="Z47" i="15"/>
  <c r="Z55" i="15"/>
  <c r="Z56" i="15"/>
  <c r="Z57" i="15"/>
  <c r="Z58" i="15"/>
  <c r="Z59" i="15"/>
  <c r="Z61" i="15"/>
  <c r="Z63" i="15"/>
  <c r="Z64" i="15"/>
  <c r="Z66" i="15"/>
  <c r="Z67" i="15"/>
  <c r="Z68" i="15"/>
  <c r="Z69" i="15"/>
  <c r="Z70" i="15"/>
  <c r="Z71" i="15"/>
  <c r="Z72" i="15"/>
  <c r="Z73" i="15"/>
  <c r="Z74" i="15"/>
  <c r="Z75" i="15"/>
  <c r="Z76" i="15"/>
  <c r="Z77" i="15"/>
  <c r="Z78" i="15"/>
  <c r="Z79" i="15"/>
  <c r="Z80" i="15"/>
  <c r="Z81" i="15"/>
  <c r="Z82" i="15"/>
  <c r="Z83" i="15"/>
  <c r="Z84" i="15"/>
  <c r="Z85" i="15"/>
  <c r="Z86" i="15"/>
  <c r="Z87" i="15"/>
  <c r="Z88" i="15"/>
  <c r="Z89" i="15"/>
  <c r="Z90" i="15"/>
  <c r="Z91" i="15"/>
  <c r="Z92" i="15"/>
  <c r="Z93" i="15"/>
  <c r="Z94" i="15"/>
  <c r="Z95" i="15"/>
  <c r="Z96" i="15"/>
  <c r="Z97" i="15"/>
  <c r="Z98" i="15"/>
  <c r="Z99" i="15"/>
  <c r="Z100" i="15"/>
  <c r="Z101" i="15"/>
  <c r="Z102" i="15"/>
  <c r="Z103" i="15"/>
  <c r="Z104" i="15"/>
  <c r="Z105" i="15"/>
  <c r="Z106" i="15"/>
  <c r="Z107" i="15"/>
  <c r="Z109" i="15"/>
  <c r="Z110" i="15"/>
  <c r="Z111" i="15"/>
  <c r="Z112" i="15"/>
  <c r="Z113" i="15"/>
  <c r="Z114" i="15"/>
  <c r="Z115" i="15"/>
  <c r="Z116" i="15"/>
  <c r="Z117" i="15"/>
  <c r="Z118" i="15"/>
  <c r="Z119" i="15"/>
  <c r="Z120" i="15"/>
  <c r="Z121" i="15"/>
  <c r="Z122" i="15"/>
  <c r="Z123" i="15"/>
  <c r="Z124" i="15"/>
  <c r="Z125" i="15"/>
  <c r="Z126" i="15"/>
  <c r="Z127" i="15"/>
  <c r="Z128" i="15"/>
  <c r="Z129" i="15"/>
  <c r="Z130" i="15"/>
  <c r="Z131" i="15"/>
  <c r="Z132" i="15"/>
  <c r="Z133" i="15"/>
  <c r="Z134" i="15"/>
  <c r="Z135" i="15"/>
  <c r="Z136" i="15"/>
  <c r="Z137" i="15"/>
  <c r="Z138" i="15"/>
  <c r="Z139" i="15"/>
  <c r="Z140" i="15"/>
  <c r="Z141" i="15"/>
  <c r="Z142" i="15"/>
  <c r="Z143" i="15"/>
  <c r="Z144" i="15"/>
  <c r="Z145" i="15"/>
  <c r="Z146" i="15"/>
  <c r="Z147" i="15"/>
  <c r="Z148" i="15"/>
  <c r="Z149" i="15"/>
  <c r="Z150" i="15"/>
  <c r="Z151" i="15"/>
  <c r="Z152" i="15"/>
  <c r="Z153" i="15"/>
  <c r="Z154" i="15"/>
  <c r="Z155" i="15"/>
  <c r="Z156" i="15"/>
  <c r="Z157" i="15"/>
  <c r="Z158" i="15"/>
  <c r="Z159" i="15"/>
  <c r="Z160" i="15"/>
  <c r="Z161" i="15"/>
  <c r="Z162" i="15"/>
  <c r="Z163" i="15"/>
  <c r="Z164" i="15"/>
  <c r="Z165" i="15"/>
  <c r="Z166" i="15"/>
  <c r="Z167" i="15"/>
  <c r="Z168" i="15"/>
  <c r="Z169" i="15"/>
  <c r="Z170" i="15"/>
  <c r="Z171" i="15"/>
  <c r="Z172" i="15"/>
  <c r="Z173" i="15"/>
  <c r="Z174" i="15"/>
  <c r="Z175" i="15"/>
  <c r="Z176" i="15"/>
  <c r="Z177" i="15"/>
  <c r="Z178" i="15"/>
  <c r="Z179" i="15"/>
  <c r="Z180" i="15"/>
  <c r="Z181" i="15"/>
  <c r="Z182" i="15"/>
  <c r="Z183" i="15"/>
  <c r="Z184" i="15"/>
  <c r="Z185" i="15"/>
  <c r="Z186" i="15"/>
  <c r="Z187" i="15"/>
  <c r="Z188" i="15"/>
  <c r="Z189" i="15"/>
  <c r="Z191" i="15"/>
  <c r="Z192" i="15"/>
  <c r="Z193" i="15"/>
  <c r="Z194" i="15"/>
  <c r="Z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Z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Y195" i="15"/>
  <c r="X195" i="15"/>
  <c r="W195" i="15"/>
  <c r="V195" i="15"/>
  <c r="U195" i="15"/>
  <c r="S195" i="15"/>
  <c r="Y194" i="15"/>
  <c r="X194" i="15"/>
  <c r="W194" i="15"/>
  <c r="V194" i="15"/>
  <c r="U194" i="15"/>
  <c r="S194" i="15"/>
  <c r="Y193" i="15"/>
  <c r="X193" i="15"/>
  <c r="W193" i="15"/>
  <c r="V193" i="15"/>
  <c r="U193" i="15"/>
  <c r="Y192" i="15"/>
  <c r="X192" i="15"/>
  <c r="W192" i="15"/>
  <c r="V192" i="15"/>
  <c r="U192" i="15"/>
  <c r="S192" i="15"/>
  <c r="Y191" i="15"/>
  <c r="X191" i="15"/>
  <c r="W191" i="15"/>
  <c r="V191" i="15"/>
  <c r="U191" i="15"/>
  <c r="S191" i="15"/>
  <c r="X190" i="15"/>
  <c r="W190" i="15"/>
  <c r="V190" i="15"/>
  <c r="U190" i="15"/>
  <c r="W189" i="15"/>
  <c r="V189" i="15"/>
  <c r="U189" i="15"/>
  <c r="V188" i="15"/>
  <c r="U188" i="15"/>
  <c r="Y187" i="15"/>
  <c r="X187" i="15"/>
  <c r="V187" i="15"/>
  <c r="U187" i="15"/>
  <c r="Y182" i="15"/>
  <c r="X182" i="15"/>
  <c r="W182" i="15"/>
  <c r="V182" i="15"/>
  <c r="U182" i="15"/>
  <c r="S182" i="15"/>
  <c r="Y180" i="15"/>
  <c r="X180" i="15"/>
  <c r="W180" i="15"/>
  <c r="Y179" i="15"/>
  <c r="X179" i="15"/>
  <c r="W179" i="15"/>
  <c r="Y178" i="15"/>
  <c r="X178" i="15"/>
  <c r="W178" i="15"/>
  <c r="V177" i="15"/>
  <c r="U177" i="15"/>
  <c r="Y176" i="15"/>
  <c r="X176" i="15"/>
  <c r="W176" i="15"/>
  <c r="U176" i="15"/>
  <c r="Y175" i="15"/>
  <c r="X175" i="15"/>
  <c r="W175" i="15"/>
  <c r="V175" i="15"/>
  <c r="U175" i="15"/>
  <c r="S175" i="15"/>
  <c r="Y174" i="15"/>
  <c r="X174" i="15"/>
  <c r="W174" i="15"/>
  <c r="V174" i="15"/>
  <c r="Y173" i="15"/>
  <c r="X173" i="15"/>
  <c r="W173" i="15"/>
  <c r="V173" i="15"/>
  <c r="U173" i="15"/>
  <c r="Y172" i="15"/>
  <c r="X172" i="15"/>
  <c r="W172" i="15"/>
  <c r="V172" i="15"/>
  <c r="U172" i="15"/>
  <c r="S172" i="15"/>
  <c r="Y171" i="15"/>
  <c r="X171" i="15"/>
  <c r="W171" i="15"/>
  <c r="V171" i="15"/>
  <c r="U171" i="15"/>
  <c r="S171" i="15"/>
  <c r="Y170" i="15"/>
  <c r="X170" i="15"/>
  <c r="W170" i="15"/>
  <c r="V170" i="15"/>
  <c r="U170" i="15"/>
  <c r="S170" i="15"/>
  <c r="Y169" i="15"/>
  <c r="X169" i="15"/>
  <c r="W169" i="15"/>
  <c r="V169" i="15"/>
  <c r="U169" i="15"/>
  <c r="S169" i="15"/>
  <c r="Y168" i="15"/>
  <c r="X168" i="15"/>
  <c r="W168" i="15"/>
  <c r="V168" i="15"/>
  <c r="U168" i="15"/>
  <c r="S168" i="15"/>
  <c r="Y167" i="15"/>
  <c r="X167" i="15"/>
  <c r="W167" i="15"/>
  <c r="V167" i="15"/>
  <c r="U167" i="15"/>
  <c r="S167" i="15"/>
  <c r="Y166" i="15"/>
  <c r="X166" i="15"/>
  <c r="W166" i="15"/>
  <c r="V166" i="15"/>
  <c r="U166" i="15"/>
  <c r="S166" i="15"/>
  <c r="Y165" i="15"/>
  <c r="X165" i="15"/>
  <c r="W165" i="15"/>
  <c r="V165" i="15"/>
  <c r="U165" i="15"/>
  <c r="S165" i="15"/>
  <c r="Y164" i="15"/>
  <c r="X164" i="15"/>
  <c r="W164" i="15"/>
  <c r="V164" i="15"/>
  <c r="U164" i="15"/>
  <c r="S164" i="15"/>
  <c r="Y163" i="15"/>
  <c r="X163" i="15"/>
  <c r="W163" i="15"/>
  <c r="V163" i="15"/>
  <c r="U163" i="15"/>
  <c r="S163" i="15"/>
  <c r="Y162" i="15"/>
  <c r="X162" i="15"/>
  <c r="W162" i="15"/>
  <c r="V162" i="15"/>
  <c r="U162" i="15"/>
  <c r="S162" i="15"/>
  <c r="Y161" i="15"/>
  <c r="X161" i="15"/>
  <c r="W161" i="15"/>
  <c r="V161" i="15"/>
  <c r="U161" i="15"/>
  <c r="S161" i="15"/>
  <c r="Y160" i="15"/>
  <c r="X160" i="15"/>
  <c r="W160" i="15"/>
  <c r="V160" i="15"/>
  <c r="U160" i="15"/>
  <c r="Y159" i="15"/>
  <c r="X159" i="15"/>
  <c r="W159" i="15"/>
  <c r="V159" i="15"/>
  <c r="U159" i="15"/>
  <c r="J513" i="20"/>
  <c r="L513" i="20" s="1"/>
  <c r="Y158" i="15"/>
  <c r="X158" i="15"/>
  <c r="W158" i="15"/>
  <c r="V158" i="15"/>
  <c r="U158" i="15"/>
  <c r="Y157" i="15"/>
  <c r="X157" i="15"/>
  <c r="W157" i="15"/>
  <c r="V157" i="15"/>
  <c r="U157" i="15"/>
  <c r="L507" i="20"/>
  <c r="N507" i="20" s="1"/>
  <c r="Y156" i="15"/>
  <c r="X156" i="15"/>
  <c r="W156" i="15"/>
  <c r="V156" i="15"/>
  <c r="U156" i="15"/>
  <c r="Y155" i="15"/>
  <c r="X155" i="15"/>
  <c r="W155" i="15"/>
  <c r="V155" i="15"/>
  <c r="U155" i="15"/>
  <c r="L501" i="20"/>
  <c r="N501" i="20" s="1"/>
  <c r="Y154" i="15"/>
  <c r="X154" i="15"/>
  <c r="W154" i="15"/>
  <c r="V154" i="15"/>
  <c r="U154" i="15"/>
  <c r="L498" i="20"/>
  <c r="N498" i="20" s="1"/>
  <c r="Y153" i="15"/>
  <c r="X153" i="15"/>
  <c r="W153" i="15"/>
  <c r="V153" i="15"/>
  <c r="U153" i="15"/>
  <c r="Y152" i="15"/>
  <c r="X152" i="15"/>
  <c r="W152" i="15"/>
  <c r="V152" i="15"/>
  <c r="U152" i="15"/>
  <c r="Y151" i="15"/>
  <c r="X151" i="15"/>
  <c r="W151" i="15"/>
  <c r="V151" i="15"/>
  <c r="U151" i="15"/>
  <c r="Y150" i="15"/>
  <c r="X150" i="15"/>
  <c r="W150" i="15"/>
  <c r="V150" i="15"/>
  <c r="U150" i="15"/>
  <c r="Y149" i="15"/>
  <c r="X149" i="15"/>
  <c r="W149" i="15"/>
  <c r="V149" i="15"/>
  <c r="U149" i="15"/>
  <c r="Y148" i="15"/>
  <c r="X148" i="15"/>
  <c r="W148" i="15"/>
  <c r="V148" i="15"/>
  <c r="U148" i="15"/>
  <c r="Y147" i="15"/>
  <c r="X147" i="15"/>
  <c r="W147" i="15"/>
  <c r="V147" i="15"/>
  <c r="U147" i="15"/>
  <c r="Y146" i="15"/>
  <c r="X146" i="15"/>
  <c r="W146" i="15"/>
  <c r="V146" i="15"/>
  <c r="U146" i="15"/>
  <c r="Y145" i="15"/>
  <c r="X145" i="15"/>
  <c r="W145" i="15"/>
  <c r="V145" i="15"/>
  <c r="U145" i="15"/>
  <c r="Y144" i="15"/>
  <c r="X144" i="15"/>
  <c r="W144" i="15"/>
  <c r="V144" i="15"/>
  <c r="U144" i="15"/>
  <c r="L468" i="20"/>
  <c r="N468" i="20" s="1"/>
  <c r="Y143" i="15"/>
  <c r="X143" i="15"/>
  <c r="W143" i="15"/>
  <c r="V143" i="15"/>
  <c r="U143" i="15"/>
  <c r="L465" i="20"/>
  <c r="N465" i="20" s="1"/>
  <c r="Y142" i="15"/>
  <c r="X142" i="15"/>
  <c r="W142" i="15"/>
  <c r="V142" i="15"/>
  <c r="U142" i="15"/>
  <c r="Y141" i="15"/>
  <c r="X141" i="15"/>
  <c r="W141" i="15"/>
  <c r="V141" i="15"/>
  <c r="U141" i="15"/>
  <c r="Y140" i="15"/>
  <c r="X140" i="15"/>
  <c r="W140" i="15"/>
  <c r="V140" i="15"/>
  <c r="U140" i="15"/>
  <c r="L456" i="20"/>
  <c r="N456" i="20" s="1"/>
  <c r="Y139" i="15"/>
  <c r="X139" i="15"/>
  <c r="W139" i="15"/>
  <c r="V139" i="15"/>
  <c r="U139" i="15"/>
  <c r="L453" i="20"/>
  <c r="N453" i="20" s="1"/>
  <c r="Y138" i="15"/>
  <c r="X138" i="15"/>
  <c r="W138" i="15"/>
  <c r="V138" i="15"/>
  <c r="U138" i="15"/>
  <c r="L450" i="20"/>
  <c r="N450" i="20" s="1"/>
  <c r="Y137" i="15"/>
  <c r="X137" i="15"/>
  <c r="W137" i="15"/>
  <c r="V137" i="15"/>
  <c r="U137" i="15"/>
  <c r="Y136" i="15"/>
  <c r="X136" i="15"/>
  <c r="W136" i="15"/>
  <c r="V136" i="15"/>
  <c r="U136" i="15"/>
  <c r="S136" i="15"/>
  <c r="Y135" i="15"/>
  <c r="X135" i="15"/>
  <c r="W135" i="15"/>
  <c r="V135" i="15"/>
  <c r="U135" i="15"/>
  <c r="S135" i="15"/>
  <c r="Y134" i="15"/>
  <c r="X134" i="15"/>
  <c r="W134" i="15"/>
  <c r="V134" i="15"/>
  <c r="U134" i="15"/>
  <c r="S134" i="15"/>
  <c r="Y133" i="15"/>
  <c r="X133" i="15"/>
  <c r="W133" i="15"/>
  <c r="V133" i="15"/>
  <c r="U133" i="15"/>
  <c r="S133" i="15"/>
  <c r="Y132" i="15"/>
  <c r="X132" i="15"/>
  <c r="W132" i="15"/>
  <c r="V132" i="15"/>
  <c r="U132" i="15"/>
  <c r="S132" i="15"/>
  <c r="Y131" i="15"/>
  <c r="X131" i="15"/>
  <c r="W131" i="15"/>
  <c r="V131" i="15"/>
  <c r="U131" i="15"/>
  <c r="S131" i="15"/>
  <c r="Y130" i="15"/>
  <c r="X130" i="15"/>
  <c r="W130" i="15"/>
  <c r="V130" i="15"/>
  <c r="U130" i="15"/>
  <c r="S130" i="15"/>
  <c r="Y129" i="15"/>
  <c r="X129" i="15"/>
  <c r="W129" i="15"/>
  <c r="V129" i="15"/>
  <c r="U129" i="15"/>
  <c r="S129" i="15"/>
  <c r="Y128" i="15"/>
  <c r="X128" i="15"/>
  <c r="W128" i="15"/>
  <c r="V128" i="15"/>
  <c r="U128" i="15"/>
  <c r="S128" i="15"/>
  <c r="Y127" i="15"/>
  <c r="X127" i="15"/>
  <c r="W127" i="15"/>
  <c r="V127" i="15"/>
  <c r="U127" i="15"/>
  <c r="Y126" i="15"/>
  <c r="X126" i="15"/>
  <c r="W126" i="15"/>
  <c r="V126" i="15"/>
  <c r="U126" i="15"/>
  <c r="S126" i="15"/>
  <c r="Y125" i="15"/>
  <c r="X125" i="15"/>
  <c r="W125" i="15"/>
  <c r="V125" i="15"/>
  <c r="U125" i="15"/>
  <c r="S125" i="15"/>
  <c r="Y124" i="15"/>
  <c r="X124" i="15"/>
  <c r="W124" i="15"/>
  <c r="V124" i="15"/>
  <c r="U124" i="15"/>
  <c r="S124" i="15"/>
  <c r="Y123" i="15"/>
  <c r="X123" i="15"/>
  <c r="W123" i="15"/>
  <c r="V123" i="15"/>
  <c r="U123" i="15"/>
  <c r="S123" i="15"/>
  <c r="Y122" i="15"/>
  <c r="X122" i="15"/>
  <c r="W122" i="15"/>
  <c r="V122" i="15"/>
  <c r="U122" i="15"/>
  <c r="T209" i="15"/>
  <c r="S122" i="15"/>
  <c r="Y121" i="15"/>
  <c r="X121" i="15"/>
  <c r="W121" i="15"/>
  <c r="V121" i="15"/>
  <c r="U121" i="15"/>
  <c r="S121" i="15"/>
  <c r="Y120" i="15"/>
  <c r="X120" i="15"/>
  <c r="W120" i="15"/>
  <c r="V120" i="15"/>
  <c r="U120" i="15"/>
  <c r="Y119" i="15"/>
  <c r="X119" i="15"/>
  <c r="W119" i="15"/>
  <c r="V119" i="15"/>
  <c r="U119" i="15"/>
  <c r="L441" i="20"/>
  <c r="N441" i="20" s="1"/>
  <c r="Y118" i="15"/>
  <c r="X118" i="15"/>
  <c r="W118" i="15"/>
  <c r="V118" i="15"/>
  <c r="U118" i="15"/>
  <c r="Y117" i="15"/>
  <c r="X117" i="15"/>
  <c r="W117" i="15"/>
  <c r="V117" i="15"/>
  <c r="U117" i="15"/>
  <c r="S117" i="15"/>
  <c r="Y116" i="15"/>
  <c r="X116" i="15"/>
  <c r="W116" i="15"/>
  <c r="V116" i="15"/>
  <c r="U116" i="15"/>
  <c r="S116" i="15"/>
  <c r="Y115" i="15"/>
  <c r="X115" i="15"/>
  <c r="W115" i="15"/>
  <c r="V115" i="15"/>
  <c r="U115" i="15"/>
  <c r="S115" i="15"/>
  <c r="Y114" i="15"/>
  <c r="X114" i="15"/>
  <c r="W114" i="15"/>
  <c r="V114" i="15"/>
  <c r="U114" i="15"/>
  <c r="S114" i="15"/>
  <c r="Y113" i="15"/>
  <c r="X113" i="15"/>
  <c r="W113" i="15"/>
  <c r="V113" i="15"/>
  <c r="U113" i="15"/>
  <c r="S113" i="15"/>
  <c r="Y112" i="15"/>
  <c r="X112" i="15"/>
  <c r="W112" i="15"/>
  <c r="V112" i="15"/>
  <c r="U112" i="15"/>
  <c r="S112" i="15"/>
  <c r="Y111" i="15"/>
  <c r="X111" i="15"/>
  <c r="W111" i="15"/>
  <c r="V111" i="15"/>
  <c r="U111" i="15"/>
  <c r="S111" i="15"/>
  <c r="Y110" i="15"/>
  <c r="X110" i="15"/>
  <c r="W110" i="15"/>
  <c r="V110" i="15"/>
  <c r="U110" i="15"/>
  <c r="S110" i="15"/>
  <c r="L438" i="20" s="1"/>
  <c r="N438" i="20" s="1"/>
  <c r="Y109" i="15"/>
  <c r="X109" i="15"/>
  <c r="W109" i="15"/>
  <c r="V109" i="15"/>
  <c r="U109" i="15"/>
  <c r="S109" i="15"/>
  <c r="L436" i="20" s="1"/>
  <c r="N436" i="20" s="1"/>
  <c r="Y108" i="15"/>
  <c r="X108" i="15"/>
  <c r="W108" i="15"/>
  <c r="V108" i="15"/>
  <c r="U108" i="15"/>
  <c r="Y107" i="15"/>
  <c r="X107" i="15"/>
  <c r="W107" i="15"/>
  <c r="V107" i="15"/>
  <c r="U107" i="15"/>
  <c r="S107" i="15"/>
  <c r="Y106" i="15"/>
  <c r="X106" i="15"/>
  <c r="W106" i="15"/>
  <c r="V106" i="15"/>
  <c r="U106" i="15"/>
  <c r="S106" i="15"/>
  <c r="Y105" i="15"/>
  <c r="X105" i="15"/>
  <c r="W105" i="15"/>
  <c r="V105" i="15"/>
  <c r="U105" i="15"/>
  <c r="S105" i="15"/>
  <c r="Y104" i="15"/>
  <c r="X104" i="15"/>
  <c r="W104" i="15"/>
  <c r="V104" i="15"/>
  <c r="U104" i="15"/>
  <c r="S104" i="15"/>
  <c r="Y103" i="15"/>
  <c r="X103" i="15"/>
  <c r="W103" i="15"/>
  <c r="V103" i="15"/>
  <c r="U103" i="15"/>
  <c r="S103" i="15"/>
  <c r="Y102" i="15"/>
  <c r="X102" i="15"/>
  <c r="W102" i="15"/>
  <c r="V102" i="15"/>
  <c r="U102" i="15"/>
  <c r="S102" i="15"/>
  <c r="Y101" i="15"/>
  <c r="X101" i="15"/>
  <c r="W101" i="15"/>
  <c r="V101" i="15"/>
  <c r="U101" i="15"/>
  <c r="S101" i="15"/>
  <c r="Y100" i="15"/>
  <c r="X100" i="15"/>
  <c r="W100" i="15"/>
  <c r="V100" i="15"/>
  <c r="U100" i="15"/>
  <c r="S100" i="15"/>
  <c r="Y99" i="15"/>
  <c r="X99" i="15"/>
  <c r="W99" i="15"/>
  <c r="V99" i="15"/>
  <c r="U99" i="15"/>
  <c r="S99" i="15"/>
  <c r="Y98" i="15"/>
  <c r="X98" i="15"/>
  <c r="W98" i="15"/>
  <c r="V98" i="15"/>
  <c r="U98" i="15"/>
  <c r="S98" i="15"/>
  <c r="Y97" i="15"/>
  <c r="X97" i="15"/>
  <c r="W97" i="15"/>
  <c r="V97" i="15"/>
  <c r="U97" i="15"/>
  <c r="S97" i="15"/>
  <c r="Y96" i="15"/>
  <c r="X96" i="15"/>
  <c r="W96" i="15"/>
  <c r="V96" i="15"/>
  <c r="U96" i="15"/>
  <c r="S96" i="15"/>
  <c r="Y95" i="15"/>
  <c r="X95" i="15"/>
  <c r="W95" i="15"/>
  <c r="V95" i="15"/>
  <c r="U95" i="15"/>
  <c r="S95" i="15"/>
  <c r="Y94" i="15"/>
  <c r="X94" i="15"/>
  <c r="W94" i="15"/>
  <c r="V94" i="15"/>
  <c r="U94" i="15"/>
  <c r="S94" i="15"/>
  <c r="Y93" i="15"/>
  <c r="X93" i="15"/>
  <c r="W93" i="15"/>
  <c r="V93" i="15"/>
  <c r="U93" i="15"/>
  <c r="S93" i="15"/>
  <c r="Y92" i="15"/>
  <c r="X92" i="15"/>
  <c r="W92" i="15"/>
  <c r="V92" i="15"/>
  <c r="U92" i="15"/>
  <c r="S92" i="15"/>
  <c r="Y91" i="15"/>
  <c r="X91" i="15"/>
  <c r="W91" i="15"/>
  <c r="V91" i="15"/>
  <c r="U91" i="15"/>
  <c r="S91" i="15"/>
  <c r="Y90" i="15"/>
  <c r="X90" i="15"/>
  <c r="W90" i="15"/>
  <c r="V90" i="15"/>
  <c r="U90" i="15"/>
  <c r="S90" i="15"/>
  <c r="L546" i="26" s="1"/>
  <c r="N546" i="26" s="1"/>
  <c r="Y89" i="15"/>
  <c r="X89" i="15"/>
  <c r="W89" i="15"/>
  <c r="V89" i="15"/>
  <c r="U89" i="15"/>
  <c r="Y88" i="15"/>
  <c r="X88" i="15"/>
  <c r="W88" i="15"/>
  <c r="V88" i="15"/>
  <c r="U88" i="15"/>
  <c r="S88" i="15"/>
  <c r="Y87" i="15"/>
  <c r="X87" i="15"/>
  <c r="W87" i="15"/>
  <c r="V87" i="15"/>
  <c r="U87" i="15"/>
  <c r="S87" i="15"/>
  <c r="Y86" i="15"/>
  <c r="X86" i="15"/>
  <c r="W86" i="15"/>
  <c r="V86" i="15"/>
  <c r="U86" i="15"/>
  <c r="S86" i="15"/>
  <c r="Y85" i="15"/>
  <c r="X85" i="15"/>
  <c r="W85" i="15"/>
  <c r="V85" i="15"/>
  <c r="U85" i="15"/>
  <c r="S85" i="15"/>
  <c r="Y84" i="15"/>
  <c r="X84" i="15"/>
  <c r="W84" i="15"/>
  <c r="V84" i="15"/>
  <c r="U84" i="15"/>
  <c r="S84" i="15"/>
  <c r="Y83" i="15"/>
  <c r="X83" i="15"/>
  <c r="W83" i="15"/>
  <c r="V83" i="15"/>
  <c r="U83" i="15"/>
  <c r="Y82" i="15"/>
  <c r="X82" i="15"/>
  <c r="W82" i="15"/>
  <c r="V82" i="15"/>
  <c r="U82" i="15"/>
  <c r="Y81" i="15"/>
  <c r="X81" i="15"/>
  <c r="W81" i="15"/>
  <c r="V81" i="15"/>
  <c r="U81" i="15"/>
  <c r="Y80" i="15"/>
  <c r="X80" i="15"/>
  <c r="W80" i="15"/>
  <c r="V80" i="15"/>
  <c r="U80" i="15"/>
  <c r="S80" i="15"/>
  <c r="Y79" i="15"/>
  <c r="X79" i="15"/>
  <c r="W79" i="15"/>
  <c r="V79" i="15"/>
  <c r="U79" i="15"/>
  <c r="S79" i="15"/>
  <c r="Y78" i="15"/>
  <c r="X78" i="15"/>
  <c r="W78" i="15"/>
  <c r="V78" i="15"/>
  <c r="U78" i="15"/>
  <c r="S78" i="15"/>
  <c r="Y77" i="15"/>
  <c r="X77" i="15"/>
  <c r="W77" i="15"/>
  <c r="V77" i="15"/>
  <c r="U77" i="15"/>
  <c r="S77" i="15"/>
  <c r="Y76" i="15"/>
  <c r="X76" i="15"/>
  <c r="W76" i="15"/>
  <c r="V76" i="15"/>
  <c r="U76" i="15"/>
  <c r="S76" i="15"/>
  <c r="Y75" i="15"/>
  <c r="X75" i="15"/>
  <c r="W75" i="15"/>
  <c r="V75" i="15"/>
  <c r="U75" i="15"/>
  <c r="S75" i="15"/>
  <c r="Y74" i="15"/>
  <c r="X74" i="15"/>
  <c r="W74" i="15"/>
  <c r="V74" i="15"/>
  <c r="U74" i="15"/>
  <c r="Y73" i="15"/>
  <c r="X73" i="15"/>
  <c r="W73" i="15"/>
  <c r="V73" i="15"/>
  <c r="U73" i="15"/>
  <c r="S73" i="15"/>
  <c r="Y72" i="15"/>
  <c r="X72" i="15"/>
  <c r="W72" i="15"/>
  <c r="V72" i="15"/>
  <c r="U72" i="15"/>
  <c r="S72" i="15"/>
  <c r="Y71" i="15"/>
  <c r="X71" i="15"/>
  <c r="W71" i="15"/>
  <c r="V71" i="15"/>
  <c r="U71" i="15"/>
  <c r="S71" i="15"/>
  <c r="Y70" i="15"/>
  <c r="X70" i="15"/>
  <c r="W70" i="15"/>
  <c r="V70" i="15"/>
  <c r="U70" i="15"/>
  <c r="S70" i="15"/>
  <c r="Y69" i="15"/>
  <c r="X69" i="15"/>
  <c r="W69" i="15"/>
  <c r="V69" i="15"/>
  <c r="U69" i="15"/>
  <c r="S69" i="15"/>
  <c r="Y68" i="15"/>
  <c r="X68" i="15"/>
  <c r="W68" i="15"/>
  <c r="V68" i="15"/>
  <c r="U68" i="15"/>
  <c r="S68" i="15"/>
  <c r="Y67" i="15"/>
  <c r="X67" i="15"/>
  <c r="W67" i="15"/>
  <c r="V67" i="15"/>
  <c r="U67" i="15"/>
  <c r="S67" i="15"/>
  <c r="Y66" i="15"/>
  <c r="X66" i="15"/>
  <c r="W66" i="15"/>
  <c r="V66" i="15"/>
  <c r="U66" i="15"/>
  <c r="S66" i="15"/>
  <c r="Y65" i="15"/>
  <c r="X65" i="15"/>
  <c r="W65" i="15"/>
  <c r="V65" i="15"/>
  <c r="U65" i="15"/>
  <c r="Y64" i="15"/>
  <c r="X64" i="15"/>
  <c r="W64" i="15"/>
  <c r="V64" i="15"/>
  <c r="U64" i="15"/>
  <c r="S64" i="15"/>
  <c r="Y63" i="15"/>
  <c r="X63" i="15"/>
  <c r="W63" i="15"/>
  <c r="V63" i="15"/>
  <c r="U63" i="15"/>
  <c r="L420" i="20"/>
  <c r="N420" i="20" s="1"/>
  <c r="Y62" i="15"/>
  <c r="X62" i="15"/>
  <c r="W62" i="15"/>
  <c r="V62" i="15"/>
  <c r="U62" i="15"/>
  <c r="Y61" i="15"/>
  <c r="X61" i="15"/>
  <c r="W61" i="15"/>
  <c r="V61" i="15"/>
  <c r="U61" i="15"/>
  <c r="S61" i="15"/>
  <c r="Y60" i="15"/>
  <c r="X60" i="15"/>
  <c r="W60" i="15"/>
  <c r="V60" i="15"/>
  <c r="U60" i="15"/>
  <c r="W59" i="15"/>
  <c r="V59" i="15"/>
  <c r="U59" i="15"/>
  <c r="W58" i="15"/>
  <c r="V58" i="15"/>
  <c r="U58" i="15"/>
  <c r="W57" i="15"/>
  <c r="V57" i="15"/>
  <c r="U57" i="15"/>
  <c r="W56" i="15"/>
  <c r="V56" i="15"/>
  <c r="U56" i="15"/>
  <c r="Y55" i="15"/>
  <c r="X55" i="15"/>
  <c r="W55" i="15"/>
  <c r="V55" i="15"/>
  <c r="U55" i="15"/>
  <c r="Y54" i="15"/>
  <c r="X54" i="15"/>
  <c r="W54" i="15"/>
  <c r="V54" i="15"/>
  <c r="U54" i="15"/>
  <c r="Y53" i="15"/>
  <c r="X53" i="15"/>
  <c r="W53" i="15"/>
  <c r="V53" i="15"/>
  <c r="U53" i="15"/>
  <c r="W52" i="15"/>
  <c r="V52" i="15"/>
  <c r="U52" i="15"/>
  <c r="W51" i="15"/>
  <c r="V51" i="15"/>
  <c r="U51" i="15"/>
  <c r="Y50" i="15"/>
  <c r="X50" i="15"/>
  <c r="W50" i="15"/>
  <c r="V50" i="15"/>
  <c r="U50" i="15"/>
  <c r="Y49" i="15"/>
  <c r="X49" i="15"/>
  <c r="W49" i="15"/>
  <c r="V49" i="15"/>
  <c r="U49" i="15"/>
  <c r="Y48" i="15"/>
  <c r="X48" i="15"/>
  <c r="W48" i="15"/>
  <c r="V48" i="15"/>
  <c r="U48" i="15"/>
  <c r="W47" i="15"/>
  <c r="V47" i="15"/>
  <c r="U47" i="15"/>
  <c r="W46" i="15"/>
  <c r="V46" i="15"/>
  <c r="U46" i="15"/>
  <c r="X45" i="15"/>
  <c r="W45" i="15"/>
  <c r="V45" i="15"/>
  <c r="U45" i="15"/>
  <c r="X44" i="15"/>
  <c r="W44" i="15"/>
  <c r="V44" i="15"/>
  <c r="U44" i="15"/>
  <c r="W43" i="15"/>
  <c r="V43" i="15"/>
  <c r="U43" i="15"/>
  <c r="Y42" i="15"/>
  <c r="X42" i="15"/>
  <c r="W42" i="15"/>
  <c r="V42" i="15"/>
  <c r="U42" i="15"/>
  <c r="Y41" i="15"/>
  <c r="X41" i="15"/>
  <c r="W41" i="15"/>
  <c r="V41" i="15"/>
  <c r="U41" i="15"/>
  <c r="W40" i="15"/>
  <c r="V40" i="15"/>
  <c r="U40" i="15"/>
  <c r="Y39" i="15"/>
  <c r="X39" i="15"/>
  <c r="W39" i="15"/>
  <c r="V39" i="15"/>
  <c r="U39" i="15"/>
  <c r="Y38" i="15"/>
  <c r="W38" i="15"/>
  <c r="V38" i="15"/>
  <c r="U38" i="15"/>
  <c r="Y37" i="15"/>
  <c r="X37" i="15"/>
  <c r="U37" i="15"/>
  <c r="Y36" i="15"/>
  <c r="X36" i="15"/>
  <c r="U36" i="15"/>
  <c r="Y35" i="15"/>
  <c r="X35" i="15"/>
  <c r="W35" i="15"/>
  <c r="V35" i="15"/>
  <c r="U35" i="15"/>
  <c r="S35" i="15"/>
  <c r="Y34" i="15"/>
  <c r="X34" i="15"/>
  <c r="W34" i="15"/>
  <c r="U34" i="15"/>
  <c r="Y33" i="15"/>
  <c r="X33" i="15"/>
  <c r="U33" i="15"/>
  <c r="Y32" i="15"/>
  <c r="X32" i="15"/>
  <c r="W32" i="15"/>
  <c r="U32" i="15"/>
  <c r="Y31" i="15"/>
  <c r="X31" i="15"/>
  <c r="W31" i="15"/>
  <c r="V31" i="15"/>
  <c r="U31" i="15"/>
  <c r="S31" i="15"/>
  <c r="Y30" i="15"/>
  <c r="X30" i="15"/>
  <c r="W30" i="15"/>
  <c r="U30" i="15"/>
  <c r="Y29" i="15"/>
  <c r="X29" i="15"/>
  <c r="W29" i="15"/>
  <c r="U29" i="15"/>
  <c r="Y28" i="15"/>
  <c r="X28" i="15"/>
  <c r="W28" i="15"/>
  <c r="V28" i="15"/>
  <c r="U28" i="15"/>
  <c r="S28" i="15"/>
  <c r="Y27" i="15"/>
  <c r="X27" i="15"/>
  <c r="W27" i="15"/>
  <c r="V27" i="15"/>
  <c r="U27" i="15"/>
  <c r="S27" i="15"/>
  <c r="Y26" i="15"/>
  <c r="X26" i="15"/>
  <c r="W26" i="15"/>
  <c r="U26" i="15"/>
  <c r="Y25" i="15"/>
  <c r="X25" i="15"/>
  <c r="W25" i="15"/>
  <c r="V25" i="15"/>
  <c r="U25" i="15"/>
  <c r="Y24" i="15"/>
  <c r="X24" i="15"/>
  <c r="W24" i="15"/>
  <c r="V24" i="15"/>
  <c r="U24" i="15"/>
  <c r="S24" i="15"/>
  <c r="Y23" i="15"/>
  <c r="X23" i="15"/>
  <c r="V23" i="15"/>
  <c r="U23" i="15"/>
  <c r="Y22" i="15"/>
  <c r="X22" i="15"/>
  <c r="Y21" i="15"/>
  <c r="X21" i="15"/>
  <c r="W21" i="15"/>
  <c r="V21" i="15"/>
  <c r="Y20" i="15"/>
  <c r="X20" i="15"/>
  <c r="W20" i="15"/>
  <c r="V20" i="15"/>
  <c r="U20" i="15"/>
  <c r="Y19" i="15"/>
  <c r="X19" i="15"/>
  <c r="W19" i="15"/>
  <c r="V19" i="15"/>
  <c r="U19" i="15"/>
  <c r="S19" i="15"/>
  <c r="Y18" i="15"/>
  <c r="X18" i="15"/>
  <c r="W18" i="15"/>
  <c r="V18" i="15"/>
  <c r="U18" i="15"/>
  <c r="S18" i="15"/>
  <c r="Y17" i="15"/>
  <c r="X17" i="15"/>
  <c r="W17" i="15"/>
  <c r="U17" i="15"/>
  <c r="Y16" i="15"/>
  <c r="X16" i="15"/>
  <c r="W16" i="15"/>
  <c r="U16" i="15"/>
  <c r="Y15" i="15"/>
  <c r="X15" i="15"/>
  <c r="W15" i="15"/>
  <c r="U15" i="15"/>
  <c r="Y14" i="15"/>
  <c r="X14" i="15"/>
  <c r="W14" i="15"/>
  <c r="V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Y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Y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M48" i="15" l="1"/>
  <c r="L394" i="16"/>
  <c r="L410" i="16"/>
  <c r="M62" i="15"/>
  <c r="J446" i="22"/>
  <c r="L446" i="22" s="1"/>
  <c r="N446" i="22" s="1"/>
  <c r="J478" i="24"/>
  <c r="L478" i="24" s="1"/>
  <c r="N478" i="24" s="1"/>
  <c r="J421" i="24"/>
  <c r="L421" i="24" s="1"/>
  <c r="N421" i="24" s="1"/>
  <c r="J393" i="26"/>
  <c r="L393" i="26" s="1"/>
  <c r="N393" i="26" s="1"/>
  <c r="J430" i="22"/>
  <c r="L430" i="22" s="1"/>
  <c r="N430" i="22" s="1"/>
  <c r="J462" i="24"/>
  <c r="L462" i="24" s="1"/>
  <c r="N462" i="24" s="1"/>
  <c r="S120" i="15"/>
  <c r="AE195" i="15"/>
  <c r="AF195" i="15" s="1"/>
  <c r="J443" i="20"/>
  <c r="L443" i="20" s="1"/>
  <c r="N443" i="20" s="1"/>
  <c r="AE160" i="15"/>
  <c r="AE168" i="15"/>
  <c r="AE20" i="15"/>
  <c r="AF20" i="15" s="1"/>
  <c r="AE68" i="15"/>
  <c r="AF68" i="15" s="1"/>
  <c r="AE74" i="15"/>
  <c r="AF74" i="15" s="1"/>
  <c r="AE86" i="15"/>
  <c r="AF86" i="15" s="1"/>
  <c r="AE92" i="15"/>
  <c r="AF92" i="15" s="1"/>
  <c r="AE100" i="15"/>
  <c r="AE114" i="15"/>
  <c r="AE120" i="15"/>
  <c r="AF120" i="15" s="1"/>
  <c r="AE134" i="15"/>
  <c r="AF134" i="15" s="1"/>
  <c r="AE140" i="15"/>
  <c r="AF140" i="15" s="1"/>
  <c r="AE145" i="15"/>
  <c r="AE149" i="15"/>
  <c r="AF149" i="15" s="1"/>
  <c r="AE153" i="15"/>
  <c r="AF153" i="15" s="1"/>
  <c r="AE159" i="15"/>
  <c r="AF159" i="15" s="1"/>
  <c r="AE165" i="15"/>
  <c r="AE35" i="15"/>
  <c r="AF35" i="15" s="1"/>
  <c r="AE60" i="15"/>
  <c r="AE66" i="15"/>
  <c r="AF66" i="15" s="1"/>
  <c r="AE80" i="15"/>
  <c r="AF80" i="15" s="1"/>
  <c r="AE84" i="15"/>
  <c r="AF84" i="15" s="1"/>
  <c r="AE90" i="15"/>
  <c r="AF90" i="15" s="1"/>
  <c r="AE98" i="15"/>
  <c r="AE106" i="15"/>
  <c r="AF106" i="15" s="1"/>
  <c r="AE112" i="15"/>
  <c r="AF112" i="15" s="1"/>
  <c r="AE118" i="15"/>
  <c r="AF118" i="15" s="1"/>
  <c r="AE18" i="15"/>
  <c r="AF18" i="15" s="1"/>
  <c r="AE24" i="15"/>
  <c r="AF24" i="15" s="1"/>
  <c r="AE28" i="15"/>
  <c r="AF28" i="15" s="1"/>
  <c r="AE39" i="15"/>
  <c r="AF39" i="15" s="1"/>
  <c r="AE42" i="15"/>
  <c r="AF42" i="15" s="1"/>
  <c r="AE72" i="15"/>
  <c r="AE78" i="15"/>
  <c r="AF78" i="15" s="1"/>
  <c r="AE96" i="15"/>
  <c r="AF96" i="15" s="1"/>
  <c r="AE104" i="15"/>
  <c r="AF104" i="15" s="1"/>
  <c r="AE110" i="15"/>
  <c r="AF110" i="15" s="1"/>
  <c r="AE124" i="15"/>
  <c r="AF124" i="15" s="1"/>
  <c r="AE130" i="15"/>
  <c r="AF130" i="15" s="1"/>
  <c r="AE142" i="15"/>
  <c r="AF142" i="15" s="1"/>
  <c r="AE147" i="15"/>
  <c r="AE151" i="15"/>
  <c r="AF151" i="15" s="1"/>
  <c r="AE156" i="15"/>
  <c r="AF156" i="15" s="1"/>
  <c r="AE161" i="15"/>
  <c r="AF161" i="15" s="1"/>
  <c r="AE169" i="15"/>
  <c r="AF169" i="15" s="1"/>
  <c r="AE27" i="15"/>
  <c r="AE31" i="15"/>
  <c r="AF31" i="15" s="1"/>
  <c r="AE55" i="15"/>
  <c r="AE71" i="15"/>
  <c r="AE77" i="15"/>
  <c r="AF77" i="15" s="1"/>
  <c r="AE82" i="15"/>
  <c r="AF82" i="15" s="1"/>
  <c r="AE95" i="15"/>
  <c r="AF95" i="15" s="1"/>
  <c r="AE103" i="15"/>
  <c r="AF103" i="15" s="1"/>
  <c r="AE109" i="15"/>
  <c r="AF109" i="15" s="1"/>
  <c r="AE117" i="15"/>
  <c r="AF117" i="15" s="1"/>
  <c r="AE123" i="15"/>
  <c r="AE129" i="15"/>
  <c r="AF129" i="15" s="1"/>
  <c r="AE194" i="15"/>
  <c r="AE64" i="15"/>
  <c r="AF64" i="15" s="1"/>
  <c r="AE70" i="15"/>
  <c r="AF70" i="15" s="1"/>
  <c r="AE76" i="15"/>
  <c r="AF76" i="15" s="1"/>
  <c r="AE88" i="15"/>
  <c r="AF88" i="15" s="1"/>
  <c r="AE94" i="15"/>
  <c r="AF94" i="15" s="1"/>
  <c r="AE102" i="15"/>
  <c r="AE116" i="15"/>
  <c r="AE122" i="15"/>
  <c r="AF122" i="15" s="1"/>
  <c r="AE128" i="15"/>
  <c r="AF128" i="15" s="1"/>
  <c r="AE136" i="15"/>
  <c r="AF136" i="15" s="1"/>
  <c r="AE141" i="15"/>
  <c r="AF141" i="15" s="1"/>
  <c r="AE146" i="15"/>
  <c r="AF146" i="15" s="1"/>
  <c r="AE150" i="15"/>
  <c r="AF150" i="15" s="1"/>
  <c r="AE155" i="15"/>
  <c r="AE167" i="15"/>
  <c r="AE173" i="15"/>
  <c r="AF173" i="15" s="1"/>
  <c r="AE182" i="15"/>
  <c r="AF182" i="15" s="1"/>
  <c r="AE193" i="15"/>
  <c r="AF193" i="15" s="1"/>
  <c r="AE63" i="15"/>
  <c r="AF63" i="15" s="1"/>
  <c r="AE69" i="15"/>
  <c r="AF69" i="15" s="1"/>
  <c r="AE75" i="15"/>
  <c r="AE81" i="15"/>
  <c r="AF81" i="15" s="1"/>
  <c r="AE87" i="15"/>
  <c r="AF87" i="15" s="1"/>
  <c r="AE93" i="15"/>
  <c r="AF93" i="15" s="1"/>
  <c r="AE101" i="15"/>
  <c r="AF101" i="15" s="1"/>
  <c r="AE115" i="15"/>
  <c r="AF115" i="15" s="1"/>
  <c r="AE121" i="15"/>
  <c r="AF121" i="15" s="1"/>
  <c r="AE127" i="15"/>
  <c r="AF127" i="15" s="1"/>
  <c r="AE135" i="15"/>
  <c r="AF135" i="15" s="1"/>
  <c r="AE154" i="15"/>
  <c r="AF154" i="15" s="1"/>
  <c r="AE166" i="15"/>
  <c r="AF166" i="15" s="1"/>
  <c r="AE25" i="15"/>
  <c r="AF25" i="15" s="1"/>
  <c r="AE61" i="15"/>
  <c r="AF61" i="15" s="1"/>
  <c r="AE67" i="15"/>
  <c r="AF67" i="15" s="1"/>
  <c r="AE85" i="15"/>
  <c r="AF85" i="15" s="1"/>
  <c r="AE91" i="15"/>
  <c r="AF91" i="15" s="1"/>
  <c r="AE99" i="15"/>
  <c r="AF99" i="15" s="1"/>
  <c r="AE107" i="15"/>
  <c r="AE113" i="15"/>
  <c r="AE119" i="15"/>
  <c r="AF119" i="15" s="1"/>
  <c r="AE133" i="15"/>
  <c r="AF133" i="15" s="1"/>
  <c r="AE139" i="15"/>
  <c r="AF139" i="15" s="1"/>
  <c r="AE158" i="15"/>
  <c r="AF158" i="15" s="1"/>
  <c r="AE164" i="15"/>
  <c r="AF164" i="15" s="1"/>
  <c r="AE172" i="15"/>
  <c r="AF172" i="15" s="1"/>
  <c r="AE192" i="15"/>
  <c r="AF192" i="15" s="1"/>
  <c r="AE126" i="15"/>
  <c r="AF126" i="15" s="1"/>
  <c r="AE132" i="15"/>
  <c r="AF132" i="15" s="1"/>
  <c r="AE138" i="15"/>
  <c r="AF138" i="15" s="1"/>
  <c r="AE144" i="15"/>
  <c r="AF144" i="15" s="1"/>
  <c r="AE148" i="15"/>
  <c r="AF148" i="15" s="1"/>
  <c r="AE152" i="15"/>
  <c r="AF152" i="15" s="1"/>
  <c r="AE163" i="15"/>
  <c r="AF163" i="15" s="1"/>
  <c r="AE171" i="15"/>
  <c r="AF171" i="15" s="1"/>
  <c r="AE175" i="15"/>
  <c r="AF175" i="15" s="1"/>
  <c r="AE191" i="15"/>
  <c r="AF191" i="15" s="1"/>
  <c r="AE19" i="15"/>
  <c r="AF19" i="15" s="1"/>
  <c r="AE65" i="15"/>
  <c r="AE73" i="15"/>
  <c r="AF73" i="15" s="1"/>
  <c r="AE79" i="15"/>
  <c r="AF79" i="15" s="1"/>
  <c r="AE83" i="15"/>
  <c r="AF83" i="15" s="1"/>
  <c r="AE89" i="15"/>
  <c r="AF89" i="15" s="1"/>
  <c r="AE97" i="15"/>
  <c r="AE105" i="15"/>
  <c r="AF105" i="15" s="1"/>
  <c r="AE111" i="15"/>
  <c r="AF111" i="15" s="1"/>
  <c r="AE125" i="15"/>
  <c r="AF125" i="15" s="1"/>
  <c r="AE131" i="15"/>
  <c r="AF131" i="15" s="1"/>
  <c r="AE137" i="15"/>
  <c r="AF137" i="15" s="1"/>
  <c r="AE143" i="15"/>
  <c r="AF143" i="15" s="1"/>
  <c r="AE157" i="15"/>
  <c r="AF157" i="15" s="1"/>
  <c r="AE162" i="15"/>
  <c r="AE170" i="15"/>
  <c r="AF170" i="15" s="1"/>
  <c r="R48" i="15"/>
  <c r="J426" i="26" s="1"/>
  <c r="L426" i="26" s="1"/>
  <c r="N426" i="26" s="1"/>
  <c r="R41" i="15"/>
  <c r="J387" i="26" s="1"/>
  <c r="L387" i="26" s="1"/>
  <c r="N387" i="26" s="1"/>
  <c r="P52" i="15"/>
  <c r="AC52" i="15" s="1"/>
  <c r="AC209" i="15" s="1"/>
  <c r="E8" i="22" s="1"/>
  <c r="S83" i="15"/>
  <c r="J427" i="20"/>
  <c r="O52" i="15"/>
  <c r="AF155" i="15"/>
  <c r="AF113" i="15"/>
  <c r="S156" i="15"/>
  <c r="L504" i="20"/>
  <c r="N504" i="20" s="1"/>
  <c r="J503" i="18"/>
  <c r="L503" i="18" s="1"/>
  <c r="AF147" i="15"/>
  <c r="J386" i="18"/>
  <c r="J386" i="20"/>
  <c r="L386" i="20" s="1"/>
  <c r="N386" i="20" s="1"/>
  <c r="AF102" i="15"/>
  <c r="S153" i="15"/>
  <c r="J494" i="18"/>
  <c r="L494" i="18" s="1"/>
  <c r="L495" i="20"/>
  <c r="N495" i="20" s="1"/>
  <c r="AF116" i="15"/>
  <c r="L489" i="20"/>
  <c r="N489" i="20" s="1"/>
  <c r="J488" i="18"/>
  <c r="L488" i="18" s="1"/>
  <c r="S152" i="15"/>
  <c r="L492" i="20"/>
  <c r="N492" i="20" s="1"/>
  <c r="J491" i="18"/>
  <c r="L491" i="18" s="1"/>
  <c r="AF160" i="15"/>
  <c r="AF168" i="15"/>
  <c r="S148" i="15"/>
  <c r="J479" i="18"/>
  <c r="L479" i="18" s="1"/>
  <c r="L480" i="20"/>
  <c r="N480" i="20" s="1"/>
  <c r="AF27" i="15"/>
  <c r="AF72" i="15"/>
  <c r="J421" i="18"/>
  <c r="L421" i="18" s="1"/>
  <c r="N421" i="18" s="1"/>
  <c r="L424" i="20"/>
  <c r="N424" i="20" s="1"/>
  <c r="S150" i="15"/>
  <c r="L486" i="20"/>
  <c r="N486" i="20" s="1"/>
  <c r="J485" i="18"/>
  <c r="L485" i="18" s="1"/>
  <c r="S151" i="15"/>
  <c r="AF167" i="15"/>
  <c r="AF71" i="15"/>
  <c r="AF98" i="15"/>
  <c r="AF107" i="15"/>
  <c r="S149" i="15"/>
  <c r="L483" i="20"/>
  <c r="N483" i="20" s="1"/>
  <c r="J482" i="18"/>
  <c r="L482" i="18" s="1"/>
  <c r="S158" i="15"/>
  <c r="J510" i="20"/>
  <c r="L510" i="20" s="1"/>
  <c r="J509" i="18"/>
  <c r="L509" i="18" s="1"/>
  <c r="J476" i="18"/>
  <c r="L476" i="18" s="1"/>
  <c r="L477" i="20"/>
  <c r="N477" i="20" s="1"/>
  <c r="AF194" i="15"/>
  <c r="S147" i="15"/>
  <c r="S146" i="15"/>
  <c r="L474" i="20"/>
  <c r="N474" i="20" s="1"/>
  <c r="J473" i="18"/>
  <c r="L473" i="18" s="1"/>
  <c r="S145" i="15"/>
  <c r="J470" i="18"/>
  <c r="L470" i="18" s="1"/>
  <c r="L471" i="20"/>
  <c r="N471" i="20" s="1"/>
  <c r="J458" i="18"/>
  <c r="L458" i="18" s="1"/>
  <c r="N458" i="18" s="1"/>
  <c r="L459" i="20"/>
  <c r="N459" i="20" s="1"/>
  <c r="S159" i="15"/>
  <c r="J512" i="18"/>
  <c r="L512" i="18" s="1"/>
  <c r="S157" i="15"/>
  <c r="J506" i="18"/>
  <c r="L506" i="18" s="1"/>
  <c r="S155" i="15"/>
  <c r="J500" i="18"/>
  <c r="L500" i="18" s="1"/>
  <c r="S154" i="15"/>
  <c r="J497" i="18"/>
  <c r="L497" i="18" s="1"/>
  <c r="S144" i="15"/>
  <c r="J467" i="18"/>
  <c r="L467" i="18" s="1"/>
  <c r="N467" i="18" s="1"/>
  <c r="S143" i="15"/>
  <c r="J464" i="18"/>
  <c r="L464" i="18" s="1"/>
  <c r="N464" i="18" s="1"/>
  <c r="S142" i="15"/>
  <c r="J461" i="18"/>
  <c r="L461" i="18" s="1"/>
  <c r="N461" i="18" s="1"/>
  <c r="S141" i="15"/>
  <c r="S140" i="15"/>
  <c r="J455" i="18"/>
  <c r="L455" i="18" s="1"/>
  <c r="N455" i="18" s="1"/>
  <c r="S139" i="15"/>
  <c r="J452" i="18"/>
  <c r="L452" i="18" s="1"/>
  <c r="N452" i="18" s="1"/>
  <c r="S138" i="15"/>
  <c r="J449" i="18"/>
  <c r="L449" i="18" s="1"/>
  <c r="N449" i="18" s="1"/>
  <c r="S119" i="15"/>
  <c r="J432" i="18"/>
  <c r="L432" i="18" s="1"/>
  <c r="N432" i="18" s="1"/>
  <c r="S82" i="15"/>
  <c r="S63" i="15"/>
  <c r="J417" i="18"/>
  <c r="L417" i="18" s="1"/>
  <c r="N417" i="18" s="1"/>
  <c r="S42" i="15"/>
  <c r="G408" i="18"/>
  <c r="K407" i="18" s="1"/>
  <c r="K72" i="18"/>
  <c r="L72" i="18" s="1"/>
  <c r="N72" i="18" s="1"/>
  <c r="L184" i="15"/>
  <c r="Y184" i="15" s="1"/>
  <c r="L181" i="2"/>
  <c r="V181" i="2" s="1"/>
  <c r="M49" i="15"/>
  <c r="L396" i="16"/>
  <c r="N396" i="16" s="1"/>
  <c r="L413" i="16"/>
  <c r="N413" i="16" s="1"/>
  <c r="M108" i="15"/>
  <c r="R108" i="15" s="1"/>
  <c r="J469" i="24" s="1"/>
  <c r="L469" i="24" s="1"/>
  <c r="N469" i="24" s="1"/>
  <c r="L398" i="16"/>
  <c r="N398" i="16" s="1"/>
  <c r="M50" i="15"/>
  <c r="L190" i="15"/>
  <c r="L47" i="15"/>
  <c r="Y47" i="15" s="1"/>
  <c r="AF55" i="15"/>
  <c r="M53" i="15"/>
  <c r="M190" i="15"/>
  <c r="Z190" i="15" s="1"/>
  <c r="AF145" i="15"/>
  <c r="M54" i="15"/>
  <c r="R54" i="15" s="1"/>
  <c r="J446" i="24" s="1"/>
  <c r="L446" i="24" s="1"/>
  <c r="N446" i="24" s="1"/>
  <c r="L52" i="15"/>
  <c r="Y52" i="15" s="1"/>
  <c r="AF97" i="15"/>
  <c r="L189" i="15"/>
  <c r="Y189" i="15" s="1"/>
  <c r="K705" i="11"/>
  <c r="L45" i="15"/>
  <c r="L51" i="15"/>
  <c r="Y51" i="15" s="1"/>
  <c r="L186" i="15"/>
  <c r="Y186" i="15" s="1"/>
  <c r="Z48" i="15"/>
  <c r="AE48" i="15" s="1"/>
  <c r="L185" i="15"/>
  <c r="Y185" i="15" s="1"/>
  <c r="K397" i="13"/>
  <c r="L46" i="15" s="1"/>
  <c r="Y46" i="15" s="1"/>
  <c r="L44" i="15"/>
  <c r="R44" i="15" s="1"/>
  <c r="AF165" i="15"/>
  <c r="L188" i="15"/>
  <c r="Y188" i="15" s="1"/>
  <c r="M45" i="15"/>
  <c r="Z43" i="15"/>
  <c r="AF100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AF123" i="15"/>
  <c r="AF75" i="15"/>
  <c r="AF162" i="15"/>
  <c r="AF114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R62" i="15" l="1"/>
  <c r="Z62" i="15"/>
  <c r="AE62" i="15" s="1"/>
  <c r="AF62" i="15" s="1"/>
  <c r="S48" i="15"/>
  <c r="J434" i="24"/>
  <c r="L434" i="24" s="1"/>
  <c r="N434" i="24" s="1"/>
  <c r="J386" i="22"/>
  <c r="L386" i="22" s="1"/>
  <c r="N386" i="22" s="1"/>
  <c r="J418" i="24"/>
  <c r="L418" i="24" s="1"/>
  <c r="N418" i="24" s="1"/>
  <c r="J402" i="22"/>
  <c r="L402" i="22" s="1"/>
  <c r="N402" i="22" s="1"/>
  <c r="J397" i="18"/>
  <c r="L397" i="18" s="1"/>
  <c r="N397" i="18" s="1"/>
  <c r="J396" i="20"/>
  <c r="L396" i="20" s="1"/>
  <c r="N396" i="20" s="1"/>
  <c r="R190" i="15"/>
  <c r="J384" i="20"/>
  <c r="L384" i="20" s="1"/>
  <c r="N384" i="20" s="1"/>
  <c r="R49" i="15"/>
  <c r="J433" i="26" s="1"/>
  <c r="L433" i="26" s="1"/>
  <c r="N433" i="26" s="1"/>
  <c r="R45" i="15"/>
  <c r="J411" i="26" s="1"/>
  <c r="L411" i="26" s="1"/>
  <c r="N411" i="26" s="1"/>
  <c r="R50" i="15"/>
  <c r="R53" i="15"/>
  <c r="J455" i="26" s="1"/>
  <c r="L455" i="26" s="1"/>
  <c r="N455" i="26" s="1"/>
  <c r="Y45" i="15"/>
  <c r="Y44" i="15"/>
  <c r="J434" i="20"/>
  <c r="L434" i="20" s="1"/>
  <c r="N434" i="20" s="1"/>
  <c r="J437" i="22"/>
  <c r="L437" i="22" s="1"/>
  <c r="N437" i="22" s="1"/>
  <c r="J414" i="22"/>
  <c r="L414" i="22" s="1"/>
  <c r="N414" i="22" s="1"/>
  <c r="J410" i="20"/>
  <c r="L410" i="20" s="1"/>
  <c r="N410" i="20" s="1"/>
  <c r="Y190" i="15"/>
  <c r="E8" i="23"/>
  <c r="AB52" i="15"/>
  <c r="AF48" i="15"/>
  <c r="N52" i="15"/>
  <c r="AA52" i="15" s="1"/>
  <c r="L386" i="18"/>
  <c r="N386" i="18" s="1"/>
  <c r="K408" i="18"/>
  <c r="Z108" i="15"/>
  <c r="AE108" i="15" s="1"/>
  <c r="S108" i="15"/>
  <c r="Z49" i="15"/>
  <c r="AE49" i="15" s="1"/>
  <c r="L59" i="2"/>
  <c r="V59" i="2" s="1"/>
  <c r="L59" i="15"/>
  <c r="Y59" i="15" s="1"/>
  <c r="Z53" i="15"/>
  <c r="AE53" i="15" s="1"/>
  <c r="L56" i="2"/>
  <c r="V56" i="2" s="1"/>
  <c r="L56" i="15"/>
  <c r="Y56" i="15" s="1"/>
  <c r="L57" i="2"/>
  <c r="V57" i="2" s="1"/>
  <c r="L57" i="15"/>
  <c r="Y57" i="15" s="1"/>
  <c r="Z54" i="15"/>
  <c r="AE54" i="15" s="1"/>
  <c r="S54" i="15"/>
  <c r="Z50" i="15"/>
  <c r="AE50" i="15" s="1"/>
  <c r="L43" i="2"/>
  <c r="V43" i="2" s="1"/>
  <c r="L43" i="15"/>
  <c r="Y43" i="15" s="1"/>
  <c r="L58" i="2"/>
  <c r="V58" i="2" s="1"/>
  <c r="L58" i="15"/>
  <c r="Y58" i="15" s="1"/>
  <c r="K189" i="2"/>
  <c r="U189" i="2" s="1"/>
  <c r="K189" i="15"/>
  <c r="R189" i="15" s="1"/>
  <c r="J859" i="26" s="1"/>
  <c r="L859" i="26" s="1"/>
  <c r="N859" i="26" s="1"/>
  <c r="L40" i="2"/>
  <c r="V40" i="2" s="1"/>
  <c r="L40" i="15"/>
  <c r="Y40" i="15" s="1"/>
  <c r="Z45" i="15"/>
  <c r="S44" i="15"/>
  <c r="Z44" i="15"/>
  <c r="Z41" i="15"/>
  <c r="K72" i="16"/>
  <c r="L72" i="16" s="1"/>
  <c r="N72" i="16" s="1"/>
  <c r="K404" i="16"/>
  <c r="K403" i="16"/>
  <c r="M52" i="15" s="1"/>
  <c r="Z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J406" i="22" l="1"/>
  <c r="L406" i="22" s="1"/>
  <c r="N406" i="22" s="1"/>
  <c r="J438" i="24"/>
  <c r="L438" i="24" s="1"/>
  <c r="N438" i="24" s="1"/>
  <c r="S190" i="15"/>
  <c r="J868" i="26"/>
  <c r="L868" i="26" s="1"/>
  <c r="N868" i="26" s="1"/>
  <c r="J489" i="26"/>
  <c r="L489" i="26" s="1"/>
  <c r="S62" i="15"/>
  <c r="J412" i="22"/>
  <c r="L412" i="22" s="1"/>
  <c r="N412" i="22" s="1"/>
  <c r="J444" i="24"/>
  <c r="L444" i="24" s="1"/>
  <c r="N444" i="24" s="1"/>
  <c r="J408" i="20"/>
  <c r="L408" i="20" s="1"/>
  <c r="N408" i="20" s="1"/>
  <c r="J404" i="22"/>
  <c r="L404" i="22" s="1"/>
  <c r="N404" i="22" s="1"/>
  <c r="J436" i="24"/>
  <c r="L436" i="24" s="1"/>
  <c r="N436" i="24" s="1"/>
  <c r="J396" i="22"/>
  <c r="L396" i="22" s="1"/>
  <c r="N396" i="22" s="1"/>
  <c r="J428" i="24"/>
  <c r="L428" i="24" s="1"/>
  <c r="N428" i="24" s="1"/>
  <c r="J400" i="20"/>
  <c r="L400" i="20" s="1"/>
  <c r="N400" i="20" s="1"/>
  <c r="AE45" i="15"/>
  <c r="J398" i="20"/>
  <c r="L398" i="20" s="1"/>
  <c r="N398" i="20" s="1"/>
  <c r="AE41" i="15"/>
  <c r="AF41" i="15" s="1"/>
  <c r="AE44" i="15"/>
  <c r="AF44" i="15" s="1"/>
  <c r="AE190" i="15"/>
  <c r="AF190" i="15" s="1"/>
  <c r="S45" i="15"/>
  <c r="AB209" i="15"/>
  <c r="AF53" i="15"/>
  <c r="AF49" i="15"/>
  <c r="AF45" i="15"/>
  <c r="AF54" i="15"/>
  <c r="AF50" i="15"/>
  <c r="AF108" i="15"/>
  <c r="S53" i="15"/>
  <c r="J409" i="18"/>
  <c r="L409" i="18" s="1"/>
  <c r="N409" i="18" s="1"/>
  <c r="S50" i="15"/>
  <c r="J401" i="18"/>
  <c r="L401" i="18" s="1"/>
  <c r="N401" i="18" s="1"/>
  <c r="S49" i="15"/>
  <c r="J399" i="18"/>
  <c r="L399" i="18" s="1"/>
  <c r="N399" i="18" s="1"/>
  <c r="AA209" i="15"/>
  <c r="S41" i="15"/>
  <c r="J384" i="18"/>
  <c r="L384" i="18" s="1"/>
  <c r="N384" i="18" s="1"/>
  <c r="L183" i="2"/>
  <c r="V183" i="2" s="1"/>
  <c r="V196" i="2" s="1"/>
  <c r="E8" i="2" s="1"/>
  <c r="L183" i="15"/>
  <c r="Y183" i="15" s="1"/>
  <c r="Y209" i="15" s="1"/>
  <c r="S189" i="15"/>
  <c r="X189" i="15"/>
  <c r="AE189" i="15" s="1"/>
  <c r="K177" i="2"/>
  <c r="U177" i="2" s="1"/>
  <c r="K177" i="15"/>
  <c r="K46" i="2"/>
  <c r="U46" i="2" s="1"/>
  <c r="K46" i="15"/>
  <c r="K47" i="2"/>
  <c r="U47" i="2" s="1"/>
  <c r="K47" i="15"/>
  <c r="K184" i="2"/>
  <c r="U184" i="2" s="1"/>
  <c r="K184" i="15"/>
  <c r="X184" i="15" s="1"/>
  <c r="G406" i="11"/>
  <c r="K405" i="11" s="1"/>
  <c r="K51" i="15"/>
  <c r="Z209" i="15"/>
  <c r="K410" i="11"/>
  <c r="K56" i="15" s="1"/>
  <c r="R56" i="15" s="1"/>
  <c r="K624" i="11"/>
  <c r="K181" i="15" s="1"/>
  <c r="X181" i="15" s="1"/>
  <c r="K492" i="11"/>
  <c r="K51" i="2"/>
  <c r="U51" i="2" s="1"/>
  <c r="K488" i="11"/>
  <c r="K484" i="11"/>
  <c r="K56" i="2"/>
  <c r="U56" i="2" s="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J450" i="24" l="1"/>
  <c r="L450" i="24" s="1"/>
  <c r="N450" i="24" s="1"/>
  <c r="J462" i="26"/>
  <c r="L462" i="26" s="1"/>
  <c r="N462" i="26" s="1"/>
  <c r="G515" i="26"/>
  <c r="K513" i="26" s="1"/>
  <c r="G512" i="26"/>
  <c r="K510" i="26" s="1"/>
  <c r="N489" i="26"/>
  <c r="G518" i="26"/>
  <c r="K516" i="26" s="1"/>
  <c r="R47" i="15"/>
  <c r="R46" i="15"/>
  <c r="J417" i="26" s="1"/>
  <c r="L417" i="26" s="1"/>
  <c r="N417" i="26" s="1"/>
  <c r="R51" i="15"/>
  <c r="J440" i="26" s="1"/>
  <c r="L440" i="26" s="1"/>
  <c r="N440" i="26" s="1"/>
  <c r="J414" i="20"/>
  <c r="J418" i="22"/>
  <c r="L418" i="22" s="1"/>
  <c r="N418" i="22" s="1"/>
  <c r="AF189" i="15"/>
  <c r="E8" i="20"/>
  <c r="E8" i="18"/>
  <c r="E8" i="21"/>
  <c r="E8" i="19"/>
  <c r="K58" i="2"/>
  <c r="U58" i="2" s="1"/>
  <c r="K58" i="15"/>
  <c r="R58" i="15" s="1"/>
  <c r="J473" i="26" s="1"/>
  <c r="L473" i="26" s="1"/>
  <c r="N473" i="26" s="1"/>
  <c r="K52" i="2"/>
  <c r="U52" i="2" s="1"/>
  <c r="K52" i="15"/>
  <c r="R52" i="15" s="1"/>
  <c r="J452" i="26" s="1"/>
  <c r="L452" i="26" s="1"/>
  <c r="N452" i="26" s="1"/>
  <c r="X177" i="15"/>
  <c r="K59" i="2"/>
  <c r="U59" i="2" s="1"/>
  <c r="K59" i="15"/>
  <c r="R59" i="15" s="1"/>
  <c r="J477" i="26" s="1"/>
  <c r="L477" i="26" s="1"/>
  <c r="N477" i="26" s="1"/>
  <c r="K38" i="2"/>
  <c r="U38" i="2" s="1"/>
  <c r="K38" i="15"/>
  <c r="R38" i="15" s="1"/>
  <c r="K40" i="2"/>
  <c r="U40" i="2" s="1"/>
  <c r="K40" i="15"/>
  <c r="X56" i="15"/>
  <c r="AE56" i="15" s="1"/>
  <c r="S56" i="15"/>
  <c r="G106" i="9"/>
  <c r="K106" i="9" s="1"/>
  <c r="K43" i="2"/>
  <c r="U43" i="2" s="1"/>
  <c r="K43" i="15"/>
  <c r="R43" i="15" s="1"/>
  <c r="X47" i="15"/>
  <c r="AE47" i="15" s="1"/>
  <c r="X51" i="15"/>
  <c r="AE51" i="15" s="1"/>
  <c r="K57" i="2"/>
  <c r="U57" i="2" s="1"/>
  <c r="K57" i="15"/>
  <c r="R57" i="15" s="1"/>
  <c r="X46" i="15"/>
  <c r="AE46" i="15" s="1"/>
  <c r="E8" i="16"/>
  <c r="E8" i="17"/>
  <c r="K76" i="9"/>
  <c r="K94" i="9"/>
  <c r="K682" i="11"/>
  <c r="K611" i="11"/>
  <c r="K94" i="11"/>
  <c r="K703" i="11"/>
  <c r="K188" i="15" s="1"/>
  <c r="X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J400" i="22" l="1"/>
  <c r="L400" i="22" s="1"/>
  <c r="N400" i="22" s="1"/>
  <c r="J432" i="24"/>
  <c r="L432" i="24" s="1"/>
  <c r="N432" i="24" s="1"/>
  <c r="J424" i="24"/>
  <c r="L424" i="24" s="1"/>
  <c r="N424" i="24" s="1"/>
  <c r="J399" i="26"/>
  <c r="L399" i="26" s="1"/>
  <c r="N399" i="26" s="1"/>
  <c r="J403" i="24"/>
  <c r="L403" i="24" s="1"/>
  <c r="N403" i="24" s="1"/>
  <c r="J371" i="26"/>
  <c r="L371" i="26" s="1"/>
  <c r="N371" i="26" s="1"/>
  <c r="J402" i="20"/>
  <c r="L402" i="20" s="1"/>
  <c r="N402" i="20" s="1"/>
  <c r="J440" i="24"/>
  <c r="L440" i="24" s="1"/>
  <c r="N440" i="24" s="1"/>
  <c r="J398" i="22"/>
  <c r="L398" i="22" s="1"/>
  <c r="N398" i="22" s="1"/>
  <c r="J430" i="24"/>
  <c r="L430" i="24" s="1"/>
  <c r="N430" i="24" s="1"/>
  <c r="S47" i="15"/>
  <c r="S46" i="15"/>
  <c r="J408" i="22"/>
  <c r="L408" i="22" s="1"/>
  <c r="N408" i="22" s="1"/>
  <c r="R40" i="15"/>
  <c r="J380" i="26" s="1"/>
  <c r="L380" i="26" s="1"/>
  <c r="N380" i="26" s="1"/>
  <c r="J392" i="22"/>
  <c r="L392" i="22" s="1"/>
  <c r="N392" i="22" s="1"/>
  <c r="S43" i="15"/>
  <c r="AF47" i="15"/>
  <c r="AF46" i="15"/>
  <c r="AF56" i="15"/>
  <c r="AF51" i="15"/>
  <c r="S51" i="15"/>
  <c r="J403" i="18"/>
  <c r="L403" i="18" s="1"/>
  <c r="N403" i="18" s="1"/>
  <c r="X57" i="15"/>
  <c r="AE57" i="15" s="1"/>
  <c r="S57" i="15"/>
  <c r="X40" i="15"/>
  <c r="AE40" i="15" s="1"/>
  <c r="X52" i="15"/>
  <c r="AE52" i="15" s="1"/>
  <c r="S52" i="15"/>
  <c r="K186" i="2"/>
  <c r="U186" i="2" s="1"/>
  <c r="K186" i="15"/>
  <c r="X186" i="15" s="1"/>
  <c r="X59" i="15"/>
  <c r="AE59" i="15" s="1"/>
  <c r="S59" i="15"/>
  <c r="K185" i="2"/>
  <c r="U185" i="2" s="1"/>
  <c r="K185" i="15"/>
  <c r="X185" i="15" s="1"/>
  <c r="S38" i="15"/>
  <c r="X38" i="15"/>
  <c r="AE38" i="15" s="1"/>
  <c r="X58" i="15"/>
  <c r="AE58" i="15" s="1"/>
  <c r="S58" i="15"/>
  <c r="X43" i="15"/>
  <c r="AE43" i="15" s="1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S40" i="15" l="1"/>
  <c r="J384" i="22"/>
  <c r="L384" i="22" s="1"/>
  <c r="N384" i="22" s="1"/>
  <c r="J416" i="24"/>
  <c r="L416" i="24" s="1"/>
  <c r="N416" i="24" s="1"/>
  <c r="AF52" i="15"/>
  <c r="AF43" i="15"/>
  <c r="AF59" i="15"/>
  <c r="AF57" i="15"/>
  <c r="AF40" i="15"/>
  <c r="AF58" i="15"/>
  <c r="K183" i="2"/>
  <c r="U183" i="2" s="1"/>
  <c r="K183" i="15"/>
  <c r="X183" i="15" s="1"/>
  <c r="X209" i="15" s="1"/>
  <c r="AF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 s="1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R187" i="15" s="1"/>
  <c r="K581" i="9"/>
  <c r="K530" i="9"/>
  <c r="K567" i="9"/>
  <c r="G261" i="9"/>
  <c r="K260" i="9" s="1"/>
  <c r="T32" i="2" s="1"/>
  <c r="K340" i="9"/>
  <c r="K330" i="9"/>
  <c r="G70" i="9"/>
  <c r="K68" i="9" s="1"/>
  <c r="J23" i="15" s="1"/>
  <c r="R23" i="15" s="1"/>
  <c r="K262" i="9"/>
  <c r="T29" i="2"/>
  <c r="J36" i="2" l="1"/>
  <c r="T36" i="2" s="1"/>
  <c r="J36" i="15"/>
  <c r="W36" i="15" s="1"/>
  <c r="J37" i="2"/>
  <c r="T37" i="2" s="1"/>
  <c r="J37" i="15"/>
  <c r="W37" i="15" s="1"/>
  <c r="J186" i="2"/>
  <c r="T186" i="2" s="1"/>
  <c r="J186" i="15"/>
  <c r="W186" i="15" s="1"/>
  <c r="J181" i="2"/>
  <c r="T181" i="2" s="1"/>
  <c r="J181" i="15"/>
  <c r="W181" i="15" s="1"/>
  <c r="J188" i="2"/>
  <c r="T188" i="2" s="1"/>
  <c r="J188" i="15"/>
  <c r="R188" i="15" s="1"/>
  <c r="W187" i="15"/>
  <c r="AE187" i="15" s="1"/>
  <c r="S187" i="15"/>
  <c r="J33" i="2"/>
  <c r="T33" i="2" s="1"/>
  <c r="J33" i="15"/>
  <c r="W33" i="15" s="1"/>
  <c r="S23" i="15"/>
  <c r="W23" i="15"/>
  <c r="AE23" i="15" s="1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F23" i="15" l="1"/>
  <c r="AF187" i="15"/>
  <c r="J22" i="2"/>
  <c r="T22" i="2" s="1"/>
  <c r="J22" i="15"/>
  <c r="W22" i="15" s="1"/>
  <c r="J177" i="2"/>
  <c r="T177" i="2" s="1"/>
  <c r="J177" i="15"/>
  <c r="R177" i="15" s="1"/>
  <c r="S188" i="15"/>
  <c r="W188" i="15"/>
  <c r="AE188" i="15" s="1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R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F188" i="15" l="1"/>
  <c r="S34" i="15"/>
  <c r="V34" i="15"/>
  <c r="AE34" i="15" s="1"/>
  <c r="I178" i="2"/>
  <c r="S178" i="2" s="1"/>
  <c r="I178" i="15"/>
  <c r="V178" i="15" s="1"/>
  <c r="J184" i="2"/>
  <c r="T184" i="2" s="1"/>
  <c r="J184" i="15"/>
  <c r="W184" i="15" s="1"/>
  <c r="I179" i="2"/>
  <c r="I179" i="15"/>
  <c r="V179" i="15" s="1"/>
  <c r="W177" i="15"/>
  <c r="AE177" i="15" s="1"/>
  <c r="S177" i="15"/>
  <c r="I176" i="2"/>
  <c r="S176" i="2" s="1"/>
  <c r="I176" i="15"/>
  <c r="R176" i="15" s="1"/>
  <c r="J185" i="2"/>
  <c r="T185" i="2" s="1"/>
  <c r="J185" i="15"/>
  <c r="W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R36" i="15" s="1"/>
  <c r="J312" i="26" s="1"/>
  <c r="L312" i="26" s="1"/>
  <c r="N312" i="26" s="1"/>
  <c r="K195" i="5"/>
  <c r="K153" i="5"/>
  <c r="I33" i="15" s="1"/>
  <c r="R33" i="15" s="1"/>
  <c r="K54" i="5"/>
  <c r="I26" i="15" s="1"/>
  <c r="R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7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J274" i="24" l="1"/>
  <c r="L274" i="24" s="1"/>
  <c r="N274" i="24" s="1"/>
  <c r="J242" i="26"/>
  <c r="L242" i="26" s="1"/>
  <c r="N242" i="26" s="1"/>
  <c r="J108" i="24"/>
  <c r="L108" i="24" s="1"/>
  <c r="N108" i="24" s="1"/>
  <c r="J74" i="26"/>
  <c r="L74" i="26" s="1"/>
  <c r="N74" i="26" s="1"/>
  <c r="AF34" i="15"/>
  <c r="AF177" i="15"/>
  <c r="I16" i="2"/>
  <c r="I16" i="15"/>
  <c r="R16" i="15" s="1"/>
  <c r="I17" i="2"/>
  <c r="S17" i="2" s="1"/>
  <c r="I17" i="15"/>
  <c r="R17" i="15" s="1"/>
  <c r="V26" i="15"/>
  <c r="AE26" i="15" s="1"/>
  <c r="S26" i="15"/>
  <c r="V33" i="15"/>
  <c r="AE33" i="15" s="1"/>
  <c r="S33" i="15"/>
  <c r="I184" i="2"/>
  <c r="S184" i="2" s="1"/>
  <c r="I184" i="15"/>
  <c r="V184" i="15" s="1"/>
  <c r="S176" i="15"/>
  <c r="V176" i="15"/>
  <c r="AE176" i="15" s="1"/>
  <c r="I180" i="2"/>
  <c r="S180" i="2" s="1"/>
  <c r="I180" i="15"/>
  <c r="V180" i="15" s="1"/>
  <c r="S36" i="15"/>
  <c r="V36" i="15"/>
  <c r="AE36" i="15" s="1"/>
  <c r="J183" i="2"/>
  <c r="J183" i="15"/>
  <c r="W183" i="15" s="1"/>
  <c r="W209" i="15" s="1"/>
  <c r="I15" i="2"/>
  <c r="I15" i="15"/>
  <c r="R15" i="15" s="1"/>
  <c r="I185" i="2"/>
  <c r="S185" i="2" s="1"/>
  <c r="I185" i="15"/>
  <c r="V185" i="15" s="1"/>
  <c r="I37" i="2"/>
  <c r="I37" i="15"/>
  <c r="R37" i="15" s="1"/>
  <c r="S34" i="2"/>
  <c r="S16" i="2"/>
  <c r="S15" i="2"/>
  <c r="T183" i="2"/>
  <c r="T196" i="2" s="1"/>
  <c r="J340" i="9"/>
  <c r="L340" i="9" s="1"/>
  <c r="N340" i="9" s="1"/>
  <c r="K99" i="5"/>
  <c r="I30" i="15" s="1"/>
  <c r="R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V181" i="15" s="1"/>
  <c r="K205" i="3"/>
  <c r="K204" i="3" s="1"/>
  <c r="K197" i="3"/>
  <c r="K203" i="3"/>
  <c r="K202" i="3" s="1"/>
  <c r="K208" i="3"/>
  <c r="K207" i="3"/>
  <c r="K193" i="3"/>
  <c r="R176" i="2"/>
  <c r="K196" i="3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Y47" i="2" s="1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K15" i="3"/>
  <c r="R15" i="2" s="1"/>
  <c r="Y15" i="2" s="1"/>
  <c r="K14" i="3"/>
  <c r="J343" i="24" l="1"/>
  <c r="L343" i="24" s="1"/>
  <c r="N343" i="24" s="1"/>
  <c r="J330" i="20"/>
  <c r="L330" i="20" s="1"/>
  <c r="N330" i="20" s="1"/>
  <c r="J330" i="22"/>
  <c r="L330" i="22" s="1"/>
  <c r="N330" i="22" s="1"/>
  <c r="J330" i="18"/>
  <c r="L330" i="18" s="1"/>
  <c r="N330" i="18" s="1"/>
  <c r="J216" i="24"/>
  <c r="L216" i="24" s="1"/>
  <c r="N216" i="24" s="1"/>
  <c r="J185" i="26"/>
  <c r="L185" i="26" s="1"/>
  <c r="N185" i="26" s="1"/>
  <c r="Y16" i="2"/>
  <c r="J262" i="22"/>
  <c r="L262" i="22" s="1"/>
  <c r="N262" i="22" s="1"/>
  <c r="J262" i="20"/>
  <c r="L262" i="20" s="1"/>
  <c r="N262" i="20" s="1"/>
  <c r="J262" i="18"/>
  <c r="L262" i="18" s="1"/>
  <c r="N262" i="18" s="1"/>
  <c r="J354" i="24"/>
  <c r="L354" i="24" s="1"/>
  <c r="N354" i="24" s="1"/>
  <c r="J323" i="26"/>
  <c r="L323" i="26" s="1"/>
  <c r="N323" i="26" s="1"/>
  <c r="J340" i="11"/>
  <c r="L340" i="11" s="1"/>
  <c r="N340" i="11" s="1"/>
  <c r="J340" i="22"/>
  <c r="L340" i="22" s="1"/>
  <c r="N340" i="22" s="1"/>
  <c r="J340" i="20"/>
  <c r="L340" i="20" s="1"/>
  <c r="N340" i="20" s="1"/>
  <c r="J340" i="18"/>
  <c r="L340" i="18" s="1"/>
  <c r="N340" i="18" s="1"/>
  <c r="AF176" i="15"/>
  <c r="AF36" i="15"/>
  <c r="AF33" i="15"/>
  <c r="AF26" i="15"/>
  <c r="H21" i="2"/>
  <c r="R21" i="2" s="1"/>
  <c r="Y21" i="2" s="1"/>
  <c r="H21" i="15"/>
  <c r="R21" i="15" s="1"/>
  <c r="H185" i="2"/>
  <c r="R185" i="2" s="1"/>
  <c r="Y185" i="2" s="1"/>
  <c r="H185" i="15"/>
  <c r="R185" i="15" s="1"/>
  <c r="J777" i="26" s="1"/>
  <c r="L777" i="26" s="1"/>
  <c r="N777" i="26" s="1"/>
  <c r="I29" i="2"/>
  <c r="I29" i="15"/>
  <c r="R29" i="15" s="1"/>
  <c r="J174" i="26" s="1"/>
  <c r="L174" i="26" s="1"/>
  <c r="N174" i="26" s="1"/>
  <c r="H184" i="2"/>
  <c r="R184" i="2" s="1"/>
  <c r="Y184" i="2" s="1"/>
  <c r="H184" i="15"/>
  <c r="R184" i="15" s="1"/>
  <c r="J737" i="26" s="1"/>
  <c r="L737" i="26" s="1"/>
  <c r="N737" i="26" s="1"/>
  <c r="H174" i="2"/>
  <c r="R174" i="2" s="1"/>
  <c r="Y174" i="2" s="1"/>
  <c r="H174" i="15"/>
  <c r="R174" i="15" s="1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V15" i="15"/>
  <c r="AE15" i="15" s="1"/>
  <c r="S15" i="15"/>
  <c r="S17" i="15"/>
  <c r="V17" i="15"/>
  <c r="AE17" i="15" s="1"/>
  <c r="H180" i="2"/>
  <c r="R180" i="2" s="1"/>
  <c r="Y180" i="2" s="1"/>
  <c r="H180" i="15"/>
  <c r="R180" i="15" s="1"/>
  <c r="I186" i="2"/>
  <c r="S186" i="2" s="1"/>
  <c r="I186" i="15"/>
  <c r="V186" i="15" s="1"/>
  <c r="J340" i="13"/>
  <c r="L340" i="13" s="1"/>
  <c r="N340" i="13" s="1"/>
  <c r="J340" i="16"/>
  <c r="L340" i="16" s="1"/>
  <c r="N340" i="16" s="1"/>
  <c r="H14" i="2"/>
  <c r="H14" i="15"/>
  <c r="R14" i="15" s="1"/>
  <c r="H178" i="2"/>
  <c r="R178" i="2" s="1"/>
  <c r="Y178" i="2" s="1"/>
  <c r="H178" i="15"/>
  <c r="R178" i="15" s="1"/>
  <c r="I22" i="2"/>
  <c r="I22" i="15"/>
  <c r="V22" i="15" s="1"/>
  <c r="S16" i="15"/>
  <c r="V16" i="15"/>
  <c r="AE16" i="15" s="1"/>
  <c r="S37" i="15"/>
  <c r="V37" i="15"/>
  <c r="AE37" i="15" s="1"/>
  <c r="S37" i="2"/>
  <c r="Y37" i="2" s="1"/>
  <c r="H179" i="2"/>
  <c r="R179" i="2" s="1"/>
  <c r="Y179" i="2" s="1"/>
  <c r="H179" i="15"/>
  <c r="R179" i="15" s="1"/>
  <c r="S30" i="15"/>
  <c r="V30" i="15"/>
  <c r="AE30" i="15" s="1"/>
  <c r="K206" i="3"/>
  <c r="S26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R181" i="15" s="1"/>
  <c r="J694" i="26" s="1"/>
  <c r="L694" i="26" s="1"/>
  <c r="N694" i="26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4" l="1"/>
  <c r="L68" i="24" s="1"/>
  <c r="N68" i="24" s="1"/>
  <c r="J68" i="22"/>
  <c r="L68" i="22" s="1"/>
  <c r="N68" i="22" s="1"/>
  <c r="J68" i="20"/>
  <c r="L68" i="20" s="1"/>
  <c r="N68" i="20" s="1"/>
  <c r="J68" i="18"/>
  <c r="L68" i="18" s="1"/>
  <c r="N68" i="18" s="1"/>
  <c r="AF15" i="15"/>
  <c r="AF30" i="15"/>
  <c r="AF37" i="15"/>
  <c r="AF17" i="15"/>
  <c r="U181" i="15"/>
  <c r="AE181" i="15" s="1"/>
  <c r="S181" i="15"/>
  <c r="H186" i="2"/>
  <c r="R186" i="2" s="1"/>
  <c r="Y186" i="2" s="1"/>
  <c r="H186" i="15"/>
  <c r="R186" i="15" s="1"/>
  <c r="J815" i="26" s="1"/>
  <c r="L815" i="26" s="1"/>
  <c r="N815" i="26" s="1"/>
  <c r="AF16" i="15"/>
  <c r="U184" i="15"/>
  <c r="AE184" i="15" s="1"/>
  <c r="S184" i="15"/>
  <c r="S29" i="15"/>
  <c r="V29" i="15"/>
  <c r="AE29" i="15" s="1"/>
  <c r="I32" i="2"/>
  <c r="I32" i="15"/>
  <c r="R32" i="15" s="1"/>
  <c r="J237" i="26" s="1"/>
  <c r="L237" i="26" s="1"/>
  <c r="N237" i="26" s="1"/>
  <c r="S179" i="15"/>
  <c r="U179" i="15"/>
  <c r="AE179" i="15" s="1"/>
  <c r="J68" i="13"/>
  <c r="L68" i="13" s="1"/>
  <c r="N68" i="13" s="1"/>
  <c r="J68" i="16"/>
  <c r="L68" i="16" s="1"/>
  <c r="N68" i="16" s="1"/>
  <c r="U178" i="15"/>
  <c r="AE178" i="15" s="1"/>
  <c r="S178" i="15"/>
  <c r="U180" i="15"/>
  <c r="AE180" i="15" s="1"/>
  <c r="S180" i="15"/>
  <c r="U185" i="15"/>
  <c r="AE185" i="15" s="1"/>
  <c r="S185" i="15"/>
  <c r="H22" i="2"/>
  <c r="R22" i="2" s="1"/>
  <c r="Y22" i="2" s="1"/>
  <c r="H22" i="15"/>
  <c r="R22" i="15" s="1"/>
  <c r="I183" i="2"/>
  <c r="S183" i="2" s="1"/>
  <c r="I183" i="15"/>
  <c r="V183" i="15" s="1"/>
  <c r="J68" i="11"/>
  <c r="L68" i="11" s="1"/>
  <c r="N68" i="11" s="1"/>
  <c r="S14" i="15"/>
  <c r="U14" i="15"/>
  <c r="AE14" i="15" s="1"/>
  <c r="U174" i="15"/>
  <c r="AE174" i="15" s="1"/>
  <c r="S174" i="15"/>
  <c r="U21" i="15"/>
  <c r="AE21" i="15" s="1"/>
  <c r="S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S30" i="2"/>
  <c r="U196" i="2"/>
  <c r="S32" i="2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2" l="1"/>
  <c r="L260" i="22" s="1"/>
  <c r="N260" i="22" s="1"/>
  <c r="J260" i="20"/>
  <c r="L260" i="20" s="1"/>
  <c r="N260" i="20" s="1"/>
  <c r="J260" i="18"/>
  <c r="L260" i="18" s="1"/>
  <c r="N260" i="18" s="1"/>
  <c r="J260" i="9"/>
  <c r="L260" i="9" s="1"/>
  <c r="N260" i="9" s="1"/>
  <c r="J260" i="11"/>
  <c r="L260" i="11" s="1"/>
  <c r="N260" i="11" s="1"/>
  <c r="AF184" i="15"/>
  <c r="AF174" i="15"/>
  <c r="AF179" i="15"/>
  <c r="AF21" i="15"/>
  <c r="AF185" i="15"/>
  <c r="AF178" i="15"/>
  <c r="AF180" i="15"/>
  <c r="AF29" i="15"/>
  <c r="AF181" i="15"/>
  <c r="U22" i="15"/>
  <c r="AE22" i="15" s="1"/>
  <c r="S22" i="15"/>
  <c r="S32" i="15"/>
  <c r="V32" i="15"/>
  <c r="AE32" i="15" s="1"/>
  <c r="S186" i="15"/>
  <c r="U186" i="15"/>
  <c r="AE186" i="15" s="1"/>
  <c r="J260" i="13"/>
  <c r="L260" i="13" s="1"/>
  <c r="N260" i="13" s="1"/>
  <c r="J260" i="16"/>
  <c r="L260" i="16" s="1"/>
  <c r="N260" i="16" s="1"/>
  <c r="H183" i="2"/>
  <c r="R183" i="2" s="1"/>
  <c r="Y183" i="2" s="1"/>
  <c r="H183" i="15"/>
  <c r="R183" i="15" s="1"/>
  <c r="J735" i="26" s="1"/>
  <c r="L735" i="26" s="1"/>
  <c r="N735" i="26" s="1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403" i="16" l="1"/>
  <c r="L403" i="16" s="1"/>
  <c r="N403" i="16" s="1"/>
  <c r="J442" i="24"/>
  <c r="L442" i="24" s="1"/>
  <c r="N442" i="24" s="1"/>
  <c r="J410" i="22"/>
  <c r="L410" i="22" s="1"/>
  <c r="N410" i="22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415" i="16"/>
  <c r="L415" i="16" s="1"/>
  <c r="N415" i="16" s="1"/>
  <c r="J427" i="18"/>
  <c r="L427" i="18" s="1"/>
  <c r="N427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98" i="24"/>
  <c r="L198" i="24" s="1"/>
  <c r="N198" i="24" s="1"/>
  <c r="J163" i="22"/>
  <c r="L163" i="22" s="1"/>
  <c r="N163" i="22" s="1"/>
  <c r="J163" i="20"/>
  <c r="L163" i="20" s="1"/>
  <c r="N163" i="20" s="1"/>
  <c r="J163" i="18"/>
  <c r="L163" i="18" s="1"/>
  <c r="N163" i="18" s="1"/>
  <c r="J19" i="16"/>
  <c r="L19" i="16" s="1"/>
  <c r="N19" i="16" s="1"/>
  <c r="J19" i="24"/>
  <c r="L19" i="24" s="1"/>
  <c r="N19" i="24" s="1"/>
  <c r="J19" i="22"/>
  <c r="L19" i="22" s="1"/>
  <c r="N19" i="22" s="1"/>
  <c r="J19" i="20"/>
  <c r="L19" i="20" s="1"/>
  <c r="N19" i="20" s="1"/>
  <c r="J19" i="18"/>
  <c r="L19" i="18" s="1"/>
  <c r="N19" i="18" s="1"/>
  <c r="J390" i="16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64" i="24"/>
  <c r="L264" i="24" s="1"/>
  <c r="N264" i="24" s="1"/>
  <c r="J257" i="20"/>
  <c r="L257" i="20" s="1"/>
  <c r="N257" i="20" s="1"/>
  <c r="J257" i="22"/>
  <c r="L257" i="22" s="1"/>
  <c r="N257" i="22" s="1"/>
  <c r="J257" i="18"/>
  <c r="L257" i="18" s="1"/>
  <c r="N257" i="18" s="1"/>
  <c r="J154" i="16"/>
  <c r="L154" i="16" s="1"/>
  <c r="N154" i="16" s="1"/>
  <c r="J189" i="24"/>
  <c r="L189" i="24" s="1"/>
  <c r="N189" i="24" s="1"/>
  <c r="J154" i="22"/>
  <c r="L154" i="22" s="1"/>
  <c r="N154" i="22" s="1"/>
  <c r="J154" i="20"/>
  <c r="L154" i="20" s="1"/>
  <c r="N154" i="20" s="1"/>
  <c r="J154" i="18"/>
  <c r="L154" i="18" s="1"/>
  <c r="N154" i="18" s="1"/>
  <c r="J25" i="16"/>
  <c r="L25" i="16" s="1"/>
  <c r="N25" i="16" s="1"/>
  <c r="J25" i="24"/>
  <c r="L25" i="24" s="1"/>
  <c r="N25" i="24" s="1"/>
  <c r="J25" i="20"/>
  <c r="L25" i="20" s="1"/>
  <c r="N25" i="20" s="1"/>
  <c r="J25" i="22"/>
  <c r="L25" i="22" s="1"/>
  <c r="N25" i="22" s="1"/>
  <c r="J25" i="18"/>
  <c r="L25" i="18" s="1"/>
  <c r="N25" i="18" s="1"/>
  <c r="J17" i="16"/>
  <c r="L17" i="16" s="1"/>
  <c r="N17" i="16" s="1"/>
  <c r="J17" i="24"/>
  <c r="L17" i="24" s="1"/>
  <c r="N17" i="24" s="1"/>
  <c r="J17" i="22"/>
  <c r="L17" i="22" s="1"/>
  <c r="N17" i="22" s="1"/>
  <c r="J17" i="20"/>
  <c r="L17" i="20" s="1"/>
  <c r="N17" i="20" s="1"/>
  <c r="J17" i="18"/>
  <c r="L17" i="18" s="1"/>
  <c r="N17" i="18" s="1"/>
  <c r="J417" i="16"/>
  <c r="L417" i="16" s="1"/>
  <c r="N417" i="16" s="1"/>
  <c r="J429" i="18"/>
  <c r="L429" i="18" s="1"/>
  <c r="N429" i="18" s="1"/>
  <c r="J381" i="16"/>
  <c r="L381" i="16" s="1"/>
  <c r="N381" i="16" s="1"/>
  <c r="J413" i="24"/>
  <c r="L413" i="24" s="1"/>
  <c r="N413" i="24" s="1"/>
  <c r="J381" i="20"/>
  <c r="L381" i="20" s="1"/>
  <c r="N381" i="20" s="1"/>
  <c r="J381" i="22"/>
  <c r="L381" i="22" s="1"/>
  <c r="N381" i="22" s="1"/>
  <c r="J381" i="18"/>
  <c r="L381" i="18" s="1"/>
  <c r="N381" i="18" s="1"/>
  <c r="J172" i="16"/>
  <c r="L172" i="16" s="1"/>
  <c r="N172" i="16" s="1"/>
  <c r="J172" i="20"/>
  <c r="L172" i="20" s="1"/>
  <c r="N172" i="20" s="1"/>
  <c r="J172" i="22"/>
  <c r="L172" i="22" s="1"/>
  <c r="N172" i="22" s="1"/>
  <c r="J172" i="18"/>
  <c r="L172" i="18" s="1"/>
  <c r="N172" i="18" s="1"/>
  <c r="J21" i="16"/>
  <c r="L21" i="16" s="1"/>
  <c r="N21" i="16" s="1"/>
  <c r="J21" i="24"/>
  <c r="L21" i="24" s="1"/>
  <c r="N21" i="24" s="1"/>
  <c r="J21" i="20"/>
  <c r="L21" i="20" s="1"/>
  <c r="N21" i="20" s="1"/>
  <c r="J21" i="22"/>
  <c r="L21" i="22" s="1"/>
  <c r="N21" i="22" s="1"/>
  <c r="J21" i="18"/>
  <c r="L21" i="18" s="1"/>
  <c r="N21" i="18" s="1"/>
  <c r="J15" i="16"/>
  <c r="L15" i="16" s="1"/>
  <c r="N15" i="16" s="1"/>
  <c r="J15" i="24"/>
  <c r="L15" i="24" s="1"/>
  <c r="N15" i="24" s="1"/>
  <c r="J15" i="20"/>
  <c r="L15" i="20" s="1"/>
  <c r="N15" i="20" s="1"/>
  <c r="J15" i="22"/>
  <c r="L15" i="22" s="1"/>
  <c r="N15" i="22" s="1"/>
  <c r="J15" i="18"/>
  <c r="L15" i="18" s="1"/>
  <c r="N15" i="18" s="1"/>
  <c r="J420" i="16"/>
  <c r="L420" i="16" s="1"/>
  <c r="N420" i="16" s="1"/>
  <c r="J579" i="24"/>
  <c r="L579" i="24" s="1"/>
  <c r="N579" i="24" s="1"/>
  <c r="J545" i="20"/>
  <c r="L545" i="20" s="1"/>
  <c r="N545" i="20" s="1"/>
  <c r="J547" i="22"/>
  <c r="L547" i="22" s="1"/>
  <c r="N547" i="22" s="1"/>
  <c r="J544" i="18"/>
  <c r="L544" i="18" s="1"/>
  <c r="N544" i="18" s="1"/>
  <c r="J14" i="16"/>
  <c r="L14" i="16" s="1"/>
  <c r="N14" i="16" s="1"/>
  <c r="J14" i="24"/>
  <c r="L14" i="24" s="1"/>
  <c r="N14" i="24" s="1"/>
  <c r="J14" i="20"/>
  <c r="L14" i="20" s="1"/>
  <c r="N14" i="20" s="1"/>
  <c r="J14" i="22"/>
  <c r="L14" i="22" s="1"/>
  <c r="N14" i="22" s="1"/>
  <c r="J14" i="18"/>
  <c r="L14" i="18" s="1"/>
  <c r="N14" i="18" s="1"/>
  <c r="J426" i="24"/>
  <c r="L426" i="24" s="1"/>
  <c r="N426" i="24" s="1"/>
  <c r="J394" i="22"/>
  <c r="L394" i="22" s="1"/>
  <c r="N394" i="22" s="1"/>
  <c r="J390" i="20"/>
  <c r="L390" i="20" s="1"/>
  <c r="N390" i="20" s="1"/>
  <c r="J391" i="18"/>
  <c r="L391" i="18" s="1"/>
  <c r="N391" i="18" s="1"/>
  <c r="J302" i="16"/>
  <c r="L302" i="16" s="1"/>
  <c r="N302" i="16" s="1"/>
  <c r="J314" i="24"/>
  <c r="L314" i="24" s="1"/>
  <c r="N314" i="24" s="1"/>
  <c r="J302" i="22"/>
  <c r="L302" i="22" s="1"/>
  <c r="N302" i="22" s="1"/>
  <c r="J302" i="20"/>
  <c r="L302" i="20" s="1"/>
  <c r="N302" i="20" s="1"/>
  <c r="J302" i="18"/>
  <c r="L302" i="18" s="1"/>
  <c r="N302" i="18" s="1"/>
  <c r="J24" i="16"/>
  <c r="L24" i="16" s="1"/>
  <c r="N24" i="16" s="1"/>
  <c r="J24" i="24"/>
  <c r="L24" i="24" s="1"/>
  <c r="N24" i="24" s="1"/>
  <c r="J24" i="20"/>
  <c r="L24" i="20" s="1"/>
  <c r="N24" i="20" s="1"/>
  <c r="J24" i="22"/>
  <c r="L24" i="22" s="1"/>
  <c r="N24" i="22" s="1"/>
  <c r="J24" i="18"/>
  <c r="L24" i="18" s="1"/>
  <c r="N24" i="18" s="1"/>
  <c r="J16" i="24"/>
  <c r="L16" i="24" s="1"/>
  <c r="N16" i="24" s="1"/>
  <c r="J16" i="20"/>
  <c r="L16" i="20" s="1"/>
  <c r="N16" i="20" s="1"/>
  <c r="J16" i="22"/>
  <c r="L16" i="22" s="1"/>
  <c r="N16" i="22" s="1"/>
  <c r="J16" i="18"/>
  <c r="L16" i="18" s="1"/>
  <c r="N16" i="18" s="1"/>
  <c r="AF186" i="15"/>
  <c r="AF22" i="15"/>
  <c r="Z183" i="2"/>
  <c r="J393" i="13"/>
  <c r="L393" i="13" s="1"/>
  <c r="N393" i="13" s="1"/>
  <c r="J388" i="16"/>
  <c r="L388" i="16" s="1"/>
  <c r="N388" i="16" s="1"/>
  <c r="AF32" i="15"/>
  <c r="V209" i="15"/>
  <c r="U183" i="15"/>
  <c r="AE183" i="15" s="1"/>
  <c r="AE209" i="15" s="1"/>
  <c r="AF209" i="15" s="1"/>
  <c r="S183" i="15"/>
  <c r="AF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U209" i="15" l="1"/>
  <c r="AF183" i="15"/>
  <c r="P8" i="15"/>
  <c r="H8" i="26" s="1"/>
  <c r="L413" i="13"/>
  <c r="N413" i="13" s="1"/>
  <c r="G501" i="13"/>
  <c r="K502" i="13" s="1"/>
  <c r="N25" i="5"/>
  <c r="G50" i="5"/>
  <c r="N25" i="9"/>
  <c r="Z14" i="2"/>
  <c r="Y196" i="2"/>
  <c r="J8" i="2" s="1"/>
  <c r="H8" i="25" l="1"/>
  <c r="H8" i="24"/>
  <c r="H8" i="23"/>
  <c r="H8" i="22"/>
  <c r="J8" i="15"/>
  <c r="H8" i="15"/>
  <c r="H8" i="2"/>
  <c r="Z196" i="2"/>
  <c r="H8" i="21" l="1"/>
  <c r="H8" i="20"/>
  <c r="H8" i="19"/>
  <c r="H8" i="18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77" authorId="0" shapeId="0" xr:uid="{5C4DBFA3-0309-4C01-A26B-480E2289ACE9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43" authorId="0" shapeId="0" xr:uid="{59ACCD13-D6D7-44C2-B9F2-4F1BF89EA78C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43" authorId="0" shapeId="0" xr:uid="{AE8DE669-4290-42D3-8FCA-73BDDF47EF8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K197" authorId="0" shapeId="0" xr:uid="{0537F353-4051-4B51-80DD-6E53988284A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44" authorId="0" shapeId="0" xr:uid="{22F3BDB8-D13F-43DD-87DB-60F0B94E9BAD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287" authorId="0" shapeId="0" xr:uid="{3327FB86-AEC0-4A3A-AE1B-7790ABABA4F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14" authorId="0" shapeId="0" xr:uid="{BD572488-22A8-4513-BAEB-A89B58056A2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41" authorId="0" shapeId="0" xr:uid="{3CE25A13-3055-4F2F-A3FD-F204C1805A3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  <comment ref="I391" authorId="0" shapeId="0" xr:uid="{3ADD6D04-C14B-4599-BA35-7CA233803CF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Diferença da nova altura da viga. </t>
        </r>
      </text>
    </comment>
    <comment ref="G396" authorId="0" shapeId="0" xr:uid="{4CA759E4-26F2-4813-9846-453DEAA52D4C}">
      <text>
        <r>
          <rPr>
            <b/>
            <sz val="9"/>
            <color indexed="81"/>
            <rFont val="Segoe UI"/>
            <family val="2"/>
          </rPr>
          <t xml:space="preserve">Autor:
Metragem quadrada utilizando área do trapézio. Base maior, menor e altura. </t>
        </r>
      </text>
    </comment>
    <comment ref="G403" authorId="0" shapeId="0" xr:uid="{68513DD6-EF47-4660-A03F-5A6C773B478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diferença do antigo estribo para o novo vezes o número de estribos. </t>
        </r>
      </text>
    </comment>
    <comment ref="G420" authorId="0" shapeId="0" xr:uid="{1CCF6A27-C584-4C3C-8A2D-95D869431ED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0.33 de transpasse do nível anterior + 0.95 (comprimento do aço) vezes o número de barras. 
</t>
        </r>
      </text>
    </comment>
    <comment ref="G443" authorId="0" shapeId="0" xr:uid="{475EE636-8975-4D81-84AB-A926ED1AE632}">
      <text>
        <r>
          <rPr>
            <b/>
            <sz val="9"/>
            <color indexed="81"/>
            <rFont val="Segoe UI"/>
            <family val="2"/>
          </rPr>
          <t xml:space="preserve">Autor:
Metragem quadrada utilizando área do trapézio. Base maior, menor e altura. </t>
        </r>
      </text>
    </comment>
    <comment ref="I447" authorId="0" shapeId="0" xr:uid="{7CBBB2B5-E675-459A-8A13-3342F3A4C17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Diferença da nova altura da viga. </t>
        </r>
      </text>
    </comment>
    <comment ref="G466" authorId="0" shapeId="0" xr:uid="{9F513D5D-4CDC-454D-962E-4E3794BDC02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34.96 = Soma de todo perímetro necessário para esconder as caixas d'água.  - 23 (total em memorial de cálculo) 11.96 metros em falta.</t>
        </r>
      </text>
    </comment>
    <comment ref="K482" authorId="0" shapeId="0" xr:uid="{F4FEDE75-9B5F-45E2-BE29-B3C48CC93BAF}">
      <text>
        <r>
          <rPr>
            <b/>
            <sz val="9"/>
            <color indexed="81"/>
            <rFont val="Segoe UI"/>
            <family val="2"/>
          </rPr>
          <t xml:space="preserve">Valor total de cálculo já desconsiderando o chapisco externo.  (valor medido deixando chapisco da area interna das platibandas)
</t>
        </r>
      </text>
    </comment>
    <comment ref="K489" authorId="0" shapeId="0" xr:uid="{5631256A-2508-4EF6-83CE-817582E482C8}">
      <text>
        <r>
          <rPr>
            <b/>
            <sz val="9"/>
            <color indexed="81"/>
            <rFont val="Segoe UI"/>
            <family val="2"/>
          </rPr>
          <t xml:space="preserve">Valor total de cálculo já desconsiderando o emboço interno e emboço externo externo. </t>
        </r>
      </text>
    </comment>
    <comment ref="G615" authorId="0" shapeId="0" xr:uid="{04B201DA-1358-4890-BBF3-4DD4AFC531E8}">
      <text>
        <r>
          <rPr>
            <b/>
            <sz val="9"/>
            <color indexed="81"/>
            <rFont val="Segoe UI"/>
            <family val="2"/>
          </rPr>
          <t xml:space="preserve">Autor:
Metragem quadrada utilizando área do trapézio. Base maior, menor e altura. </t>
        </r>
      </text>
    </comment>
    <comment ref="G632" authorId="0" shapeId="0" xr:uid="{EE918568-B4C0-4C82-9D3C-D5A9A783B668}">
      <text>
        <r>
          <rPr>
            <b/>
            <sz val="9"/>
            <color indexed="81"/>
            <rFont val="Segoe UI"/>
            <family val="2"/>
          </rPr>
          <t xml:space="preserve">Autor:
Metragem quadrada utilizando área do trapézio. Base maior, menor e altura. </t>
        </r>
      </text>
    </comment>
    <comment ref="K898" authorId="0" shapeId="0" xr:uid="{54796F8F-9F1F-4399-A5A3-B6EE74BADB5D}">
      <text>
        <r>
          <rPr>
            <b/>
            <sz val="9"/>
            <color indexed="81"/>
            <rFont val="Segoe UI"/>
            <family val="2"/>
          </rPr>
          <t xml:space="preserve">Retirado apenas o valor do aterro externo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1" authorId="0" shapeId="0" xr:uid="{F2F747EF-8C38-4744-997B-0B0385880B6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77" authorId="0" shapeId="0" xr:uid="{93C4C165-DC4F-443E-8E6C-A285A2AA9975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77" authorId="0" shapeId="0" xr:uid="{D2A199A4-57D5-4C58-86B2-0BEF0BF096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J228" authorId="0" shapeId="0" xr:uid="{732967D0-C3A5-4025-B701-16574AD87D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K235" authorId="0" shapeId="0" xr:uid="{4E613B98-9023-4F05-9941-87A3AE1AF3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76" authorId="0" shapeId="0" xr:uid="{A2D78236-68DA-40FE-AA9B-A424AB131D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18" authorId="0" shapeId="0" xr:uid="{03774770-913A-4308-A9AA-16D3F86231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45" authorId="0" shapeId="0" xr:uid="{28C49CB5-D3C6-4166-BBF5-266BE96FAC7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72" authorId="0" shapeId="0" xr:uid="{42CFCB1D-B64B-42E2-8721-B619ADCC086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E31ACD6B-7B83-4047-BECE-2693BA4F724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3CB36F03-23F7-4B6A-B27E-6A76149F449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637FBBEA-A5E9-404B-9A1B-83D611FAEC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A6B3DDF1-601D-48DA-BABF-769F81913D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76402866-E386-4786-9906-A5387154787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<sst xmlns="http://schemas.openxmlformats.org/spreadsheetml/2006/main" count="12627" uniqueCount="1250">
  <si>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</si>
  <si>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</si>
  <si>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</si>
  <si>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</si>
  <si>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</si>
  <si>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</si>
  <si>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</si>
  <si>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</si>
  <si>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</si>
  <si>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</si>
  <si>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</si>
  <si>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</si>
  <si>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</si>
  <si>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</si>
  <si>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</si>
  <si>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</si>
  <si>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</si>
  <si>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</si>
  <si>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</si>
  <si>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</si>
  <si>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</si>
  <si>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</si>
  <si>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</si>
  <si>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</si>
  <si>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</si>
  <si>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</si>
  <si>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</si>
  <si>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</si>
  <si>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</si>
  <si>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</si>
  <si>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</si>
  <si>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</si>
  <si>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</si>
  <si>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</si>
  <si>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</si>
  <si>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</si>
  <si>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</si>
  <si>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</si>
  <si>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</si>
  <si>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</si>
  <si>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</si>
  <si>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</si>
  <si>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</si>
  <si>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</si>
  <si>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</si>
  <si>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</si>
  <si>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</si>
  <si>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</si>
  <si>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</si>
  <si>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</si>
  <si>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</si>
  <si>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</si>
  <si>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</si>
  <si>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</si>
  <si>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</si>
  <si>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</si>
  <si>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</si>
  <si>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</si>
  <si>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</si>
  <si>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</si>
  <si>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</si>
  <si>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</si>
  <si>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</si>
  <si>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</si>
  <si>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</si>
  <si>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</si>
  <si>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</si>
  <si>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</si>
  <si>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</si>
  <si>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</si>
  <si>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</si>
  <si>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</si>
  <si>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</si>
  <si>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</si>
  <si>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</si>
  <si>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</si>
  <si>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</si>
  <si>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</si>
  <si>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</si>
  <si>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</si>
  <si>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</si>
  <si>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</si>
  <si>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</si>
  <si>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</si>
  <si>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</si>
  <si>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</si>
  <si>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</si>
  <si>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</si>
  <si>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</si>
  <si>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</si>
  <si>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</si>
  <si>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</si>
  <si>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</si>
  <si>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</si>
  <si>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</si>
  <si>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</si>
  <si>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</si>
  <si>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</si>
  <si>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</si>
  <si>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</si>
  <si>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</si>
  <si>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</si>
  <si>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</si>
  <si>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</si>
  <si>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</si>
  <si>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</si>
  <si>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</si>
  <si>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</si>
  <si>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</si>
  <si>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</si>
  <si>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</si>
  <si>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</si>
  <si>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</si>
  <si>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</si>
  <si>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</si>
  <si>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</si>
  <si>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</si>
  <si>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</si>
  <si>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</si>
  <si>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</si>
  <si>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</si>
  <si>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</si>
  <si>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</si>
  <si>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</si>
  <si>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</si>
  <si>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</si>
  <si>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</si>
  <si>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</si>
  <si>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</si>
  <si>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</si>
  <si>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</si>
  <si>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</si>
  <si>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</si>
  <si>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</si>
  <si>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</si>
  <si>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</si>
  <si>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</si>
  <si>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</si>
  <si>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</si>
  <si>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</si>
  <si>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</si>
  <si>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</si>
  <si>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</si>
  <si>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</si>
  <si>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</si>
  <si>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</si>
  <si>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</si>
  <si>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</si>
  <si>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</si>
  <si>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</si>
  <si>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</si>
  <si>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</si>
  <si>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</si>
  <si>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</si>
  <si>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</si>
  <si>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</si>
  <si>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</si>
  <si>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</si>
  <si>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</si>
  <si>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</si>
  <si>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</si>
  <si>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</si>
  <si>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</si>
  <si>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</si>
  <si>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</si>
  <si>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</si>
  <si>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</si>
  <si>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</si>
  <si>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</si>
  <si>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</si>
  <si>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</si>
  <si>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</si>
  <si>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</si>
  <si>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</si>
  <si>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</si>
  <si>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</si>
  <si>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</si>
  <si>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</si>
  <si>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</si>
  <si>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</si>
  <si>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</si>
  <si>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</si>
  <si>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</si>
  <si>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</si>
  <si>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</si>
  <si>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</si>
  <si>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</si>
  <si>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</si>
  <si>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</si>
  <si>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</si>
  <si>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</si>
  <si>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</si>
  <si>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</si>
  <si>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</si>
  <si>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</si>
  <si>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</si>
  <si>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</si>
  <si>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</si>
  <si>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</si>
  <si>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</si>
  <si>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</si>
  <si>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</si>
  <si>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</si>
  <si>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</si>
  <si>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</si>
  <si>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</si>
  <si>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</si>
  <si>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</si>
  <si>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</si>
  <si>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</si>
  <si>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</si>
  <si>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</si>
  <si>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</si>
  <si>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</si>
  <si>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</si>
  <si>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</si>
  <si>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</si>
  <si>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</si>
  <si>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</si>
  <si>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</si>
  <si>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</si>
  <si>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</si>
  <si>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</si>
  <si>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</si>
  <si>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</si>
  <si>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</si>
  <si>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</si>
  <si>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</si>
  <si>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</si>
  <si>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</si>
  <si>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</si>
  <si>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</si>
  <si>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</si>
  <si>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</si>
  <si>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</si>
  <si>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</si>
  <si>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</si>
  <si>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</si>
  <si>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</si>
  <si>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</si>
  <si>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</si>
  <si>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</si>
  <si>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</si>
  <si>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</si>
  <si>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</si>
  <si>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</si>
  <si>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</si>
  <si>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</si>
  <si>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</si>
  <si>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</si>
  <si>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</si>
  <si>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</si>
  <si>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</si>
  <si>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</si>
  <si>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</si>
  <si>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</si>
  <si>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</si>
  <si>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</si>
  <si>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</si>
  <si>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</si>
  <si>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</si>
  <si>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</si>
  <si>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</si>
  <si>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</si>
  <si>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</si>
  <si>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</si>
  <si>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</si>
  <si>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</si>
  <si>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</si>
  <si>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</si>
  <si>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</si>
  <si>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</si>
  <si>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</si>
  <si>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</si>
  <si>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</si>
  <si>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</si>
  <si>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</si>
  <si>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</si>
  <si>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</si>
  <si>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</si>
  <si>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</si>
  <si>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</si>
  <si>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</si>
  <si>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</si>
  <si>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</si>
  <si>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</si>
  <si>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</si>
  <si>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</si>
  <si>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</si>
  <si>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</si>
  <si>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</si>
  <si>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</si>
  <si>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</si>
  <si>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</si>
  <si>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</si>
  <si>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</si>
  <si>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</si>
  <si>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</si>
  <si>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</si>
  <si>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</si>
  <si>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</si>
  <si>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</si>
  <si>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</si>
  <si>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</si>
  <si>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</si>
  <si>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</si>
  <si>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</si>
  <si>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</si>
  <si>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</si>
  <si>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</si>
  <si>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</si>
  <si>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</si>
  <si>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</si>
  <si>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</si>
  <si>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</si>
  <si>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</si>
  <si>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</si>
  <si>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</si>
  <si>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</si>
  <si>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</si>
  <si>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</si>
  <si>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</si>
  <si>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</si>
  <si>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</si>
  <si>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</si>
  <si>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</si>
  <si>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</si>
  <si>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</si>
  <si>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</si>
  <si>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</si>
  <si>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</si>
  <si>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</si>
  <si>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</si>
  <si>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</si>
  <si>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</si>
  <si>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</si>
  <si>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</si>
  <si>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</si>
  <si>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</si>
  <si>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</si>
  <si>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</si>
  <si>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</si>
  <si>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</si>
  <si>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</si>
  <si>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</si>
  <si>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</si>
  <si>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</si>
  <si>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</si>
  <si>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</si>
  <si>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</si>
  <si>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</si>
  <si>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</si>
  <si>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</si>
  <si>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</si>
  <si>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</si>
  <si>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</si>
  <si>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</si>
  <si>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</si>
  <si>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</si>
  <si>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</si>
  <si>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</si>
  <si>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</si>
  <si>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</si>
  <si>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</si>
  <si>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</si>
  <si>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</si>
  <si>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</si>
  <si>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</si>
  <si>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</si>
  <si>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</si>
  <si>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</si>
  <si>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</si>
  <si>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</si>
  <si>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</si>
  <si>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</si>
  <si>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</si>
  <si>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</si>
  <si>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</si>
  <si>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</si>
  <si>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</si>
  <si>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</si>
  <si>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</si>
  <si>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</si>
  <si>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</si>
  <si>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</si>
  <si>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</si>
  <si>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</si>
  <si>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</si>
  <si>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</si>
  <si>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</si>
  <si>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</si>
  <si>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</si>
  <si>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</si>
  <si>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</si>
  <si>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</si>
  <si>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</si>
  <si>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</si>
  <si>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</si>
  <si>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</si>
  <si>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</si>
  <si>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</si>
  <si>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</si>
  <si>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</si>
  <si>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</si>
  <si>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</si>
  <si>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</si>
  <si>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</si>
  <si>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</si>
  <si>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</si>
  <si>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</si>
  <si>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</si>
  <si>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</si>
  <si>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</si>
  <si>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</si>
  <si>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</si>
  <si>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</si>
  <si>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</si>
  <si>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</si>
  <si>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</si>
  <si>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</si>
  <si>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</si>
  <si>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</si>
  <si>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</si>
  <si>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</si>
  <si>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</si>
  <si>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</si>
  <si>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</si>
  <si>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</si>
  <si>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</si>
  <si>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</si>
  <si>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</si>
  <si>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</si>
  <si>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</si>
  <si>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</si>
  <si>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</si>
  <si>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</si>
  <si>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</si>
  <si>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</si>
  <si>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</si>
  <si>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</si>
  <si>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</si>
  <si>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</si>
  <si>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</si>
  <si>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</si>
  <si>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</si>
  <si>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</si>
  <si>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</si>
  <si>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</si>
  <si>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</si>
  <si>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</si>
  <si>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</si>
  <si>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</si>
  <si>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</si>
  <si>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</si>
  <si>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</si>
  <si>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</si>
  <si>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</si>
  <si>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</si>
  <si>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</si>
  <si>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</si>
  <si>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</si>
  <si>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</si>
  <si>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</si>
  <si>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</si>
  <si>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</si>
  <si>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</si>
  <si>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</si>
  <si>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</si>
  <si>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</si>
  <si>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</si>
  <si>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</si>
  <si>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</si>
  <si>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</si>
  <si>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</si>
  <si>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</si>
  <si>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</si>
  <si>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</si>
  <si>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</si>
  <si>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</si>
  <si>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</si>
  <si>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</si>
  <si>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</si>
  <si>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</si>
  <si>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</si>
  <si>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</si>
  <si>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</si>
  <si>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</si>
  <si>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</si>
  <si>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</si>
  <si>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</si>
  <si>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</si>
  <si>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</si>
  <si>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</si>
  <si>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</si>
  <si>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</si>
  <si>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</si>
  <si>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</si>
  <si>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</si>
  <si>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</si>
  <si>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</si>
  <si>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</si>
  <si>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</si>
  <si>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</si>
  <si>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</si>
  <si>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</si>
  <si>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</si>
  <si>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</si>
  <si>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</si>
  <si>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</si>
  <si>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</si>
  <si>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</si>
  <si>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</si>
  <si>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</si>
  <si>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</si>
  <si>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</si>
  <si>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</si>
  <si>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</si>
  <si>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</si>
  <si>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</si>
  <si>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</si>
  <si>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</si>
  <si>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</si>
  <si>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</si>
  <si>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</si>
  <si>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</si>
  <si>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</si>
  <si>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</si>
  <si>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</si>
  <si>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</si>
  <si>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</si>
  <si>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</si>
  <si>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</si>
  <si>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</si>
  <si>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</si>
  <si>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</si>
  <si>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</si>
  <si>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</si>
  <si>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</si>
  <si>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</si>
  <si>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</si>
  <si>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</si>
  <si>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</si>
  <si>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</si>
  <si>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</si>
  <si>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</si>
  <si>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</si>
  <si>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</si>
  <si>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</si>
  <si>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</si>
  <si>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</si>
  <si>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</si>
  <si>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</si>
  <si>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</si>
  <si>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</si>
  <si>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</si>
  <si>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</si>
  <si>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</si>
  <si>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</si>
  <si>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</si>
  <si>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</si>
  <si>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</si>
  <si>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</si>
  <si>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</si>
  <si>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</si>
  <si>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</si>
  <si>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</si>
  <si>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</si>
  <si>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</si>
  <si>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</si>
  <si>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</si>
  <si>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</si>
  <si>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</si>
  <si>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</si>
  <si>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</si>
  <si>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</si>
  <si>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</si>
  <si>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</si>
  <si>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</si>
  <si>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</si>
  <si>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</si>
  <si>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</si>
  <si>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</si>
  <si>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</si>
  <si>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</si>
  <si>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</si>
  <si>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</si>
  <si>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</si>
  <si>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</si>
  <si>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</si>
  <si>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</si>
  <si>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</si>
  <si>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</si>
  <si>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</si>
  <si>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</si>
  <si>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</si>
  <si>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</si>
  <si>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</si>
  <si>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</si>
  <si>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</si>
  <si>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</si>
  <si>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</si>
  <si>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</si>
  <si>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</si>
  <si>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</si>
  <si>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</si>
  <si>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</si>
  <si>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</si>
  <si>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</si>
  <si>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</si>
  <si>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</si>
  <si>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</si>
  <si>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</si>
  <si>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</si>
  <si>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</si>
  <si>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</si>
  <si>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</si>
  <si>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</si>
  <si>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</si>
  <si>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</si>
  <si>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</si>
  <si>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</si>
  <si>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</si>
  <si>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</si>
  <si>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</si>
  <si>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</si>
  <si>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</si>
  <si>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</si>
  <si>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</si>
  <si>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</si>
  <si>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</si>
  <si>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</si>
  <si>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</si>
  <si>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</si>
  <si>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</si>
  <si>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</si>
  <si>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</si>
  <si>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</si>
  <si>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</si>
  <si>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</si>
  <si>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</si>
  <si>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</si>
  <si>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</si>
  <si>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</si>
  <si>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</si>
  <si>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</si>
  <si>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</si>
  <si>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</si>
  <si>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</si>
  <si>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</si>
  <si>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</si>
  <si>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</si>
  <si>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</si>
  <si>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</si>
  <si>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</si>
  <si>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</si>
  <si>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</si>
  <si>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</si>
  <si>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</si>
  <si>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</si>
  <si>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</si>
  <si>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</si>
  <si>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</si>
  <si>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</si>
  <si>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</si>
  <si>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</si>
  <si>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</si>
  <si>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</si>
  <si>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</si>
  <si>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</si>
  <si>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</si>
  <si>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</si>
  <si>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</si>
  <si>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</si>
  <si>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</si>
  <si>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</si>
  <si>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</si>
  <si>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</si>
  <si>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</si>
  <si>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</si>
  <si>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</si>
  <si>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</si>
  <si>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</si>
  <si>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</si>
  <si>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</si>
  <si>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</si>
  <si>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</si>
  <si>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</si>
  <si>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</si>
  <si>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</si>
  <si>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</si>
  <si>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</si>
  <si>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</si>
  <si>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</si>
  <si>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</si>
  <si>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</si>
  <si>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</si>
  <si>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</si>
  <si>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</si>
  <si>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</si>
  <si>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</si>
  <si>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</si>
  <si>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</si>
  <si>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</si>
  <si>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</si>
  <si>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</si>
  <si>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</si>
  <si>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</si>
  <si>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</si>
  <si>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</si>
  <si>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</si>
  <si>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</si>
  <si>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</si>
  <si>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</si>
  <si>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</si>
  <si>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</si>
  <si>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</si>
  <si>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</si>
  <si>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</si>
  <si>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</si>
  <si>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</si>
  <si>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</si>
  <si>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</si>
  <si>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</si>
  <si>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</si>
  <si>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</si>
  <si>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</si>
  <si>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</si>
  <si>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</si>
  <si>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</si>
  <si>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</si>
  <si>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</si>
  <si>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</si>
  <si>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</si>
  <si>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</si>
  <si>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</si>
  <si>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</si>
  <si>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</si>
  <si>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</si>
  <si>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</si>
  <si>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</si>
  <si>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</si>
  <si>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</si>
  <si>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</si>
  <si>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</si>
  <si>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</si>
  <si>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</si>
  <si>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</si>
  <si>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</si>
  <si>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</si>
  <si>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</si>
  <si>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</si>
  <si>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</si>
  <si>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</si>
  <si>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</si>
  <si>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</si>
  <si>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</si>
  <si>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</si>
  <si>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</si>
  <si>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</si>
  <si>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</si>
  <si>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</si>
  <si>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</si>
  <si>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</si>
  <si>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</si>
  <si>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</si>
  <si>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</si>
  <si>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</si>
  <si>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</si>
  <si>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</si>
  <si>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</si>
  <si>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</si>
  <si>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</si>
  <si>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</si>
  <si>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</si>
  <si>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</si>
  <si>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</si>
  <si>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</si>
  <si>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</si>
  <si>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</si>
  <si>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</si>
  <si>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</si>
  <si>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</si>
  <si>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</si>
  <si>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</si>
  <si>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</si>
  <si>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</si>
  <si>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</si>
  <si>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</si>
  <si>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</si>
  <si>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</si>
  <si>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</si>
  <si>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</si>
  <si>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</si>
  <si>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</si>
  <si>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</si>
  <si>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</si>
  <si>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</si>
  <si>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</si>
  <si>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</si>
  <si>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</si>
  <si>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</si>
  <si>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</si>
  <si>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</si>
  <si>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</si>
  <si>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</si>
  <si>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</si>
  <si>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</si>
  <si>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</si>
  <si>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</si>
  <si>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</si>
  <si>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</si>
  <si>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</si>
  <si>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</si>
  <si>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</si>
  <si>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</si>
  <si>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</si>
  <si>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</si>
  <si>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</si>
  <si>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</si>
  <si>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</si>
  <si>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</si>
  <si>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</si>
  <si>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</si>
  <si>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</si>
  <si>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</si>
  <si>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</si>
  <si>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</si>
  <si>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</si>
  <si>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</si>
  <si>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</si>
  <si>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</si>
  <si>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</si>
  <si>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</si>
  <si>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</si>
  <si>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</si>
  <si>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</si>
  <si>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</si>
  <si>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</si>
  <si>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</si>
  <si>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</si>
  <si>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</si>
  <si>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</si>
  <si>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</si>
  <si>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</si>
  <si>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</si>
  <si>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</si>
  <si>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</si>
  <si>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</si>
  <si>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</si>
  <si>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</si>
  <si>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</si>
  <si>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</si>
  <si>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</si>
  <si>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</si>
  <si>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</si>
  <si>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</si>
  <si>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</si>
  <si>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</si>
  <si>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</si>
  <si>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</si>
  <si>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</si>
  <si>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</si>
  <si>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</si>
  <si>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</si>
  <si>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</si>
  <si>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</si>
  <si>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</si>
  <si>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</si>
  <si>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</si>
  <si>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</si>
  <si>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</si>
  <si>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</si>
  <si>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</si>
  <si>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</si>
  <si>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</si>
  <si>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</si>
  <si>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</si>
  <si>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</si>
  <si>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</si>
  <si>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</si>
  <si>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</si>
  <si>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</si>
  <si>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</si>
  <si>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</si>
  <si>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</si>
  <si>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</si>
  <si>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</si>
  <si>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</si>
  <si>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</si>
  <si>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</si>
  <si>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</si>
  <si>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</si>
  <si>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</si>
  <si>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</si>
  <si>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</si>
  <si>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</si>
  <si>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</si>
  <si>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</si>
  <si>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</si>
  <si>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</si>
  <si>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</si>
  <si>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</si>
  <si>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</si>
  <si>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</si>
  <si>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</si>
  <si>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</si>
  <si>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</si>
  <si>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</si>
  <si>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</si>
  <si>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</si>
  <si>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</si>
  <si>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</si>
  <si>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</si>
  <si>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</si>
  <si>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</si>
  <si>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</si>
  <si>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</si>
  <si>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</si>
  <si>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</si>
  <si>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</si>
  <si>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</si>
  <si>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</si>
  <si>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</si>
  <si>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</si>
  <si>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</si>
  <si>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</si>
  <si>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</si>
  <si>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</si>
  <si>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</si>
  <si>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</si>
  <si>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</si>
  <si>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</si>
  <si>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</si>
  <si>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</si>
  <si>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</si>
  <si>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</si>
  <si>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</si>
  <si>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</si>
  <si>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</si>
  <si>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</si>
  <si>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</si>
  <si>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</si>
  <si>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</si>
  <si>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</si>
  <si>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</si>
  <si>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</si>
  <si>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</si>
  <si>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</si>
  <si>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</si>
  <si>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</si>
  <si>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</si>
  <si>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</si>
  <si>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</si>
  <si>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</si>
  <si>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</si>
  <si>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</si>
  <si>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</si>
  <si>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</si>
  <si>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</si>
  <si>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</si>
  <si>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</si>
  <si>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</si>
  <si>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</si>
  <si>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</si>
  <si>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</si>
  <si>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</si>
  <si>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</si>
  <si>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</si>
  <si>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</si>
  <si>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</si>
  <si>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</si>
  <si>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</si>
  <si>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</si>
  <si>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</si>
  <si>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</si>
  <si>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</si>
  <si>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</si>
  <si>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</si>
  <si>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</si>
  <si>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</si>
  <si>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</si>
  <si>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</si>
  <si>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</si>
  <si>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</si>
  <si>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</si>
  <si>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</si>
  <si>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</si>
  <si>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</si>
  <si>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</si>
  <si>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</si>
  <si>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</si>
  <si>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</si>
  <si>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</si>
  <si>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</si>
  <si>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</si>
  <si>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</si>
  <si>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</si>
  <si>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</si>
  <si>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</si>
  <si>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</si>
  <si>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</si>
  <si>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</si>
  <si>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</si>
  <si>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</si>
  <si>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Referente ao executado (100%)</t>
  </si>
  <si>
    <t>Laje Marquise (60%)</t>
  </si>
  <si>
    <t>09</t>
  </si>
  <si>
    <t>BOLETIM 09 - MEMORIAL FOTOGRÁFICO</t>
  </si>
  <si>
    <t>Pilares nível Cinta caixa (100%)</t>
  </si>
  <si>
    <t>Vigas caixa d´água</t>
  </si>
  <si>
    <t>Vigas Cinta</t>
  </si>
  <si>
    <t>Laje Marquise (40%)</t>
  </si>
  <si>
    <t>Laje caixa d'água (100%)</t>
  </si>
  <si>
    <t>Valor referente ao saldo restante</t>
  </si>
  <si>
    <t>BOLETIM DE MEDIÇÃO 09 - MEMORIAL DE CÁLCULO</t>
  </si>
  <si>
    <t xml:space="preserve">Item medido devido adição de alvenaria na platibanda (Alvenaria in loco já superior ao contrato) </t>
  </si>
  <si>
    <t>MEDIDA NO PERÍODO 10</t>
  </si>
  <si>
    <t>1.17.1</t>
  </si>
  <si>
    <t>1.17.2</t>
  </si>
  <si>
    <t>1.17.3</t>
  </si>
  <si>
    <t>1.17.4</t>
  </si>
  <si>
    <t>1.17.5</t>
  </si>
  <si>
    <t>1.17.6</t>
  </si>
  <si>
    <t>1.17.7</t>
  </si>
  <si>
    <t>1.17.8</t>
  </si>
  <si>
    <t>1.17.9</t>
  </si>
  <si>
    <t>1.17.10</t>
  </si>
  <si>
    <t>1.17.11</t>
  </si>
  <si>
    <t>1.17.12</t>
  </si>
  <si>
    <t>MEDIÇÃO 10</t>
  </si>
  <si>
    <t>NOVOS SERVIÇOS</t>
  </si>
  <si>
    <t>S071105</t>
  </si>
  <si>
    <t>S06096</t>
  </si>
  <si>
    <t>00020204</t>
  </si>
  <si>
    <t>00020208</t>
  </si>
  <si>
    <t>ATERRO MECANIZADO DE VALA COM RETROESCAVADEIRA (CAPACIDADE DA CAÇAMBA DA RETRO: 0,26 M³ / POTÊNCIA: 88 HP), LARGURA DE 0,8 A 1,5 M, PROFUNDIDADE ATÉ 1,5 M, COM SOLO ARGILO-ARENOSO. AF_05/2016</t>
  </si>
  <si>
    <t>DEMOLIÇÃO DE PILARES E VIGAS EM CONCRETO ARMADO, DE FORMA MANUAL, SEM REAPROVEITAMENTO. AF_12/2017</t>
  </si>
  <si>
    <t>DEMOLIÇÃO DE ALVENARIA DE BLOCO FURADO, DE FORMA MANUAL, SEM REAPROVEITAMENTO. AF_12/2017</t>
  </si>
  <si>
    <t>Grade de ferro em barra chata, inclusive chumbamento</t>
  </si>
  <si>
    <t>ENTRADA DE ENERGIA ELÉTRICA, AÉREA, MONOFÁSICA, COM CAIXA DE EMBUTIR, CABO DE 10 MM2 E DISJUNTOR DIN 50A (NÃO INCLUSO O POSTE DE CONCRETO). AF_07/2020_PS</t>
  </si>
  <si>
    <t>Ligação Predial de Água em Mureta de Concreto, Provisória ou Definitiva, com Fornecimento de Material, inclusive Mureta e Hidrômetro, Rede DN 50mm - Rev 03_10/2022</t>
  </si>
  <si>
    <t>PRANCHAO APARELHADO *7,5 X 23* CM, EM MACARANDUBA, ANGELIM OU EQUIVALENTE DA REGIAO</t>
  </si>
  <si>
    <t>PRANCHAO APARELHADO *8 X 30* CM, EM MACARANDUBA, ANGELIM OU EQUIVALENTE DA REGIAO</t>
  </si>
  <si>
    <t>CHAPISCO APLICADO NO TETO OU EM ESTRUTURA, COM DESEMPENADEIRA DENTADA. ARGAMASSA INDUSTRIALIZADA COM PREPARO EM MISTURADOR 300 KG. AF_10/2022</t>
  </si>
  <si>
    <t>MASSA ÚNICA, PARA RECEBIMENTO DE PINTURA, EM ARGAMASSA TRAÇO 1:2:8, PREPARO MECÂNICO COM BETONEIRA 400L, APLICADA MANUALMENTE EM TETO, ESPESSURA DE 10MM, COM EXECUÇÃO DE TALISCAS. AF_03/2015</t>
  </si>
  <si>
    <t>APLICAÇÃO MANUAL DE PINTURA COM TINTA LÁTEX PVA EM TETO, DUAS DEMÃOS. AF_06/2014</t>
  </si>
  <si>
    <t>m2</t>
  </si>
  <si>
    <t>BOLETIM 10 - MEMORIAL FOTOGRÁFICO</t>
  </si>
  <si>
    <t>BOLETIM DE MEDIÇÃO 10 - MEMORIAL DE CÁLCULO</t>
  </si>
  <si>
    <t>BOLETIM DE MEDIÇÃO 10</t>
  </si>
  <si>
    <t>V02 (P8 ATÉ P9)</t>
  </si>
  <si>
    <t xml:space="preserve">EMBASAMENTO ABAIXO DAS NOVAS VIGAS BALDRAMES QUE FORAM ADICIONADAS. </t>
  </si>
  <si>
    <t>EXTENSÃO DA VIGA 19 (AO LADO ESQUERDO DO PILAR 81 (PROJETO ESTRUTURAL - PLANTA DE FÔRMAS DE VIGA BALDRAME)</t>
  </si>
  <si>
    <t>LIGAÇÃO DA EXTENSÃO DA VIGA 19 AO PILAR 80  (PROJETO ESTRUTURAL - PLANTA DE FÔRMAS DE VIGA BALDRAME)</t>
  </si>
  <si>
    <t>VIGA ADICIONADA ENTRE O P8 E O P22</t>
  </si>
  <si>
    <t>VIGA ADICIONADA ENTRE O P76 E O P84</t>
  </si>
  <si>
    <t xml:space="preserve">ALVENARIA DE EMBASAMENTO ADICIONADA PARA COMPLEMENTAÇÃO </t>
  </si>
  <si>
    <t xml:space="preserve">EMBASAMENTO (ALVENARIA ABAIXO DAS CANALETAS) - MURO </t>
  </si>
  <si>
    <t xml:space="preserve">EMBASAMENTO (CALÇADA PERÍMETRO INTERNO DA OBRA) </t>
  </si>
  <si>
    <t>SOMA DOS PERÍMETROS (TRECHOS EM ANEXO)</t>
  </si>
  <si>
    <t xml:space="preserve">EMBASAMENTO (BATENTES ACIMA DA CALÇADA (ENTRADA PRINCIPAL E ÁREA DE SERVIÇO ) </t>
  </si>
  <si>
    <t xml:space="preserve">ALVENARIA DE DETALHAMENTO ACIMA DA LAJE DA GUARITA </t>
  </si>
  <si>
    <t xml:space="preserve">PERÍMETRO  VEZES ALTURA </t>
  </si>
  <si>
    <t>0.41; 0.41</t>
  </si>
  <si>
    <t>0.41; 0.64</t>
  </si>
  <si>
    <t>0.62; 0.55</t>
  </si>
  <si>
    <t>0.20; 0.35</t>
  </si>
  <si>
    <t>SOMA DOS PERÍMETROS (M)</t>
  </si>
  <si>
    <t>ALTURA DE EMBASAMENTO (M)</t>
  </si>
  <si>
    <t>BALDRAMES (VALOR EM MEMORIAL DE CÁLCULO)</t>
  </si>
  <si>
    <t xml:space="preserve">AÇO 8.0 ADICIONADO ÀS NOVAS VIGAS BALDRAMES REALIZADAS. </t>
  </si>
  <si>
    <t>COMPRIMENTO DO CORTE (M)</t>
  </si>
  <si>
    <t>QUANTIDADE (UND)</t>
  </si>
  <si>
    <t>VIGAS ADICIONADAS NO MURO (LOCAL DA PASSAGEM DE VEÍCULOS (P07) PRÓXIMO A ÁREA DE SERVIÇO)</t>
  </si>
  <si>
    <t xml:space="preserve">CONCRETO ADICIONADO ÀS NOVAS VIGAS BALDRAMES REALIZADAS. </t>
  </si>
  <si>
    <t>COMPRIMENTO(M)</t>
  </si>
  <si>
    <t>ALVENARIA DE EMBASAMENTO (CÁLCULO CONSIDERANDO O VOLUME PRISMÁTICO DE CADA SEÇÃO ABAIXO DAS VIGAS BALDRAME).</t>
  </si>
  <si>
    <t xml:space="preserve">CÁLCULO DO AÇO 8.0 UTILIZADO NAS VIGAS BALDRAMES + VIGAS NOVAS ADICIONAIS. </t>
  </si>
  <si>
    <t>CÁLCULO DO VOLUME DE CONCRETO DAS SAPATAS E JUNTAMENTE COM VIGAS BALDRAMES. REDUZINDO O VALOR DO ITEM 1.3.6.</t>
  </si>
  <si>
    <t>VALOR IDEM AO VOLUME DE CONCRETO. VALOR TOTAL CÁLCULADO.</t>
  </si>
  <si>
    <t>VOLUME EM MEMORIAL DE CÁLCULO</t>
  </si>
  <si>
    <t>VOLUME CALCULADO</t>
  </si>
  <si>
    <t xml:space="preserve">AÇO 5.0 ADICIONADO ÀS NOVAS VIGAS BALDRAMES REALIZADAS. </t>
  </si>
  <si>
    <t>CÁLCULO DE TODO AÇO 12.5 UTILIZADO NAS SAPATAS ATÉ O NÍVEL DA BALDRAME.</t>
  </si>
  <si>
    <t>CÁLCULO DE TODA ÁREA DE FÔRMA UTILIZADA DA FUNDAÇÃO AO NÍVEL DE VIGA BALDRAME.</t>
  </si>
  <si>
    <t xml:space="preserve">ÁREA DE FÔRMA PARA AS NOVAS VIGAS BALDRAMES REALIZADAS. </t>
  </si>
  <si>
    <t>CÁLCULO DA ÁREA DE IMPERMEABILIZAÇÃO DAS VIGAS BALDRAMES.</t>
  </si>
  <si>
    <t>CÁLCULO DE TODO AÇO 10.0 UTILIZADO NAS SAPATAS ATÉ O NÍVEL DA BALDRAME.</t>
  </si>
  <si>
    <t>10</t>
  </si>
  <si>
    <t>16/12/2024 a /03/2025</t>
  </si>
  <si>
    <t>13/0/2025</t>
  </si>
  <si>
    <t>SUPRESSÃO DE ITEM DEVIDO NÃO NECESSIDADE DE EXECUÇÃO.</t>
  </si>
  <si>
    <t>SUBSTITUIÇÃO (SUPRESSÃO) PELO ITEM 1.17.1 (ATERRO MECANIZADO).</t>
  </si>
  <si>
    <t xml:space="preserve">CÁLCULO DE TODO AÇO 5.0 USADO NA PARTE DE FUNDAÇÃO E VIGAS BALDRAME. </t>
  </si>
  <si>
    <t>ADIÇÃO DE FÔRMAS DEVIDO PILARES (21; 29 E 38) QUE PASSAM (ENTORNO DA LAJE ACIMA DOS VESTIÁRIOS) DEVIDO FECHAMENTO DE ALVENARIA DA CAIXA D'ÁGUA.</t>
  </si>
  <si>
    <t>VALOR ATUAL EM MEMORIAL DE CÁLCULO</t>
  </si>
  <si>
    <t>PILARES (CAIXA D'ÁGUA - ACIMA DOS VESTIÁRIOS)</t>
  </si>
  <si>
    <t>P21; P29; P38</t>
  </si>
  <si>
    <t>ADIÇÃO DE FÔRMAS DEVIDO ALTERAÇÃO DA SEÇÃO DAS VIGAS (ENTORNO DA LAJE ACIMA DOS VESTIÁRIOS).</t>
  </si>
  <si>
    <t>VIGAS (CAIXA D'ÁGUA - ACIMA DOS VESTIÁRIOS)</t>
  </si>
  <si>
    <t>V5 (ACRÉSCIMO - VIGA QUE IRÁ SER COMPLEMENTADA ATÉ O PILAR 29</t>
  </si>
  <si>
    <t>V3; V8 (ACRÉSCIMO DEVIDO MUDANÇA DE SEÇÃO)</t>
  </si>
  <si>
    <t>V28 (ACRÉSCIMO DEVIDO MUDANÇA DE SEÇÃO)</t>
  </si>
  <si>
    <t xml:space="preserve">ADIÇÃO DE FÔRMAS DEVIDO ALTERAÇÃO EM PROJETO ESTRUTURAL DE LAJES. (COMPLEMENTAÇÃO DA LAJE DA GUARITA COMO SOLICITADO PELO PLANEJAMENTO E FISCALIZAÇÃO. </t>
  </si>
  <si>
    <t xml:space="preserve">ÁREA (METRAGEM QUADRADA) </t>
  </si>
  <si>
    <t>ÁREA (M2)</t>
  </si>
  <si>
    <t xml:space="preserve">LAJE GUARITA </t>
  </si>
  <si>
    <t>LAJE VESTIÁRIOS</t>
  </si>
  <si>
    <t>ADIÇÃO DE AÇO DEVIDO ALTERAÇÃO DA ALTURA DAS VIGAS (ENTORNO DA LAJE ACIMA DOS VESTIÁRIOS) E PILARES QUE IRÃO PASSAR (CONTINUAÇÃO DA ALVENARIA DA CAIXA).</t>
  </si>
  <si>
    <t>COMPRIMENTO (M) AÇO</t>
  </si>
  <si>
    <t>ADIÇÃO DE AÇO DEVIDO ALTERAÇÃO DA ALTURA DAS VIGAS (ENTORNO DA LAJE ACIMA DOS VESTIÁRIOS).</t>
  </si>
  <si>
    <t>ADIÇÃO DE AÇO 10.0 DEVIDO PILARES (21; 29 E 38) QUE PASSAM (ENTORNO DA LAJE ACIMA DOS VESTIÁRIOS) DEVIDO FECHAMENTO DE ALVENARIA DA CAIXA D'ÁGUA.</t>
  </si>
  <si>
    <t xml:space="preserve">AÇO 5.0 UTILIZADO NAS ARMAÇÕES DAS COMPLEMENTAÇÕES DAS LAJES. </t>
  </si>
  <si>
    <t>AÇO 5.0</t>
  </si>
  <si>
    <t>CORTE (M)</t>
  </si>
  <si>
    <t>LAJE GUARITA (POSITIVO - EIXO X)</t>
  </si>
  <si>
    <t>LAJE GUARITA (NEGATIVO - EIXO Y)</t>
  </si>
  <si>
    <t>LAJE VESTIÁRIOS (DOBRO QUANTIFICADO EM PROJETO - PRANCHA 28/34)</t>
  </si>
  <si>
    <t xml:space="preserve">AÇO 6.3 UTILIZADO NAS ARMAÇÕES DA COMPLEMENTAÇÕES DAS LAJE. </t>
  </si>
  <si>
    <t>AÇO 6.3</t>
  </si>
  <si>
    <t>LAJE GUARITA (POSITIVO - EIXO Y)</t>
  </si>
  <si>
    <t xml:space="preserve">CONCRETO UTILIZADO NAS ARMAÇÕES DAS COMPLEMENTAÇÕES DAS LAJES. </t>
  </si>
  <si>
    <t>ÁREA (METRAGEM QUADRADA)</t>
  </si>
  <si>
    <t>IDEM AO ITEM 1.4.12</t>
  </si>
  <si>
    <t>VOLUME DE CONCRETO ADICIONAL</t>
  </si>
  <si>
    <t xml:space="preserve">AÇO 10.0 UTILIZADO NA ARMAÇÃO DE COMPLEMENTAÇÃO DA LAJE. </t>
  </si>
  <si>
    <t>ADIÇÃO DE ALVENARIA EM TODO CONTORNO DA PLATIBANDA.</t>
  </si>
  <si>
    <t>VALOR EM MEMORIAL DE CÁLCULO</t>
  </si>
  <si>
    <t>METRAGEM LINEAR (M)</t>
  </si>
  <si>
    <t>ALVENARIA ADICIONAL DE COMPLEMENTO (PARA APOIO DAS TESOURAS)</t>
  </si>
  <si>
    <t>ALVENARIA ADICIONAL (ENTORNO DAS CAIXAS D'ÁGUA ONDE NÃO PEGA PLATIBANDA E TAMBÉM EM TORNO DA ÁREA ABERTA)</t>
  </si>
  <si>
    <t>ALVENARIA ADICIONAL (ENTORNO DE TODA PLATIBANDA)</t>
  </si>
  <si>
    <t xml:space="preserve">ADIÇÃO DE VERGA DEVIDO ADIÇÃO DE ESQUADRIA NECESSÁRIA NA GUARITA. </t>
  </si>
  <si>
    <t xml:space="preserve">VERGA ADICIONAL </t>
  </si>
  <si>
    <t xml:space="preserve">ADIÇÃO DE CONTRAVERGA DEVIDO ADIÇÃO DE ESQUADRIA NECESSÁRIA NA GUARITA. </t>
  </si>
  <si>
    <t xml:space="preserve">CONTRAVERGA ADICIONAL </t>
  </si>
  <si>
    <t xml:space="preserve">CORREÇÃO DO VALOR DE CHAPISCO, AUSÊNCIA DA METRAGEM QUADRADA CORRETA DE ACORDO COM A ÁREA DE ALVENARIA. </t>
  </si>
  <si>
    <t xml:space="preserve">ÁREA DE ALVENARIA </t>
  </si>
  <si>
    <t>ÁREA DE CHAPISCO (INTERNO)  (EM MEMORIAL)</t>
  </si>
  <si>
    <t>ÁREA DE CHAPISCO (EXTERNO)  (EM MEMORIAL)</t>
  </si>
  <si>
    <t>DIFERENÇA (ADITIVO)  (ÁREA DE ALVENARIA * 2 - SOMA DE CHAPISCO EM PLANILHA)</t>
  </si>
  <si>
    <t xml:space="preserve">CHAPISCO APLICADO NA ALVENARIA DE DETALHAMENTO ACIMA DA LAJE DA GUARITA. </t>
  </si>
  <si>
    <t xml:space="preserve">CORREÇÃO DO VALOR DE MASSA ÚNICA, AUSÊNCIA DA METRAGEM QUADRADA CORRETA DE ACORDO COM A ÁREA DE CHAPISCO. </t>
  </si>
  <si>
    <t>ÁREA DE MASSA ÚNICA TOTAL (ÁREA DE ALVENARIA * 2)</t>
  </si>
  <si>
    <t>ÁREA DE EMBOÇO INTERNO (EM MEMORIAL)</t>
  </si>
  <si>
    <t>ÁREA DE MASSA ÚNICA INTERNA (EM MEMORIAL)</t>
  </si>
  <si>
    <t>ÁREA DE EMBOÇO EXTERNO (EM MEMORIAL)</t>
  </si>
  <si>
    <t>DIFERENÇA (ADITIVO)  (ÁREA DE MASSA TOTAL - (MASSA ÚNICA INTERNA + EMBOÇO INTERNO + EMBOÇO EXTERNO)</t>
  </si>
  <si>
    <t xml:space="preserve">ADIÇÃO DE ESQUADRIA NA GUARTIA DEVIDO AUSÊNCIA EM PROJETO. </t>
  </si>
  <si>
    <t xml:space="preserve"> (VALOR EM MEMORIAL DE CÁLCULO)</t>
  </si>
  <si>
    <t>ESQUADRIA (GUARITA)</t>
  </si>
  <si>
    <t xml:space="preserve">ADIÇÃO DE APLICAÇÃO DE FUNDO SELADOR DEVIDO ALTERAÇÃO NA METRAGEM QUADRADA DE MASSA ÚNICA. </t>
  </si>
  <si>
    <t>VALOR REFERENTE A DIFERENÇA (ADITIVO)</t>
  </si>
  <si>
    <t xml:space="preserve">ADIÇÃO DE LIXAMENTO E APLICAÇÃO DE MASSA DEVIDO ALTERAÇÃO NA METRAGEM QUADRADA DE MASSA ÚNICA. </t>
  </si>
  <si>
    <t xml:space="preserve">ADIÇÃO PINTURA DEVIDO ALTERAÇÃO NA METRAGEM QUADRADA DE MASSA ÚNICA. </t>
  </si>
  <si>
    <t xml:space="preserve">ADIÇÃO DE CHAPISCO NA ÁREA LATERAL DA CALÇADA NO ENTORNO DO PRÉDIO. </t>
  </si>
  <si>
    <t>CHAPISCO PARA ACABAMENTO LATERAL DAS CALÇADAS</t>
  </si>
  <si>
    <t>ÁREA LATERAL</t>
  </si>
  <si>
    <t xml:space="preserve">ÁREA LATERAL DE CHAPISCO (BATENTES ACIMA DA CALÇADA (ENTRADA PRINCIPAL E ÁREA DE SERVIÇO ) </t>
  </si>
  <si>
    <t xml:space="preserve">ÁREA EXTERNA (CHAPISCO COMPLEMENTO DE ALVENARIA PARA APOIO DAS TESOURAS) </t>
  </si>
  <si>
    <t xml:space="preserve">ADIÇÃO DE EMBOÇO NA ÁREA LATERAL DA CALÇADA NO ENTORNO DO PRÉDIO. </t>
  </si>
  <si>
    <t>TOTAL DE ADIÇÕES</t>
  </si>
  <si>
    <t xml:space="preserve">ADIÇÃO DE INTERRUPTOR NA GUARITA. </t>
  </si>
  <si>
    <t>ADIÇÃO DE 03 TOMADAS PARA AR CONDICIONADO (SALAS E GUARITA) (MUDANÇA DE LOCAL APÓS REALIZAÇÃO DO PROJETO ELÉTRICO).</t>
  </si>
  <si>
    <t xml:space="preserve">QUADRO DE DISTRIBUIÇÃO ADICIONADO DEVIDO AUSÊNCIA EM MEMORIAL  E PRESENÇA EM PROJETO ELÉTRICO. </t>
  </si>
  <si>
    <t>QUADROS DE DISTRIBUIÇÃO (DE ACORDO COM PROJETO ELÉTRICO)</t>
  </si>
  <si>
    <t xml:space="preserve">LASTRO DE CONCRETO DE REGULARIZAÇÃO ADICIONADO PARA REALIZAÇÃO DE CALÇADA NO ENTORNO DO PRÉDIO. </t>
  </si>
  <si>
    <t xml:space="preserve">METRAGEM QUADRADA DE LASTRO DE CONCRETO. </t>
  </si>
  <si>
    <t>ÁREA</t>
  </si>
  <si>
    <t xml:space="preserve">PISO DE CONCRETO ADICIONADO PARA REALIZAÇÃO DE CALÇADA NO ENTORNO DO PRÉDIO. </t>
  </si>
  <si>
    <t xml:space="preserve">CÁLCULO DAS ÁREAS EXECUTADAS. ADAPTAÇÃO PARA REDUÇÃO DE INTERTRAVADOS. </t>
  </si>
  <si>
    <t>ÁREA INTERNA  (INTERTRAVADOS)</t>
  </si>
  <si>
    <t>ÁREA EXTERNA  (INTERTRAVADOS)</t>
  </si>
  <si>
    <t>CALÇADA (ORIENTAÇÃO FACHADA SUL)</t>
  </si>
  <si>
    <t>CALÇADA (ORIENTAÇÃO FACHADA OESTE)</t>
  </si>
  <si>
    <t>TELHAMENTO EM ÁREA DE LAJE (ACIMA DAS CAIXAS D'ÁGUA).</t>
  </si>
  <si>
    <t>LAJE (VESTIÁRIOS)</t>
  </si>
  <si>
    <t>LAJE (WC'S)</t>
  </si>
  <si>
    <t>ADIÇÃO DEVIDO DIFERENÇA DE NOVA ÁREA DE LAJE.</t>
  </si>
  <si>
    <t xml:space="preserve">VALOR DA NOVA ÁREA ADICIONAL  </t>
  </si>
  <si>
    <t>ADIÇÃO DEVIDO DIFERENÇA DE NOVA ÁREA DE LAJE E NECESSIDADE DE REALIZAR DOIS PISOS. (UM ANTES DA MANTA E UM DEPOIS).</t>
  </si>
  <si>
    <t>VALOR DA NOVA ÁREA ADICIONAL + ÁREA EXISTENTE (QUE SERÁ APLICADO ACIMA DA MANTA)</t>
  </si>
  <si>
    <t>TRAMA DE MADEIRA EM ÁREA DE LAJE (ACIMA DAS CAIXAS D'ÁGUA).</t>
  </si>
  <si>
    <t xml:space="preserve">ADIÇÃO DE METRAGEM LINEAR DE CALHA DEVIDO MUDANÇA NA COBERTA. ADIÇÃO DE MAIS ÁGUAS. </t>
  </si>
  <si>
    <t xml:space="preserve">ADIÇÃO DE MAIS 2 CALHAS </t>
  </si>
  <si>
    <t>CÁLCULO DE TODO CONCRETO (SAPATAS E PILARES).</t>
  </si>
  <si>
    <t>INFRAESTRUTURA (ABAIXO DA PEDRA ARGAMASSADA)</t>
  </si>
  <si>
    <t>SAPATAS E TOCOS DE PILAR</t>
  </si>
  <si>
    <t>SUPRAESTRUTURA (ACIMA DA PEDRA ARGAMASSADA)</t>
  </si>
  <si>
    <t>VOLUME DO CONCRETO UTILIZADO (VALOR IDEM AO 1.15.8).</t>
  </si>
  <si>
    <t xml:space="preserve">AÇO 5.0 UTILIZADO NOS PILARES DO MURO. </t>
  </si>
  <si>
    <t>TOCOS DE PILARES</t>
  </si>
  <si>
    <t xml:space="preserve">GANCHOS ADICIONADOS DENTRO DOS BLOCOS DE CANALETA </t>
  </si>
  <si>
    <t>ESPAÇAMENTO (M)</t>
  </si>
  <si>
    <t>TAMANHO DO CORTE DO ESTRIBO (M)</t>
  </si>
  <si>
    <t>COMPRIMENTO TOTAL DAS CANALETAS</t>
  </si>
  <si>
    <t xml:space="preserve">AÇO 10.0 UTILIZADO NOS PILARES DO MURO. </t>
  </si>
  <si>
    <t>NÚMERO DE BARRAS (UND)</t>
  </si>
  <si>
    <t>ALTURA DE PILAR (M)</t>
  </si>
  <si>
    <t>FÔRMAS UTILIZADAS EM TODA ESTRUTURA POR COMPLETO NA CONFECÇÃO DOS PILARES.</t>
  </si>
  <si>
    <t>CHAPISCO EM TODA PAREDE DO MURO (PARTE INTERNA E EXTERNA, ACIMA DA CANALETA DE CONCRETO E ABAIXO).</t>
  </si>
  <si>
    <t>CHAPISCO (VALOR EM MEMORIAL DE CÁLCULO)</t>
  </si>
  <si>
    <t>ÁREAS LATERAIS DO MURO (DA PARTE SUPERIOR DA CANALETA PARA A FUNDAÇÃO)</t>
  </si>
  <si>
    <t>MASSA EM TODA PAREDE DO MURO (PARTE INTERNA E EXTERNA, ACIMA DA CANALETA DE CONCRETO E ABAIXO).</t>
  </si>
  <si>
    <t>REBOCO (VALOR EM MEMORIAL DE CÁLCULO)</t>
  </si>
  <si>
    <t>TINTA EM TODA PAREDE DO MURO (PARTE INTERNA E EXTERNA, ACIMA DA CANALETA DE CONCRETO E ABAIXO).</t>
  </si>
  <si>
    <t>PINTURA (VALOR EM MEMORIAL DE CÁLCULO)</t>
  </si>
  <si>
    <t>TEXTURA EM TODA PAREDE DO MURO (PARTE INTERNA E EXTERNA, ACIMA DA CANALETA DE CONCRETO E ABAIXO).</t>
  </si>
  <si>
    <t>TEXTURA (VALOR EM MEMORIAL DE CÁLCULO)</t>
  </si>
  <si>
    <t>ATERRO MECANIZADO DE VALA COM ESCAVADEIRA HIDRÁULICA (CAPACIDADE DA CAÇAMBA: 0,8 M³ / POTÊNCIA: 111 HP), LARGURA DE 1,5 A 2,5 M, PROFUNDIDADE ATÉ 1,5 M, COM AREIA PARA ATERRO. AF_05/2016</t>
  </si>
  <si>
    <t>ADIÇÃO DE NOVO ITEM, ATERRO DE FORMA MECANIZADA (SUBSTITUIÇÃO DO ITEM 1.2.4).</t>
  </si>
  <si>
    <t>ATERRO CALÇADA (NÍVEL ACIMA DO ATERRO EXTERNO)</t>
  </si>
  <si>
    <t>PERÍMETRO (M)</t>
  </si>
  <si>
    <t>LARGURA DA CALÇADA (M)</t>
  </si>
  <si>
    <t>PERÍMETRO DO ENTORNO DO PRÉDIO (MEDIDA ÚTIL DE CALÇADA)</t>
  </si>
  <si>
    <t xml:space="preserve">VOLUME DE ATERRO (BATENTES ACIMA DA CALÇADA (ENTRADA PRINCIPAL E ÁREA DE SERVIÇO ) </t>
  </si>
  <si>
    <t>DEMOLIÇÃO DE PILARES E VIGAS EM CONCRETO ARMADO, DE FORMA MECANIZADA COM MARTELETE, SEM REAPROVEITAMENTO. AF_12/2017</t>
  </si>
  <si>
    <t xml:space="preserve">DEMOLIÇÃO REALIZADA NA ESTRUTURA DE CONCRETO ARMADO DO EMBASAMENTO DO MURO PARA ADAPTAÇÃO DE ENTRADA DE VEÍCULOS. </t>
  </si>
  <si>
    <t>ALTURAS (M)</t>
  </si>
  <si>
    <t>VIGA REFERENTE NO LOCAL DO PORTÃO</t>
  </si>
  <si>
    <t xml:space="preserve">DEMOLIÇÃO REALIZADA NA ALVENARIA DE EMBASAMENTO DO MURO PARA ADAPTAÇÃO DE ENTRADA DE VEÍCULOS. </t>
  </si>
  <si>
    <t>ADIÇÃO DE GRADE DE FERRO PARA PROTEÇÃO DA ESQUADRIA DA GUARITA.</t>
  </si>
  <si>
    <t xml:space="preserve">ÁREA DA ESQUADRIA </t>
  </si>
  <si>
    <t>ADIÇÃO DE PADRÃO DE ENTRADA DE ENERGIA ELÉTRICA (DEVIDO AUSÊNCIA EM PLANILHA E NECESSIDADE DE EXECUÇÃO).</t>
  </si>
  <si>
    <t>ENTRADA DE ENERGIA ELÉTRICA (LATERAL DA OBRA)</t>
  </si>
  <si>
    <t xml:space="preserve">ADIÇÃO DE PADRÃO DE ENTRADA DE ÁGUA ENCANADA (DEVIDO AUSÊNCIA EM PLANILHA E NECESSIDADE DE EXECUÇÃO) </t>
  </si>
  <si>
    <t>ENTRADA DE ÁGUA ENCANADA (LATERAL DA OBRA)</t>
  </si>
  <si>
    <t>ADIÇÃO DE PRANCHÃO PARA REFORÇO DA ESTRUTURA DE MADEIRA DA COBERTA.</t>
  </si>
  <si>
    <t>METRAGEM TOTAL (PRANCHÕES DE 30CM DE ALTURA)</t>
  </si>
  <si>
    <t>METRAGEM TOTAL (PRANCHÕES DE 23CM DE ALTURA)</t>
  </si>
  <si>
    <t>CHAPISCO APLICADO NA ÁREA ABERTA ABAIXO DA LAJE DA ENTRADA E MARQUIZES.</t>
  </si>
  <si>
    <t>LAJES (ÁREA) - (MARQUIZES E LAJE DE ENTRADA)</t>
  </si>
  <si>
    <t>COMPRIMENTO ()</t>
  </si>
  <si>
    <t>ALTIURA (M)</t>
  </si>
  <si>
    <t>L1</t>
  </si>
  <si>
    <t>LATERAL (L1)</t>
  </si>
  <si>
    <t>L2</t>
  </si>
  <si>
    <t>LATERAL (L2)</t>
  </si>
  <si>
    <t>L3</t>
  </si>
  <si>
    <t>LATERAL (L3)</t>
  </si>
  <si>
    <t>L4</t>
  </si>
  <si>
    <t>LATERAL (L4)</t>
  </si>
  <si>
    <t>L5</t>
  </si>
  <si>
    <t>L7</t>
  </si>
  <si>
    <t>LATERAL (L7)</t>
  </si>
  <si>
    <t>MASSA ÚNICA APLICADA NA ÁREA ABERTA ABAIXO DA LAJE DA ENTRADA E MARQUIZES.</t>
  </si>
  <si>
    <t>MASSA LÁTEX APLICADA NA ÁREA ABERTA ABAIXO DA LAJE DA ENTRADA E MARQUIZES.</t>
  </si>
  <si>
    <t>TINTA LÁTEX APLICADA NA ÁREA ABERTA ABAIXO DA LAJE DA ENTRADA E MARQUIZES.</t>
  </si>
  <si>
    <t>ADIÇÃO DE CAIXA RETANGULAR DEVIDO ALTERAÇÃO NO LOCAL DOS PONTOS DE AR CONDICIONADO E  NA GUARITA. (4 UNIDADES A MAIS)</t>
  </si>
  <si>
    <t>CONTRATADA PÓS ADITIVO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</si>
</sst>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</numFmts>
  <fonts count="4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  <font>
      <b/>
      <sz val="14"/>
      <color rgb="FFFF000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1"/>
      <name val="Segoe UI"/>
      <family val="2"/>
    </font>
    <font>
      <b/>
      <sz val="7"/>
      <name val="Arial"/>
      <family val="2"/>
    </font>
    <font>
      <b/>
      <sz val="6"/>
      <name val="Segoe UI"/>
      <family val="2"/>
    </font>
    <font>
      <b/>
      <sz val="11"/>
      <name val="Segoe UI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8" fillId="14" borderId="1"/>
  </cellStyleXfs>
  <cellXfs count="924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164" fontId="8" fillId="0" borderId="57" xfId="2" applyFont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7" fillId="16" borderId="32" xfId="0" applyFont="1" applyFill="1" applyBorder="1" applyAlignment="1">
      <alignment horizontal="justify" vertical="center"/>
    </xf>
    <xf numFmtId="0" fontId="24" fillId="0" borderId="32" xfId="0" applyFont="1" applyBorder="1" applyAlignment="1">
      <alignment horizontal="left" vertical="center"/>
    </xf>
    <xf numFmtId="4" fontId="17" fillId="16" borderId="47" xfId="0" applyNumberFormat="1" applyFont="1" applyFill="1" applyBorder="1" applyAlignment="1">
      <alignment vertical="center"/>
    </xf>
    <xf numFmtId="4" fontId="17" fillId="16" borderId="49" xfId="0" applyNumberFormat="1" applyFont="1" applyFill="1" applyBorder="1" applyAlignment="1">
      <alignment vertical="center"/>
    </xf>
    <xf numFmtId="0" fontId="18" fillId="16" borderId="46" xfId="0" applyFont="1" applyFill="1" applyBorder="1" applyAlignment="1">
      <alignment horizontal="left" vertical="center"/>
    </xf>
    <xf numFmtId="2" fontId="18" fillId="16" borderId="46" xfId="0" applyNumberFormat="1" applyFont="1" applyFill="1" applyBorder="1" applyAlignment="1">
      <alignment horizontal="left" vertical="center"/>
    </xf>
    <xf numFmtId="0" fontId="23" fillId="16" borderId="11" xfId="0" applyFont="1" applyFill="1" applyBorder="1" applyAlignment="1">
      <alignment horizontal="justify" vertical="center"/>
    </xf>
    <xf numFmtId="0" fontId="23" fillId="16" borderId="12" xfId="0" applyFont="1" applyFill="1" applyBorder="1" applyAlignment="1">
      <alignment horizontal="center" vertical="center"/>
    </xf>
    <xf numFmtId="4" fontId="23" fillId="16" borderId="1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2" fontId="24" fillId="0" borderId="31" xfId="0" applyNumberFormat="1" applyFont="1" applyBorder="1" applyAlignment="1">
      <alignment horizontal="left" vertical="center" wrapText="1"/>
    </xf>
    <xf numFmtId="2" fontId="24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2" fontId="23" fillId="0" borderId="32" xfId="0" applyNumberFormat="1" applyFont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2" fontId="23" fillId="0" borderId="32" xfId="0" applyNumberFormat="1" applyFont="1" applyBorder="1" applyAlignment="1">
      <alignment horizontal="center" vertical="center" wrapText="1"/>
    </xf>
    <xf numFmtId="2" fontId="23" fillId="0" borderId="3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2" fontId="17" fillId="16" borderId="32" xfId="2" applyNumberFormat="1" applyFont="1" applyFill="1" applyBorder="1" applyAlignment="1">
      <alignment horizontal="center" vertical="center"/>
    </xf>
    <xf numFmtId="170" fontId="17" fillId="16" borderId="49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right" vertical="center" wrapText="1"/>
    </xf>
    <xf numFmtId="2" fontId="17" fillId="16" borderId="49" xfId="2" applyNumberFormat="1" applyFont="1" applyFill="1" applyBorder="1" applyAlignment="1">
      <alignment horizontal="center" vertical="center"/>
    </xf>
    <xf numFmtId="4" fontId="23" fillId="16" borderId="31" xfId="0" applyNumberFormat="1" applyFont="1" applyFill="1" applyBorder="1" applyAlignment="1">
      <alignment vertical="center"/>
    </xf>
    <xf numFmtId="0" fontId="23" fillId="16" borderId="44" xfId="0" applyFont="1" applyFill="1" applyBorder="1" applyAlignment="1">
      <alignment horizontal="justify" vertical="center"/>
    </xf>
    <xf numFmtId="4" fontId="18" fillId="16" borderId="33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center" vertical="center"/>
    </xf>
    <xf numFmtId="0" fontId="23" fillId="16" borderId="64" xfId="0" applyFont="1" applyFill="1" applyBorder="1" applyAlignment="1">
      <alignment horizontal="justify" vertical="center"/>
    </xf>
    <xf numFmtId="0" fontId="23" fillId="16" borderId="33" xfId="0" applyFont="1" applyFill="1" applyBorder="1" applyAlignment="1">
      <alignment horizontal="center" vertical="center"/>
    </xf>
    <xf numFmtId="164" fontId="0" fillId="0" borderId="0" xfId="2" applyFont="1"/>
    <xf numFmtId="43" fontId="0" fillId="0" borderId="0" xfId="0" applyNumberFormat="1"/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39" fillId="15" borderId="4" xfId="0" applyFont="1" applyFill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 wrapText="1"/>
    </xf>
    <xf numFmtId="4" fontId="16" fillId="16" borderId="48" xfId="0" applyNumberFormat="1" applyFont="1" applyFill="1" applyBorder="1" applyAlignment="1">
      <alignment horizontal="center" vertical="center" wrapText="1"/>
    </xf>
    <xf numFmtId="4" fontId="16" fillId="16" borderId="49" xfId="0" applyNumberFormat="1" applyFont="1" applyFill="1" applyBorder="1" applyAlignment="1">
      <alignment horizontal="center" vertical="center" wrapText="1"/>
    </xf>
    <xf numFmtId="4" fontId="16" fillId="16" borderId="47" xfId="0" applyNumberFormat="1" applyFont="1" applyFill="1" applyBorder="1" applyAlignment="1">
      <alignment horizontal="center" vertical="center"/>
    </xf>
    <xf numFmtId="4" fontId="16" fillId="16" borderId="48" xfId="0" applyNumberFormat="1" applyFont="1" applyFill="1" applyBorder="1" applyAlignment="1">
      <alignment horizontal="center" vertical="center"/>
    </xf>
    <xf numFmtId="4" fontId="16" fillId="16" borderId="49" xfId="0" applyNumberFormat="1" applyFont="1" applyFill="1" applyBorder="1" applyAlignment="1">
      <alignment horizontal="center" vertical="center"/>
    </xf>
    <xf numFmtId="2" fontId="23" fillId="0" borderId="4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4" fontId="17" fillId="0" borderId="56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 vertical="center" wrapText="1"/>
    </xf>
    <xf numFmtId="0" fontId="0" fillId="0" borderId="0" xfId="0" applyFill="1"/>
    <xf numFmtId="0" fontId="21" fillId="15" borderId="3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/>
    </xf>
    <xf numFmtId="0" fontId="40" fillId="0" borderId="6" xfId="0" applyFont="1" applyBorder="1" applyAlignment="1">
      <alignment vertical="center"/>
    </xf>
    <xf numFmtId="0" fontId="41" fillId="0" borderId="7" xfId="0" applyFont="1" applyBorder="1" applyAlignment="1">
      <alignment vertical="center"/>
    </xf>
    <xf numFmtId="0" fontId="42" fillId="15" borderId="9" xfId="0" applyFont="1" applyFill="1" applyBorder="1" applyAlignment="1">
      <alignment horizontal="left" vertical="center"/>
    </xf>
    <xf numFmtId="0" fontId="42" fillId="15" borderId="10" xfId="0" applyFont="1" applyFill="1" applyBorder="1" applyAlignment="1">
      <alignment horizontal="left" vertical="center"/>
    </xf>
    <xf numFmtId="0" fontId="40" fillId="0" borderId="14" xfId="0" applyFont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42" fillId="15" borderId="11" xfId="0" applyFont="1" applyFill="1" applyBorder="1" applyAlignment="1">
      <alignment horizontal="left" vertical="center"/>
    </xf>
    <xf numFmtId="0" fontId="42" fillId="15" borderId="13" xfId="0" applyFont="1" applyFill="1" applyBorder="1" applyAlignment="1">
      <alignment horizontal="left" vertical="center"/>
    </xf>
    <xf numFmtId="168" fontId="42" fillId="15" borderId="16" xfId="0" applyNumberFormat="1" applyFont="1" applyFill="1" applyBorder="1" applyAlignment="1">
      <alignment horizontal="center" vertical="center"/>
    </xf>
    <xf numFmtId="168" fontId="42" fillId="15" borderId="17" xfId="0" applyNumberFormat="1" applyFont="1" applyFill="1" applyBorder="1" applyAlignment="1">
      <alignment horizontal="center" vertical="center"/>
    </xf>
    <xf numFmtId="0" fontId="42" fillId="15" borderId="17" xfId="0" applyFont="1" applyFill="1" applyBorder="1" applyAlignment="1">
      <alignment horizontal="center" vertical="center"/>
    </xf>
    <xf numFmtId="44" fontId="42" fillId="15" borderId="18" xfId="0" applyNumberFormat="1" applyFont="1" applyFill="1" applyBorder="1" applyAlignment="1">
      <alignment horizontal="left" vertical="center"/>
    </xf>
    <xf numFmtId="44" fontId="42" fillId="15" borderId="19" xfId="0" applyNumberFormat="1" applyFont="1" applyFill="1" applyBorder="1" applyAlignment="1">
      <alignment vertical="center"/>
    </xf>
    <xf numFmtId="44" fontId="42" fillId="15" borderId="17" xfId="0" applyNumberFormat="1" applyFont="1" applyFill="1" applyBorder="1" applyAlignment="1">
      <alignment vertical="center"/>
    </xf>
    <xf numFmtId="0" fontId="31" fillId="14" borderId="0" xfId="0" applyFont="1" applyFill="1" applyAlignment="1" applyProtection="1">
      <alignment vertical="center" wrapText="1"/>
      <protection locked="0"/>
    </xf>
    <xf numFmtId="0" fontId="43" fillId="14" borderId="1" xfId="0" applyFont="1" applyFill="1" applyBorder="1" applyAlignment="1">
      <alignment vertical="center" wrapText="1"/>
    </xf>
    <xf numFmtId="0" fontId="43" fillId="14" borderId="1" xfId="0" applyFont="1" applyFill="1" applyBorder="1" applyAlignment="1" applyProtection="1">
      <alignment vertical="center" wrapText="1"/>
      <protection locked="0"/>
    </xf>
    <xf numFmtId="0" fontId="44" fillId="15" borderId="21" xfId="0" applyFont="1" applyFill="1" applyBorder="1" applyAlignment="1">
      <alignment horizontal="center" vertical="center" wrapText="1"/>
    </xf>
    <xf numFmtId="0" fontId="44" fillId="15" borderId="8" xfId="0" applyFont="1" applyFill="1" applyBorder="1" applyAlignment="1">
      <alignment horizontal="center" vertical="center" wrapText="1"/>
    </xf>
    <xf numFmtId="0" fontId="44" fillId="15" borderId="22" xfId="0" applyFont="1" applyFill="1" applyBorder="1" applyAlignment="1">
      <alignment horizontal="center" vertical="center" wrapText="1"/>
    </xf>
    <xf numFmtId="0" fontId="44" fillId="15" borderId="35" xfId="0" applyFont="1" applyFill="1" applyBorder="1" applyAlignment="1">
      <alignment horizontal="center" vertical="center" wrapText="1"/>
    </xf>
    <xf numFmtId="0" fontId="44" fillId="15" borderId="15" xfId="0" applyFont="1" applyFill="1" applyBorder="1" applyAlignment="1">
      <alignment horizontal="center" vertical="center" wrapText="1"/>
    </xf>
    <xf numFmtId="0" fontId="14" fillId="15" borderId="36" xfId="0" applyFont="1" applyFill="1" applyBorder="1" applyAlignment="1">
      <alignment horizontal="center" vertical="center" wrapText="1"/>
    </xf>
    <xf numFmtId="0" fontId="12" fillId="16" borderId="40" xfId="0" applyFont="1" applyFill="1" applyBorder="1" applyAlignment="1">
      <alignment horizontal="left" vertical="center" shrinkToFit="1"/>
    </xf>
    <xf numFmtId="0" fontId="40" fillId="0" borderId="7" xfId="0" applyFont="1" applyBorder="1" applyAlignment="1">
      <alignment vertical="center"/>
    </xf>
    <xf numFmtId="0" fontId="40" fillId="16" borderId="7" xfId="0" applyFont="1" applyFill="1" applyBorder="1" applyAlignment="1">
      <alignment vertical="center"/>
    </xf>
    <xf numFmtId="164" fontId="40" fillId="0" borderId="7" xfId="2" applyFont="1" applyBorder="1" applyAlignment="1">
      <alignment vertical="center"/>
    </xf>
    <xf numFmtId="0" fontId="42" fillId="15" borderId="10" xfId="0" applyFont="1" applyFill="1" applyBorder="1" applyAlignment="1">
      <alignment horizontal="left" vertical="center"/>
    </xf>
    <xf numFmtId="0" fontId="42" fillId="15" borderId="12" xfId="0" applyFont="1" applyFill="1" applyBorder="1" applyAlignment="1">
      <alignment horizontal="left" vertical="center"/>
    </xf>
    <xf numFmtId="49" fontId="42" fillId="15" borderId="12" xfId="0" applyNumberFormat="1" applyFont="1" applyFill="1" applyBorder="1" applyAlignment="1">
      <alignment horizontal="left" vertical="center"/>
    </xf>
    <xf numFmtId="44" fontId="42" fillId="15" borderId="13" xfId="0" applyNumberFormat="1" applyFont="1" applyFill="1" applyBorder="1" applyAlignment="1">
      <alignment horizontal="left" vertical="center"/>
    </xf>
    <xf numFmtId="0" fontId="40" fillId="16" borderId="1" xfId="0" applyFont="1" applyFill="1" applyBorder="1" applyAlignment="1">
      <alignment vertical="center"/>
    </xf>
    <xf numFmtId="164" fontId="40" fillId="0" borderId="1" xfId="2" applyFont="1" applyBorder="1" applyAlignment="1">
      <alignment vertical="center"/>
    </xf>
    <xf numFmtId="0" fontId="42" fillId="15" borderId="13" xfId="0" applyFont="1" applyFill="1" applyBorder="1" applyAlignment="1">
      <alignment vertical="center"/>
    </xf>
    <xf numFmtId="0" fontId="42" fillId="15" borderId="10" xfId="0" applyFont="1" applyFill="1" applyBorder="1" applyAlignment="1">
      <alignment vertical="center"/>
    </xf>
    <xf numFmtId="169" fontId="42" fillId="15" borderId="19" xfId="2" applyNumberFormat="1" applyFont="1" applyFill="1" applyBorder="1" applyAlignment="1">
      <alignment vertical="center"/>
    </xf>
    <xf numFmtId="169" fontId="42" fillId="15" borderId="17" xfId="2" applyNumberFormat="1" applyFont="1" applyFill="1" applyBorder="1" applyAlignment="1">
      <alignment vertical="center"/>
    </xf>
    <xf numFmtId="49" fontId="45" fillId="15" borderId="18" xfId="0" applyNumberFormat="1" applyFont="1" applyFill="1" applyBorder="1" applyAlignment="1">
      <alignment horizontal="center" vertical="center"/>
    </xf>
    <xf numFmtId="0" fontId="43" fillId="16" borderId="1" xfId="0" applyFont="1" applyFill="1" applyBorder="1" applyAlignment="1" applyProtection="1">
      <alignment vertical="center" wrapText="1"/>
      <protection locked="0"/>
    </xf>
    <xf numFmtId="164" fontId="43" fillId="14" borderId="1" xfId="2" applyFont="1" applyFill="1" applyBorder="1" applyAlignment="1" applyProtection="1">
      <alignment vertical="center" wrapText="1"/>
      <protection locked="0"/>
    </xf>
    <xf numFmtId="0" fontId="44" fillId="15" borderId="23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 wrapText="1"/>
    </xf>
    <xf numFmtId="164" fontId="14" fillId="15" borderId="36" xfId="2" applyFont="1" applyFill="1" applyBorder="1" applyAlignment="1">
      <alignment horizontal="center" vertical="center" wrapText="1"/>
    </xf>
    <xf numFmtId="0" fontId="31" fillId="16" borderId="31" xfId="0" applyFont="1" applyFill="1" applyBorder="1" applyAlignment="1">
      <alignment vertical="center"/>
    </xf>
    <xf numFmtId="164" fontId="31" fillId="16" borderId="31" xfId="2" applyFont="1" applyFill="1" applyBorder="1" applyAlignment="1">
      <alignment vertical="center"/>
    </xf>
    <xf numFmtId="0" fontId="21" fillId="15" borderId="5" xfId="0" applyFont="1" applyFill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44" fontId="42" fillId="15" borderId="1" xfId="0" applyNumberFormat="1" applyFont="1" applyFill="1" applyBorder="1" applyAlignment="1">
      <alignment horizontal="left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2" fillId="15" borderId="1" xfId="0" applyFont="1" applyFill="1" applyBorder="1" applyAlignment="1">
      <alignment vertical="center"/>
    </xf>
    <xf numFmtId="49" fontId="45" fillId="15" borderId="19" xfId="0" applyNumberFormat="1" applyFont="1" applyFill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164" fontId="14" fillId="15" borderId="33" xfId="2" applyFont="1" applyFill="1" applyBorder="1" applyAlignment="1">
      <alignment horizontal="center" vertical="center" wrapText="1"/>
    </xf>
    <xf numFmtId="164" fontId="31" fillId="16" borderId="39" xfId="2" applyFont="1" applyFill="1" applyBorder="1" applyAlignment="1">
      <alignment vertical="center"/>
    </xf>
    <xf numFmtId="0" fontId="19" fillId="20" borderId="40" xfId="0" applyFont="1" applyFill="1" applyBorder="1" applyAlignment="1">
      <alignment horizontal="left" vertical="center"/>
    </xf>
    <xf numFmtId="2" fontId="19" fillId="20" borderId="40" xfId="0" applyNumberFormat="1" applyFont="1" applyFill="1" applyBorder="1" applyAlignment="1">
      <alignment horizontal="center" vertical="center"/>
    </xf>
    <xf numFmtId="4" fontId="19" fillId="20" borderId="31" xfId="0" applyNumberFormat="1" applyFont="1" applyFill="1" applyBorder="1" applyAlignment="1">
      <alignment horizontal="center" vertical="center"/>
    </xf>
    <xf numFmtId="4" fontId="12" fillId="20" borderId="31" xfId="0" applyNumberFormat="1" applyFont="1" applyFill="1" applyBorder="1" applyAlignment="1">
      <alignment horizontal="center" vertical="center"/>
    </xf>
    <xf numFmtId="164" fontId="12" fillId="20" borderId="31" xfId="2" applyFont="1" applyFill="1" applyBorder="1" applyAlignment="1">
      <alignment horizontal="center" vertical="center"/>
    </xf>
    <xf numFmtId="164" fontId="19" fillId="20" borderId="31" xfId="2" applyFont="1" applyFill="1" applyBorder="1" applyAlignment="1">
      <alignment horizontal="center" vertical="center"/>
    </xf>
    <xf numFmtId="164" fontId="19" fillId="20" borderId="39" xfId="2" applyFont="1" applyFill="1" applyBorder="1" applyAlignment="1">
      <alignment horizontal="center" vertical="center"/>
    </xf>
    <xf numFmtId="0" fontId="19" fillId="20" borderId="40" xfId="0" applyFont="1" applyFill="1" applyBorder="1" applyAlignment="1">
      <alignment horizontal="center" vertical="center"/>
    </xf>
    <xf numFmtId="0" fontId="19" fillId="20" borderId="32" xfId="0" applyFont="1" applyFill="1" applyBorder="1" applyAlignment="1">
      <alignment horizontal="justify" vertical="center"/>
    </xf>
    <xf numFmtId="0" fontId="19" fillId="20" borderId="32" xfId="0" applyFont="1" applyFill="1" applyBorder="1" applyAlignment="1">
      <alignment vertical="center" wrapText="1"/>
    </xf>
    <xf numFmtId="2" fontId="12" fillId="20" borderId="31" xfId="0" applyNumberFormat="1" applyFont="1" applyFill="1" applyBorder="1" applyAlignment="1">
      <alignment horizontal="center" vertical="center"/>
    </xf>
    <xf numFmtId="2" fontId="19" fillId="20" borderId="31" xfId="0" applyNumberFormat="1" applyFont="1" applyFill="1" applyBorder="1" applyAlignment="1">
      <alignment horizontal="center" vertical="center"/>
    </xf>
    <xf numFmtId="0" fontId="19" fillId="20" borderId="31" xfId="0" applyFont="1" applyFill="1" applyBorder="1" applyAlignment="1">
      <alignment horizontal="center" vertical="center"/>
    </xf>
    <xf numFmtId="0" fontId="12" fillId="20" borderId="31" xfId="0" applyFont="1" applyFill="1" applyBorder="1" applyAlignment="1">
      <alignment horizontal="center" vertical="center"/>
    </xf>
    <xf numFmtId="4" fontId="19" fillId="20" borderId="33" xfId="0" applyNumberFormat="1" applyFont="1" applyFill="1" applyBorder="1" applyAlignment="1">
      <alignment horizontal="center" vertical="center"/>
    </xf>
    <xf numFmtId="164" fontId="19" fillId="20" borderId="38" xfId="2" applyFont="1" applyFill="1" applyBorder="1" applyAlignment="1">
      <alignment horizontal="center" vertical="center"/>
    </xf>
    <xf numFmtId="0" fontId="31" fillId="16" borderId="7" xfId="0" applyFont="1" applyFill="1" applyBorder="1" applyAlignment="1">
      <alignment horizontal="center"/>
    </xf>
    <xf numFmtId="0" fontId="31" fillId="16" borderId="8" xfId="0" applyFont="1" applyFill="1" applyBorder="1" applyAlignment="1">
      <alignment horizontal="center"/>
    </xf>
    <xf numFmtId="169" fontId="12" fillId="16" borderId="42" xfId="2" applyNumberFormat="1" applyFont="1" applyFill="1" applyBorder="1" applyAlignment="1">
      <alignment horizontal="center" vertical="center"/>
    </xf>
    <xf numFmtId="0" fontId="31" fillId="0" borderId="15" xfId="0" applyFont="1" applyBorder="1"/>
    <xf numFmtId="4" fontId="46" fillId="0" borderId="42" xfId="0" applyNumberFormat="1" applyFont="1" applyBorder="1" applyAlignment="1">
      <alignment horizontal="center" vertical="center" wrapText="1"/>
    </xf>
    <xf numFmtId="4" fontId="46" fillId="0" borderId="42" xfId="0" applyNumberFormat="1" applyFont="1" applyBorder="1" applyAlignment="1">
      <alignment horizontal="center" vertical="center"/>
    </xf>
    <xf numFmtId="0" fontId="31" fillId="0" borderId="1" xfId="0" applyFont="1" applyFill="1" applyBorder="1"/>
    <xf numFmtId="0" fontId="47" fillId="0" borderId="1" xfId="0" applyFont="1" applyFill="1" applyBorder="1" applyAlignment="1">
      <alignment horizontal="right"/>
    </xf>
    <xf numFmtId="169" fontId="12" fillId="0" borderId="1" xfId="2" applyNumberFormat="1" applyFont="1" applyFill="1" applyBorder="1" applyAlignment="1">
      <alignment horizontal="center" vertical="center"/>
    </xf>
    <xf numFmtId="169" fontId="31" fillId="0" borderId="1" xfId="0" applyNumberFormat="1" applyFont="1" applyFill="1" applyBorder="1"/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164" fontId="8" fillId="0" borderId="7" xfId="2" applyFont="1" applyFill="1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44" fontId="10" fillId="0" borderId="13" xfId="0" applyNumberFormat="1" applyFont="1" applyFill="1" applyBorder="1" applyAlignment="1">
      <alignment horizontal="left" vertical="center"/>
    </xf>
    <xf numFmtId="44" fontId="10" fillId="0" borderId="10" xfId="0" applyNumberFormat="1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64" fontId="8" fillId="0" borderId="1" xfId="2" applyFont="1" applyFill="1" applyBorder="1" applyAlignment="1">
      <alignment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8" fontId="10" fillId="0" borderId="16" xfId="0" applyNumberFormat="1" applyFont="1" applyFill="1" applyBorder="1" applyAlignment="1">
      <alignment horizontal="center" vertical="center"/>
    </xf>
    <xf numFmtId="168" fontId="10" fillId="0" borderId="17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44" fontId="10" fillId="0" borderId="18" xfId="0" applyNumberFormat="1" applyFont="1" applyFill="1" applyBorder="1" applyAlignment="1">
      <alignment horizontal="center" vertical="center"/>
    </xf>
    <xf numFmtId="44" fontId="10" fillId="0" borderId="19" xfId="0" applyNumberFormat="1" applyFont="1" applyFill="1" applyBorder="1" applyAlignment="1">
      <alignment horizontal="center" vertical="center"/>
    </xf>
    <xf numFmtId="44" fontId="10" fillId="0" borderId="17" xfId="0" applyNumberFormat="1" applyFont="1" applyFill="1" applyBorder="1" applyAlignment="1">
      <alignment horizontal="center" vertical="center"/>
    </xf>
    <xf numFmtId="169" fontId="10" fillId="0" borderId="18" xfId="2" applyNumberFormat="1" applyFont="1" applyFill="1" applyBorder="1" applyAlignment="1">
      <alignment horizontal="center" vertical="center"/>
    </xf>
    <xf numFmtId="169" fontId="10" fillId="0" borderId="19" xfId="2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164" fontId="1" fillId="0" borderId="1" xfId="2" applyFont="1" applyFill="1" applyBorder="1" applyAlignment="1" applyProtection="1">
      <alignment vertical="center" wrapText="1"/>
      <protection locked="0"/>
    </xf>
    <xf numFmtId="0" fontId="13" fillId="0" borderId="2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165" fontId="14" fillId="0" borderId="39" xfId="1" applyFont="1" applyFill="1" applyBorder="1" applyAlignment="1" applyProtection="1">
      <alignment horizontal="center" vertical="center" wrapText="1"/>
    </xf>
    <xf numFmtId="164" fontId="15" fillId="0" borderId="36" xfId="2" applyFont="1" applyFill="1" applyBorder="1" applyAlignment="1">
      <alignment horizontal="center" vertical="center" wrapText="1"/>
    </xf>
    <xf numFmtId="164" fontId="15" fillId="0" borderId="34" xfId="2" applyFont="1" applyFill="1" applyBorder="1" applyAlignment="1">
      <alignment horizontal="center" vertical="center" wrapText="1"/>
    </xf>
    <xf numFmtId="164" fontId="15" fillId="0" borderId="33" xfId="2" applyFont="1" applyFill="1" applyBorder="1" applyAlignment="1">
      <alignment horizontal="center" vertical="center" wrapText="1"/>
    </xf>
    <xf numFmtId="164" fontId="14" fillId="0" borderId="38" xfId="2" applyFont="1" applyFill="1" applyBorder="1" applyAlignment="1" applyProtection="1">
      <alignment horizontal="center" vertical="center" wrapText="1"/>
    </xf>
    <xf numFmtId="0" fontId="16" fillId="0" borderId="40" xfId="0" applyFont="1" applyFill="1" applyBorder="1" applyAlignment="1">
      <alignment horizontal="left" vertical="center" shrinkToFit="1"/>
    </xf>
    <xf numFmtId="0" fontId="12" fillId="0" borderId="40" xfId="0" applyFont="1" applyFill="1" applyBorder="1" applyAlignment="1">
      <alignment vertical="center"/>
    </xf>
    <xf numFmtId="0" fontId="12" fillId="0" borderId="32" xfId="0" applyFont="1" applyFill="1" applyBorder="1" applyAlignment="1">
      <alignment vertical="center"/>
    </xf>
    <xf numFmtId="0" fontId="12" fillId="0" borderId="31" xfId="0" applyFont="1" applyFill="1" applyBorder="1" applyAlignment="1">
      <alignment vertical="center"/>
    </xf>
    <xf numFmtId="0" fontId="12" fillId="0" borderId="43" xfId="0" applyFont="1" applyFill="1" applyBorder="1" applyAlignment="1">
      <alignment vertical="center"/>
    </xf>
    <xf numFmtId="0" fontId="12" fillId="0" borderId="54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164" fontId="6" fillId="0" borderId="31" xfId="2" applyFont="1" applyFill="1" applyBorder="1" applyAlignment="1">
      <alignment vertical="center"/>
    </xf>
    <xf numFmtId="0" fontId="0" fillId="0" borderId="31" xfId="0" applyFill="1" applyBorder="1"/>
    <xf numFmtId="4" fontId="12" fillId="0" borderId="44" xfId="0" applyNumberFormat="1" applyFont="1" applyFill="1" applyBorder="1" applyAlignment="1">
      <alignment vertical="center"/>
    </xf>
    <xf numFmtId="0" fontId="19" fillId="0" borderId="31" xfId="0" applyFont="1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17" fillId="0" borderId="40" xfId="0" applyFont="1" applyFill="1" applyBorder="1" applyAlignment="1">
      <alignment horizontal="left" vertical="center"/>
    </xf>
    <xf numFmtId="2" fontId="17" fillId="0" borderId="40" xfId="0" applyNumberFormat="1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justify" vertical="center"/>
    </xf>
    <xf numFmtId="4" fontId="17" fillId="0" borderId="31" xfId="0" applyNumberFormat="1" applyFont="1" applyFill="1" applyBorder="1" applyAlignment="1">
      <alignment horizontal="center" vertical="center"/>
    </xf>
    <xf numFmtId="4" fontId="17" fillId="0" borderId="43" xfId="0" applyNumberFormat="1" applyFont="1" applyFill="1" applyBorder="1" applyAlignment="1">
      <alignment horizontal="center" vertical="center"/>
    </xf>
    <xf numFmtId="4" fontId="17" fillId="0" borderId="44" xfId="0" applyNumberFormat="1" applyFont="1" applyFill="1" applyBorder="1" applyAlignment="1">
      <alignment horizontal="center" vertical="center"/>
    </xf>
    <xf numFmtId="2" fontId="23" fillId="0" borderId="31" xfId="0" applyNumberFormat="1" applyFont="1" applyFill="1" applyBorder="1" applyAlignment="1">
      <alignment horizontal="center" vertical="center"/>
    </xf>
    <xf numFmtId="4" fontId="17" fillId="0" borderId="39" xfId="0" applyNumberFormat="1" applyFont="1" applyFill="1" applyBorder="1" applyAlignment="1">
      <alignment horizontal="center" vertical="center"/>
    </xf>
    <xf numFmtId="4" fontId="16" fillId="0" borderId="47" xfId="0" applyNumberFormat="1" applyFont="1" applyFill="1" applyBorder="1" applyAlignment="1">
      <alignment horizontal="center" vertical="center"/>
    </xf>
    <xf numFmtId="4" fontId="16" fillId="0" borderId="48" xfId="0" applyNumberFormat="1" applyFont="1" applyFill="1" applyBorder="1" applyAlignment="1">
      <alignment horizontal="center" vertical="center"/>
    </xf>
    <xf numFmtId="4" fontId="16" fillId="0" borderId="49" xfId="0" applyNumberFormat="1" applyFont="1" applyFill="1" applyBorder="1" applyAlignment="1">
      <alignment horizontal="center" vertical="center"/>
    </xf>
    <xf numFmtId="0" fontId="25" fillId="0" borderId="32" xfId="0" applyFont="1" applyFill="1" applyBorder="1" applyAlignment="1">
      <alignment horizontal="right" vertical="center"/>
    </xf>
    <xf numFmtId="2" fontId="23" fillId="0" borderId="43" xfId="0" applyNumberFormat="1" applyFont="1" applyFill="1" applyBorder="1" applyAlignment="1">
      <alignment horizontal="center" vertical="center"/>
    </xf>
    <xf numFmtId="4" fontId="34" fillId="0" borderId="47" xfId="0" applyNumberFormat="1" applyFont="1" applyFill="1" applyBorder="1" applyAlignment="1">
      <alignment horizontal="center" vertical="center"/>
    </xf>
    <xf numFmtId="4" fontId="34" fillId="0" borderId="48" xfId="0" applyNumberFormat="1" applyFont="1" applyFill="1" applyBorder="1" applyAlignment="1">
      <alignment horizontal="center" vertical="center"/>
    </xf>
    <xf numFmtId="4" fontId="34" fillId="0" borderId="49" xfId="0" applyNumberFormat="1" applyFont="1" applyFill="1" applyBorder="1" applyAlignment="1">
      <alignment horizontal="center" vertical="center"/>
    </xf>
    <xf numFmtId="4" fontId="17" fillId="0" borderId="47" xfId="0" applyNumberFormat="1" applyFont="1" applyFill="1" applyBorder="1" applyAlignment="1">
      <alignment horizontal="center" vertical="center"/>
    </xf>
    <xf numFmtId="4" fontId="17" fillId="0" borderId="48" xfId="0" applyNumberFormat="1" applyFont="1" applyFill="1" applyBorder="1" applyAlignment="1">
      <alignment horizontal="center" vertical="center"/>
    </xf>
    <xf numFmtId="4" fontId="17" fillId="0" borderId="49" xfId="0" applyNumberFormat="1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left" vertical="center"/>
    </xf>
    <xf numFmtId="2" fontId="16" fillId="0" borderId="40" xfId="0" applyNumberFormat="1" applyFont="1" applyFill="1" applyBorder="1" applyAlignment="1">
      <alignment horizontal="left" vertical="center"/>
    </xf>
    <xf numFmtId="2" fontId="17" fillId="0" borderId="40" xfId="0" applyNumberFormat="1" applyFont="1" applyFill="1" applyBorder="1" applyAlignment="1">
      <alignment horizontal="left" vertical="center"/>
    </xf>
    <xf numFmtId="0" fontId="16" fillId="0" borderId="32" xfId="0" applyFont="1" applyFill="1" applyBorder="1" applyAlignment="1">
      <alignment horizontal="center" vertical="center"/>
    </xf>
    <xf numFmtId="0" fontId="25" fillId="0" borderId="32" xfId="0" applyFont="1" applyFill="1" applyBorder="1" applyAlignment="1">
      <alignment horizontal="right" vertical="center" wrapText="1"/>
    </xf>
    <xf numFmtId="0" fontId="16" fillId="0" borderId="32" xfId="0" applyFont="1" applyFill="1" applyBorder="1" applyAlignment="1">
      <alignment horizontal="center" vertical="center" wrapText="1"/>
    </xf>
    <xf numFmtId="4" fontId="19" fillId="0" borderId="44" xfId="0" applyNumberFormat="1" applyFont="1" applyFill="1" applyBorder="1" applyAlignment="1">
      <alignment horizontal="center" vertical="center"/>
    </xf>
    <xf numFmtId="4" fontId="17" fillId="0" borderId="32" xfId="0" applyNumberFormat="1" applyFont="1" applyFill="1" applyBorder="1" applyAlignment="1">
      <alignment horizontal="center" vertical="center"/>
    </xf>
    <xf numFmtId="0" fontId="16" fillId="0" borderId="31" xfId="2" applyNumberFormat="1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/>
    </xf>
    <xf numFmtId="4" fontId="19" fillId="0" borderId="43" xfId="0" applyNumberFormat="1" applyFont="1" applyFill="1" applyBorder="1" applyAlignment="1">
      <alignment horizontal="center" vertical="center"/>
    </xf>
    <xf numFmtId="4" fontId="19" fillId="0" borderId="31" xfId="0" applyNumberFormat="1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right" vertical="center" wrapText="1"/>
    </xf>
    <xf numFmtId="4" fontId="19" fillId="0" borderId="38" xfId="0" applyNumberFormat="1" applyFont="1" applyFill="1" applyBorder="1" applyAlignment="1">
      <alignment horizontal="center" vertical="center"/>
    </xf>
    <xf numFmtId="4" fontId="19" fillId="0" borderId="55" xfId="0" applyNumberFormat="1" applyFont="1" applyFill="1" applyBorder="1" applyAlignment="1">
      <alignment horizontal="center" vertical="center"/>
    </xf>
    <xf numFmtId="4" fontId="19" fillId="0" borderId="56" xfId="0" applyNumberFormat="1" applyFont="1" applyFill="1" applyBorder="1" applyAlignment="1">
      <alignment horizontal="center" vertical="center"/>
    </xf>
    <xf numFmtId="4" fontId="19" fillId="0" borderId="57" xfId="0" applyNumberFormat="1" applyFont="1" applyFill="1" applyBorder="1" applyAlignment="1">
      <alignment horizontal="center" vertical="center"/>
    </xf>
    <xf numFmtId="4" fontId="19" fillId="0" borderId="45" xfId="0" applyNumberFormat="1" applyFont="1" applyFill="1" applyBorder="1" applyAlignment="1">
      <alignment horizontal="center" vertical="center"/>
    </xf>
    <xf numFmtId="4" fontId="19" fillId="0" borderId="9" xfId="0" applyNumberFormat="1" applyFont="1" applyFill="1" applyBorder="1" applyAlignment="1">
      <alignment horizontal="center" vertical="center"/>
    </xf>
    <xf numFmtId="4" fontId="19" fillId="0" borderId="10" xfId="0" applyNumberFormat="1" applyFont="1" applyFill="1" applyBorder="1" applyAlignment="1">
      <alignment horizontal="center" vertical="center"/>
    </xf>
    <xf numFmtId="4" fontId="19" fillId="0" borderId="53" xfId="0" applyNumberFormat="1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justify" vertical="center"/>
    </xf>
    <xf numFmtId="4" fontId="34" fillId="0" borderId="47" xfId="0" applyNumberFormat="1" applyFont="1" applyFill="1" applyBorder="1" applyAlignment="1">
      <alignment horizontal="center" vertical="center" wrapText="1"/>
    </xf>
    <xf numFmtId="4" fontId="34" fillId="0" borderId="48" xfId="0" applyNumberFormat="1" applyFont="1" applyFill="1" applyBorder="1" applyAlignment="1">
      <alignment horizontal="center" vertical="center" wrapText="1"/>
    </xf>
    <xf numFmtId="4" fontId="34" fillId="0" borderId="49" xfId="0" applyNumberFormat="1" applyFont="1" applyFill="1" applyBorder="1" applyAlignment="1">
      <alignment horizontal="center" vertical="center" wrapText="1"/>
    </xf>
    <xf numFmtId="4" fontId="17" fillId="0" borderId="32" xfId="0" applyNumberFormat="1" applyFont="1" applyFill="1" applyBorder="1" applyAlignment="1">
      <alignment horizontal="center" vertical="center"/>
    </xf>
    <xf numFmtId="4" fontId="16" fillId="0" borderId="47" xfId="0" applyNumberFormat="1" applyFont="1" applyFill="1" applyBorder="1" applyAlignment="1">
      <alignment horizontal="center" vertical="center" wrapText="1"/>
    </xf>
    <xf numFmtId="4" fontId="16" fillId="0" borderId="48" xfId="0" applyNumberFormat="1" applyFont="1" applyFill="1" applyBorder="1" applyAlignment="1">
      <alignment horizontal="center" vertical="center" wrapText="1"/>
    </xf>
    <xf numFmtId="4" fontId="16" fillId="0" borderId="49" xfId="0" applyNumberFormat="1" applyFont="1" applyFill="1" applyBorder="1" applyAlignment="1">
      <alignment horizontal="center" vertical="center" wrapText="1"/>
    </xf>
    <xf numFmtId="4" fontId="17" fillId="0" borderId="44" xfId="0" applyNumberFormat="1" applyFont="1" applyFill="1" applyBorder="1" applyAlignment="1">
      <alignment horizontal="center" vertical="center" wrapText="1"/>
    </xf>
    <xf numFmtId="4" fontId="17" fillId="0" borderId="39" xfId="0" applyNumberFormat="1" applyFont="1" applyFill="1" applyBorder="1" applyAlignment="1">
      <alignment horizontal="center" vertical="center" wrapText="1"/>
    </xf>
    <xf numFmtId="170" fontId="17" fillId="0" borderId="44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left" vertical="center" wrapText="1"/>
    </xf>
    <xf numFmtId="0" fontId="23" fillId="0" borderId="31" xfId="0" applyFont="1" applyFill="1" applyBorder="1"/>
    <xf numFmtId="0" fontId="23" fillId="0" borderId="39" xfId="0" applyFont="1" applyFill="1" applyBorder="1" applyAlignment="1">
      <alignment horizontal="center"/>
    </xf>
    <xf numFmtId="0" fontId="23" fillId="0" borderId="32" xfId="0" applyFont="1" applyFill="1" applyBorder="1" applyAlignment="1">
      <alignment horizontal="center" wrapText="1"/>
    </xf>
    <xf numFmtId="0" fontId="23" fillId="0" borderId="31" xfId="0" applyFont="1" applyFill="1" applyBorder="1" applyAlignment="1">
      <alignment horizontal="center" wrapText="1"/>
    </xf>
    <xf numFmtId="0" fontId="23" fillId="0" borderId="39" xfId="0" applyFont="1" applyFill="1" applyBorder="1" applyAlignment="1">
      <alignment horizontal="center" wrapText="1"/>
    </xf>
    <xf numFmtId="2" fontId="24" fillId="0" borderId="31" xfId="0" applyNumberFormat="1" applyFont="1" applyFill="1" applyBorder="1" applyAlignment="1">
      <alignment horizontal="left" vertical="center" wrapText="1"/>
    </xf>
    <xf numFmtId="2" fontId="23" fillId="0" borderId="39" xfId="0" applyNumberFormat="1" applyFont="1" applyFill="1" applyBorder="1" applyAlignment="1">
      <alignment horizontal="center" vertical="center"/>
    </xf>
    <xf numFmtId="2" fontId="23" fillId="0" borderId="32" xfId="0" applyNumberFormat="1" applyFont="1" applyFill="1" applyBorder="1" applyAlignment="1">
      <alignment horizontal="center" vertical="center"/>
    </xf>
    <xf numFmtId="2" fontId="23" fillId="0" borderId="32" xfId="0" applyNumberFormat="1" applyFont="1" applyFill="1" applyBorder="1" applyAlignment="1">
      <alignment horizontal="center" vertical="center" wrapText="1"/>
    </xf>
    <xf numFmtId="2" fontId="23" fillId="0" borderId="31" xfId="0" applyNumberFormat="1" applyFont="1" applyFill="1" applyBorder="1" applyAlignment="1">
      <alignment horizontal="center" vertical="center" wrapText="1"/>
    </xf>
    <xf numFmtId="2" fontId="24" fillId="0" borderId="32" xfId="0" applyNumberFormat="1" applyFont="1" applyFill="1" applyBorder="1" applyAlignment="1">
      <alignment horizontal="left" vertical="center" wrapText="1"/>
    </xf>
    <xf numFmtId="171" fontId="17" fillId="0" borderId="39" xfId="0" applyNumberFormat="1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vertical="center" wrapText="1"/>
    </xf>
    <xf numFmtId="4" fontId="17" fillId="0" borderId="47" xfId="0" applyNumberFormat="1" applyFont="1" applyFill="1" applyBorder="1" applyAlignment="1">
      <alignment horizontal="center" vertical="center" wrapText="1"/>
    </xf>
    <xf numFmtId="4" fontId="17" fillId="0" borderId="48" xfId="0" applyNumberFormat="1" applyFont="1" applyFill="1" applyBorder="1" applyAlignment="1">
      <alignment horizontal="center" vertical="center" wrapText="1"/>
    </xf>
    <xf numFmtId="4" fontId="17" fillId="0" borderId="49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4" fontId="17" fillId="0" borderId="32" xfId="0" applyNumberFormat="1" applyFont="1" applyFill="1" applyBorder="1" applyAlignment="1">
      <alignment horizontal="center" vertical="center" wrapText="1"/>
    </xf>
    <xf numFmtId="170" fontId="17" fillId="0" borderId="39" xfId="0" applyNumberFormat="1" applyFont="1" applyFill="1" applyBorder="1" applyAlignment="1">
      <alignment horizontal="center" vertical="center"/>
    </xf>
    <xf numFmtId="2" fontId="16" fillId="0" borderId="32" xfId="2" applyNumberFormat="1" applyFont="1" applyFill="1" applyBorder="1" applyAlignment="1">
      <alignment horizontal="center" vertical="center"/>
    </xf>
    <xf numFmtId="2" fontId="17" fillId="0" borderId="32" xfId="2" applyNumberFormat="1" applyFont="1" applyFill="1" applyBorder="1" applyAlignment="1">
      <alignment horizontal="center" vertical="center"/>
    </xf>
    <xf numFmtId="4" fontId="17" fillId="0" borderId="48" xfId="0" applyNumberFormat="1" applyFont="1" applyFill="1" applyBorder="1" applyAlignment="1">
      <alignment horizontal="center" vertical="center"/>
    </xf>
    <xf numFmtId="4" fontId="17" fillId="0" borderId="48" xfId="0" applyNumberFormat="1" applyFont="1" applyFill="1" applyBorder="1" applyAlignment="1">
      <alignment horizontal="center" vertical="center" wrapText="1"/>
    </xf>
    <xf numFmtId="170" fontId="17" fillId="0" borderId="49" xfId="0" applyNumberFormat="1" applyFont="1" applyFill="1" applyBorder="1" applyAlignment="1">
      <alignment horizontal="center" vertical="center"/>
    </xf>
    <xf numFmtId="4" fontId="17" fillId="0" borderId="47" xfId="0" applyNumberFormat="1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4" fontId="17" fillId="0" borderId="32" xfId="0" applyNumberFormat="1" applyFont="1" applyFill="1" applyBorder="1" applyAlignment="1">
      <alignment horizontal="center" vertical="center" wrapText="1"/>
    </xf>
    <xf numFmtId="4" fontId="33" fillId="0" borderId="47" xfId="0" applyNumberFormat="1" applyFont="1" applyFill="1" applyBorder="1" applyAlignment="1">
      <alignment horizontal="center" vertical="center" wrapText="1"/>
    </xf>
    <xf numFmtId="4" fontId="33" fillId="0" borderId="48" xfId="0" applyNumberFormat="1" applyFont="1" applyFill="1" applyBorder="1" applyAlignment="1">
      <alignment horizontal="center" vertical="center" wrapText="1"/>
    </xf>
    <xf numFmtId="4" fontId="33" fillId="0" borderId="49" xfId="0" applyNumberFormat="1" applyFont="1" applyFill="1" applyBorder="1" applyAlignment="1">
      <alignment horizontal="center" vertical="center" wrapText="1"/>
    </xf>
    <xf numFmtId="4" fontId="17" fillId="0" borderId="49" xfId="0" applyNumberFormat="1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right" vertical="center" wrapText="1"/>
    </xf>
    <xf numFmtId="4" fontId="17" fillId="0" borderId="31" xfId="0" applyNumberFormat="1" applyFont="1" applyFill="1" applyBorder="1" applyAlignment="1">
      <alignment horizontal="center" vertical="center" wrapText="1"/>
    </xf>
    <xf numFmtId="4" fontId="17" fillId="0" borderId="43" xfId="0" applyNumberFormat="1" applyFont="1" applyFill="1" applyBorder="1" applyAlignment="1">
      <alignment horizontal="center" vertical="center" wrapText="1"/>
    </xf>
    <xf numFmtId="2" fontId="17" fillId="0" borderId="44" xfId="2" applyNumberFormat="1" applyFont="1" applyFill="1" applyBorder="1" applyAlignment="1">
      <alignment horizontal="center" vertical="center"/>
    </xf>
    <xf numFmtId="0" fontId="25" fillId="0" borderId="32" xfId="0" applyFont="1" applyFill="1" applyBorder="1" applyAlignment="1">
      <alignment horizontal="center" vertical="center"/>
    </xf>
    <xf numFmtId="0" fontId="25" fillId="0" borderId="32" xfId="0" applyFont="1" applyFill="1" applyBorder="1" applyAlignment="1">
      <alignment horizontal="justify" vertical="center"/>
    </xf>
    <xf numFmtId="0" fontId="17" fillId="0" borderId="40" xfId="0" applyFont="1" applyFill="1" applyBorder="1" applyAlignment="1">
      <alignment vertical="center"/>
    </xf>
    <xf numFmtId="0" fontId="17" fillId="0" borderId="43" xfId="0" applyFont="1" applyFill="1" applyBorder="1" applyAlignment="1">
      <alignment horizontal="center" vertical="center"/>
    </xf>
    <xf numFmtId="4" fontId="17" fillId="0" borderId="43" xfId="0" applyNumberFormat="1" applyFont="1" applyFill="1" applyBorder="1" applyAlignment="1">
      <alignment horizontal="center" vertical="center" wrapText="1"/>
    </xf>
    <xf numFmtId="170" fontId="17" fillId="0" borderId="43" xfId="0" applyNumberFormat="1" applyFont="1" applyFill="1" applyBorder="1" applyAlignment="1">
      <alignment horizontal="center" vertical="center"/>
    </xf>
    <xf numFmtId="170" fontId="17" fillId="0" borderId="49" xfId="0" applyNumberFormat="1" applyFont="1" applyFill="1" applyBorder="1" applyAlignment="1">
      <alignment horizontal="center" vertical="center"/>
    </xf>
    <xf numFmtId="170" fontId="17" fillId="0" borderId="48" xfId="0" applyNumberFormat="1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/>
    </xf>
    <xf numFmtId="4" fontId="17" fillId="0" borderId="49" xfId="0" applyNumberFormat="1" applyFont="1" applyFill="1" applyBorder="1" applyAlignment="1">
      <alignment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4" fontId="23" fillId="0" borderId="47" xfId="0" applyNumberFormat="1" applyFont="1" applyFill="1" applyBorder="1" applyAlignment="1">
      <alignment horizontal="center"/>
    </xf>
    <xf numFmtId="0" fontId="23" fillId="0" borderId="48" xfId="0" applyFont="1" applyFill="1" applyBorder="1" applyAlignment="1">
      <alignment horizontal="center"/>
    </xf>
    <xf numFmtId="0" fontId="23" fillId="0" borderId="49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 vertical="center" wrapText="1"/>
    </xf>
    <xf numFmtId="4" fontId="23" fillId="0" borderId="47" xfId="0" applyNumberFormat="1" applyFont="1" applyFill="1" applyBorder="1" applyAlignment="1">
      <alignment horizontal="center" wrapText="1"/>
    </xf>
    <xf numFmtId="4" fontId="23" fillId="0" borderId="43" xfId="0" applyNumberFormat="1" applyFont="1" applyFill="1" applyBorder="1" applyAlignment="1">
      <alignment horizontal="center" wrapText="1"/>
    </xf>
    <xf numFmtId="0" fontId="23" fillId="0" borderId="49" xfId="0" applyFont="1" applyFill="1" applyBorder="1"/>
    <xf numFmtId="0" fontId="24" fillId="0" borderId="2" xfId="0" applyFont="1" applyFill="1" applyBorder="1" applyAlignment="1">
      <alignment horizontal="left" vertical="top" wrapText="1" indent="6"/>
    </xf>
    <xf numFmtId="4" fontId="17" fillId="0" borderId="65" xfId="0" applyNumberFormat="1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/>
    </xf>
    <xf numFmtId="1" fontId="17" fillId="0" borderId="60" xfId="0" applyNumberFormat="1" applyFont="1" applyFill="1" applyBorder="1" applyAlignment="1">
      <alignment horizontal="center" vertical="top" shrinkToFit="1"/>
    </xf>
    <xf numFmtId="172" fontId="17" fillId="0" borderId="58" xfId="0" applyNumberFormat="1" applyFont="1" applyFill="1" applyBorder="1" applyAlignment="1">
      <alignment horizontal="center" vertical="top" shrinkToFit="1"/>
    </xf>
    <xf numFmtId="0" fontId="17" fillId="0" borderId="11" xfId="0" applyFont="1" applyFill="1" applyBorder="1" applyAlignment="1">
      <alignment vertical="center" wrapText="1"/>
    </xf>
    <xf numFmtId="4" fontId="17" fillId="0" borderId="61" xfId="0" applyNumberFormat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4" fontId="17" fillId="0" borderId="47" xfId="0" applyNumberFormat="1" applyFont="1" applyFill="1" applyBorder="1" applyAlignment="1">
      <alignment horizontal="center" vertical="center" wrapText="1"/>
    </xf>
    <xf numFmtId="4" fontId="17" fillId="0" borderId="49" xfId="0" applyNumberFormat="1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left" vertical="center"/>
    </xf>
    <xf numFmtId="2" fontId="12" fillId="0" borderId="40" xfId="0" applyNumberFormat="1" applyFont="1" applyFill="1" applyBorder="1" applyAlignment="1">
      <alignment horizontal="left" vertical="center"/>
    </xf>
    <xf numFmtId="4" fontId="19" fillId="0" borderId="39" xfId="0" applyNumberFormat="1" applyFont="1" applyFill="1" applyBorder="1" applyAlignment="1">
      <alignment horizontal="center" vertical="center"/>
    </xf>
    <xf numFmtId="4" fontId="19" fillId="0" borderId="32" xfId="0" applyNumberFormat="1" applyFont="1" applyFill="1" applyBorder="1" applyAlignment="1">
      <alignment horizontal="center" vertical="center"/>
    </xf>
    <xf numFmtId="4" fontId="12" fillId="0" borderId="47" xfId="0" applyNumberFormat="1" applyFont="1" applyFill="1" applyBorder="1" applyAlignment="1">
      <alignment horizontal="center" vertical="center" wrapText="1"/>
    </xf>
    <xf numFmtId="4" fontId="12" fillId="0" borderId="48" xfId="0" applyNumberFormat="1" applyFont="1" applyFill="1" applyBorder="1" applyAlignment="1">
      <alignment horizontal="center" vertical="center" wrapText="1"/>
    </xf>
    <xf numFmtId="4" fontId="12" fillId="0" borderId="49" xfId="0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2" fontId="17" fillId="0" borderId="40" xfId="0" applyNumberFormat="1" applyFont="1" applyFill="1" applyBorder="1" applyAlignment="1">
      <alignment vertical="center"/>
    </xf>
    <xf numFmtId="0" fontId="17" fillId="0" borderId="39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left" vertical="center"/>
    </xf>
    <xf numFmtId="2" fontId="19" fillId="0" borderId="40" xfId="0" applyNumberFormat="1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2" fontId="19" fillId="0" borderId="31" xfId="0" applyNumberFormat="1" applyFont="1" applyFill="1" applyBorder="1" applyAlignment="1">
      <alignment horizontal="center" vertical="center"/>
    </xf>
    <xf numFmtId="2" fontId="19" fillId="0" borderId="39" xfId="0" applyNumberFormat="1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vertical="center"/>
    </xf>
    <xf numFmtId="0" fontId="19" fillId="0" borderId="32" xfId="0" applyFont="1" applyFill="1" applyBorder="1" applyAlignment="1">
      <alignment vertical="center" wrapText="1"/>
    </xf>
    <xf numFmtId="4" fontId="19" fillId="0" borderId="47" xfId="0" applyNumberFormat="1" applyFont="1" applyFill="1" applyBorder="1" applyAlignment="1">
      <alignment horizontal="center" vertical="center"/>
    </xf>
    <xf numFmtId="4" fontId="19" fillId="0" borderId="48" xfId="0" applyNumberFormat="1" applyFont="1" applyFill="1" applyBorder="1" applyAlignment="1">
      <alignment horizontal="center" vertical="center"/>
    </xf>
    <xf numFmtId="4" fontId="19" fillId="0" borderId="49" xfId="0" applyNumberFormat="1" applyFont="1" applyFill="1" applyBorder="1" applyAlignment="1">
      <alignment horizontal="center" vertical="center"/>
    </xf>
    <xf numFmtId="4" fontId="19" fillId="0" borderId="48" xfId="0" applyNumberFormat="1" applyFont="1" applyFill="1" applyBorder="1" applyAlignment="1">
      <alignment horizontal="center" vertical="center"/>
    </xf>
    <xf numFmtId="2" fontId="12" fillId="0" borderId="40" xfId="0" applyNumberFormat="1" applyFont="1" applyFill="1" applyBorder="1" applyAlignment="1">
      <alignment horizontal="center" vertical="center"/>
    </xf>
    <xf numFmtId="2" fontId="19" fillId="0" borderId="32" xfId="0" applyNumberFormat="1" applyFont="1" applyFill="1" applyBorder="1" applyAlignment="1">
      <alignment horizontal="center" vertical="center" wrapText="1"/>
    </xf>
    <xf numFmtId="4" fontId="19" fillId="0" borderId="49" xfId="0" applyNumberFormat="1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4" fontId="12" fillId="0" borderId="47" xfId="0" applyNumberFormat="1" applyFont="1" applyFill="1" applyBorder="1" applyAlignment="1">
      <alignment horizontal="center" vertical="center"/>
    </xf>
    <xf numFmtId="4" fontId="12" fillId="0" borderId="48" xfId="0" applyNumberFormat="1" applyFont="1" applyFill="1" applyBorder="1" applyAlignment="1">
      <alignment horizontal="center" vertical="center"/>
    </xf>
    <xf numFmtId="4" fontId="12" fillId="0" borderId="49" xfId="0" applyNumberFormat="1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right" vertical="center"/>
    </xf>
    <xf numFmtId="0" fontId="19" fillId="0" borderId="40" xfId="0" applyFont="1" applyFill="1" applyBorder="1" applyAlignment="1">
      <alignment horizontal="center" vertical="top"/>
    </xf>
    <xf numFmtId="0" fontId="12" fillId="0" borderId="34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/>
    </xf>
    <xf numFmtId="4" fontId="19" fillId="0" borderId="37" xfId="0" applyNumberFormat="1" applyFont="1" applyFill="1" applyBorder="1" applyAlignment="1">
      <alignment horizontal="center" vertical="center"/>
    </xf>
    <xf numFmtId="4" fontId="12" fillId="0" borderId="55" xfId="0" applyNumberFormat="1" applyFont="1" applyFill="1" applyBorder="1" applyAlignment="1">
      <alignment horizontal="center" vertical="center"/>
    </xf>
    <xf numFmtId="4" fontId="12" fillId="0" borderId="56" xfId="0" applyNumberFormat="1" applyFont="1" applyFill="1" applyBorder="1" applyAlignment="1">
      <alignment horizontal="center" vertical="center"/>
    </xf>
    <xf numFmtId="4" fontId="12" fillId="0" borderId="53" xfId="0" applyNumberFormat="1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4" fontId="19" fillId="0" borderId="36" xfId="0" applyNumberFormat="1" applyFont="1" applyFill="1" applyBorder="1" applyAlignment="1">
      <alignment horizontal="center" vertical="center"/>
    </xf>
    <xf numFmtId="4" fontId="19" fillId="0" borderId="34" xfId="0" applyNumberFormat="1" applyFont="1" applyFill="1" applyBorder="1" applyAlignment="1">
      <alignment horizontal="center" vertical="center"/>
    </xf>
    <xf numFmtId="4" fontId="17" fillId="0" borderId="53" xfId="0" applyNumberFormat="1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left" vertical="center"/>
    </xf>
    <xf numFmtId="0" fontId="19" fillId="0" borderId="50" xfId="0" applyFont="1" applyFill="1" applyBorder="1" applyAlignment="1">
      <alignment horizontal="center" vertical="top"/>
    </xf>
    <xf numFmtId="2" fontId="19" fillId="0" borderId="44" xfId="0" applyNumberFormat="1" applyFont="1" applyFill="1" applyBorder="1" applyAlignment="1">
      <alignment horizontal="center" vertical="center"/>
    </xf>
    <xf numFmtId="2" fontId="19" fillId="0" borderId="32" xfId="0" applyNumberFormat="1" applyFont="1" applyFill="1" applyBorder="1" applyAlignment="1">
      <alignment horizontal="center" vertical="center"/>
    </xf>
    <xf numFmtId="4" fontId="23" fillId="0" borderId="39" xfId="0" applyNumberFormat="1" applyFont="1" applyFill="1" applyBorder="1" applyAlignment="1">
      <alignment horizontal="center" vertical="center"/>
    </xf>
    <xf numFmtId="0" fontId="24" fillId="0" borderId="44" xfId="0" applyFont="1" applyFill="1" applyBorder="1" applyAlignment="1">
      <alignment horizontal="right" vertical="center" wrapText="1"/>
    </xf>
    <xf numFmtId="0" fontId="19" fillId="0" borderId="49" xfId="0" applyFont="1" applyFill="1" applyBorder="1" applyAlignment="1">
      <alignment vertical="center"/>
    </xf>
    <xf numFmtId="0" fontId="12" fillId="0" borderId="32" xfId="0" applyFont="1" applyFill="1" applyBorder="1" applyAlignment="1">
      <alignment horizontal="center" vertical="center" wrapText="1"/>
    </xf>
    <xf numFmtId="4" fontId="19" fillId="0" borderId="32" xfId="0" applyNumberFormat="1" applyFont="1" applyFill="1" applyBorder="1" applyAlignment="1">
      <alignment horizontal="center" vertical="center"/>
    </xf>
    <xf numFmtId="4" fontId="19" fillId="0" borderId="47" xfId="0" applyNumberFormat="1" applyFont="1" applyFill="1" applyBorder="1" applyAlignment="1">
      <alignment horizontal="center" vertical="center" wrapText="1"/>
    </xf>
    <xf numFmtId="4" fontId="19" fillId="0" borderId="32" xfId="0" applyNumberFormat="1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justify" vertical="center"/>
    </xf>
    <xf numFmtId="0" fontId="19" fillId="0" borderId="32" xfId="0" applyFont="1" applyFill="1" applyBorder="1" applyAlignment="1">
      <alignment horizontal="left" vertical="center" wrapText="1"/>
    </xf>
    <xf numFmtId="4" fontId="19" fillId="0" borderId="47" xfId="0" applyNumberFormat="1" applyFont="1" applyFill="1" applyBorder="1" applyAlignment="1">
      <alignment horizontal="center" vertical="center" wrapText="1"/>
    </xf>
    <xf numFmtId="4" fontId="19" fillId="0" borderId="48" xfId="0" applyNumberFormat="1" applyFont="1" applyFill="1" applyBorder="1" applyAlignment="1">
      <alignment horizontal="center" vertical="center" wrapText="1"/>
    </xf>
    <xf numFmtId="4" fontId="19" fillId="0" borderId="49" xfId="0" applyNumberFormat="1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4" fontId="19" fillId="0" borderId="45" xfId="0" applyNumberFormat="1" applyFont="1" applyFill="1" applyBorder="1" applyAlignment="1">
      <alignment horizontal="center" vertical="center"/>
    </xf>
    <xf numFmtId="4" fontId="19" fillId="0" borderId="11" xfId="0" applyNumberFormat="1" applyFont="1" applyFill="1" applyBorder="1" applyAlignment="1">
      <alignment horizontal="center" vertical="center"/>
    </xf>
    <xf numFmtId="4" fontId="19" fillId="0" borderId="12" xfId="0" applyNumberFormat="1" applyFont="1" applyFill="1" applyBorder="1" applyAlignment="1">
      <alignment horizontal="center" vertical="center"/>
    </xf>
    <xf numFmtId="4" fontId="17" fillId="0" borderId="45" xfId="0" applyNumberFormat="1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left" vertical="center"/>
    </xf>
    <xf numFmtId="2" fontId="12" fillId="0" borderId="31" xfId="2" applyNumberFormat="1" applyFont="1" applyFill="1" applyBorder="1" applyAlignment="1">
      <alignment horizontal="center" vertical="center"/>
    </xf>
    <xf numFmtId="0" fontId="24" fillId="0" borderId="32" xfId="0" applyFont="1" applyFill="1" applyBorder="1" applyAlignment="1">
      <alignment horizontal="justify" vertical="center"/>
    </xf>
    <xf numFmtId="4" fontId="19" fillId="0" borderId="39" xfId="0" applyNumberFormat="1" applyFont="1" applyFill="1" applyBorder="1" applyAlignment="1">
      <alignment horizontal="right" vertical="center"/>
    </xf>
    <xf numFmtId="2" fontId="19" fillId="0" borderId="31" xfId="2" applyNumberFormat="1" applyFont="1" applyFill="1" applyBorder="1" applyAlignment="1">
      <alignment horizontal="center" vertical="center"/>
    </xf>
    <xf numFmtId="2" fontId="12" fillId="0" borderId="31" xfId="2" applyNumberFormat="1" applyFont="1" applyFill="1" applyBorder="1" applyAlignment="1">
      <alignment horizontal="right" vertical="center"/>
    </xf>
    <xf numFmtId="2" fontId="18" fillId="0" borderId="46" xfId="0" applyNumberFormat="1" applyFont="1" applyFill="1" applyBorder="1" applyAlignment="1">
      <alignment horizontal="left" vertical="center"/>
    </xf>
    <xf numFmtId="0" fontId="23" fillId="0" borderId="40" xfId="0" applyFont="1" applyFill="1" applyBorder="1" applyAlignment="1">
      <alignment horizontal="left" vertical="center"/>
    </xf>
    <xf numFmtId="2" fontId="23" fillId="0" borderId="40" xfId="0" applyNumberFormat="1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justify" vertical="center"/>
    </xf>
    <xf numFmtId="0" fontId="23" fillId="0" borderId="31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justify" vertical="center"/>
    </xf>
    <xf numFmtId="0" fontId="19" fillId="0" borderId="32" xfId="0" applyFont="1" applyFill="1" applyBorder="1" applyAlignment="1">
      <alignment horizontal="center" vertical="center" wrapText="1"/>
    </xf>
    <xf numFmtId="2" fontId="23" fillId="0" borderId="48" xfId="0" applyNumberFormat="1" applyFont="1" applyFill="1" applyBorder="1" applyAlignment="1">
      <alignment horizontal="center" vertical="center"/>
    </xf>
    <xf numFmtId="2" fontId="23" fillId="0" borderId="49" xfId="0" applyNumberFormat="1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4" fontId="12" fillId="0" borderId="43" xfId="0" applyNumberFormat="1" applyFont="1" applyFill="1" applyBorder="1" applyAlignment="1">
      <alignment horizontal="center" vertical="center" wrapText="1"/>
    </xf>
    <xf numFmtId="4" fontId="12" fillId="0" borderId="39" xfId="0" applyNumberFormat="1" applyFont="1" applyFill="1" applyBorder="1" applyAlignment="1">
      <alignment horizontal="center" vertical="center" wrapText="1"/>
    </xf>
  </cellXfs>
  <cellStyles count="4">
    <cellStyle name="Moeda" xfId="2" builtinId="4"/>
    <cellStyle name="Normal" xfId="0" builtinId="0"/>
    <cellStyle name="Normal 4" xfId="3" xr:uid="{53DB5324-CF09-4584-AA29-98E97336265D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eg"/><Relationship Id="rId3" Type="http://schemas.openxmlformats.org/officeDocument/2006/relationships/image" Target="../media/image95.jpeg"/><Relationship Id="rId7" Type="http://schemas.openxmlformats.org/officeDocument/2006/relationships/image" Target="../media/image99.jpeg"/><Relationship Id="rId2" Type="http://schemas.openxmlformats.org/officeDocument/2006/relationships/image" Target="../media/image94.jpeg"/><Relationship Id="rId1" Type="http://schemas.openxmlformats.org/officeDocument/2006/relationships/image" Target="../media/image3.jpeg"/><Relationship Id="rId6" Type="http://schemas.openxmlformats.org/officeDocument/2006/relationships/image" Target="../media/image98.jpeg"/><Relationship Id="rId5" Type="http://schemas.openxmlformats.org/officeDocument/2006/relationships/image" Target="../media/image97.jpeg"/><Relationship Id="rId4" Type="http://schemas.openxmlformats.org/officeDocument/2006/relationships/image" Target="../media/image96.jpe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7.jpg"/><Relationship Id="rId13" Type="http://schemas.openxmlformats.org/officeDocument/2006/relationships/image" Target="../media/image112.jpg"/><Relationship Id="rId3" Type="http://schemas.openxmlformats.org/officeDocument/2006/relationships/image" Target="../media/image102.jpg"/><Relationship Id="rId7" Type="http://schemas.openxmlformats.org/officeDocument/2006/relationships/image" Target="../media/image106.jpg"/><Relationship Id="rId12" Type="http://schemas.openxmlformats.org/officeDocument/2006/relationships/image" Target="../media/image111.jpg"/><Relationship Id="rId2" Type="http://schemas.openxmlformats.org/officeDocument/2006/relationships/image" Target="../media/image101.jpg"/><Relationship Id="rId1" Type="http://schemas.openxmlformats.org/officeDocument/2006/relationships/image" Target="../media/image3.jpeg"/><Relationship Id="rId6" Type="http://schemas.openxmlformats.org/officeDocument/2006/relationships/image" Target="../media/image105.jpg"/><Relationship Id="rId11" Type="http://schemas.openxmlformats.org/officeDocument/2006/relationships/image" Target="../media/image110.jpg"/><Relationship Id="rId5" Type="http://schemas.openxmlformats.org/officeDocument/2006/relationships/image" Target="../media/image104.jpg"/><Relationship Id="rId10" Type="http://schemas.openxmlformats.org/officeDocument/2006/relationships/image" Target="../media/image109.jpg"/><Relationship Id="rId4" Type="http://schemas.openxmlformats.org/officeDocument/2006/relationships/image" Target="../media/image103.jpg"/><Relationship Id="rId9" Type="http://schemas.openxmlformats.org/officeDocument/2006/relationships/image" Target="../media/image108.jpg"/><Relationship Id="rId14" Type="http://schemas.openxmlformats.org/officeDocument/2006/relationships/image" Target="../media/image113.jp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8.jpg"/><Relationship Id="rId13" Type="http://schemas.openxmlformats.org/officeDocument/2006/relationships/image" Target="../media/image113.jpg"/><Relationship Id="rId18" Type="http://schemas.openxmlformats.org/officeDocument/2006/relationships/image" Target="../media/image118.jpg"/><Relationship Id="rId26" Type="http://schemas.openxmlformats.org/officeDocument/2006/relationships/image" Target="../media/image126.jpg"/><Relationship Id="rId3" Type="http://schemas.openxmlformats.org/officeDocument/2006/relationships/image" Target="../media/image103.jpg"/><Relationship Id="rId21" Type="http://schemas.openxmlformats.org/officeDocument/2006/relationships/image" Target="../media/image121.jpg"/><Relationship Id="rId7" Type="http://schemas.openxmlformats.org/officeDocument/2006/relationships/image" Target="../media/image107.jpg"/><Relationship Id="rId12" Type="http://schemas.openxmlformats.org/officeDocument/2006/relationships/image" Target="../media/image112.jpg"/><Relationship Id="rId17" Type="http://schemas.openxmlformats.org/officeDocument/2006/relationships/image" Target="../media/image117.jpg"/><Relationship Id="rId25" Type="http://schemas.openxmlformats.org/officeDocument/2006/relationships/image" Target="../media/image125.jpg"/><Relationship Id="rId2" Type="http://schemas.openxmlformats.org/officeDocument/2006/relationships/image" Target="../media/image102.jpg"/><Relationship Id="rId16" Type="http://schemas.openxmlformats.org/officeDocument/2006/relationships/image" Target="../media/image116.jpg"/><Relationship Id="rId20" Type="http://schemas.openxmlformats.org/officeDocument/2006/relationships/image" Target="../media/image120.jpg"/><Relationship Id="rId29" Type="http://schemas.openxmlformats.org/officeDocument/2006/relationships/image" Target="../media/image92.png"/><Relationship Id="rId1" Type="http://schemas.openxmlformats.org/officeDocument/2006/relationships/image" Target="../media/image101.jpg"/><Relationship Id="rId6" Type="http://schemas.openxmlformats.org/officeDocument/2006/relationships/image" Target="../media/image106.jpg"/><Relationship Id="rId11" Type="http://schemas.openxmlformats.org/officeDocument/2006/relationships/image" Target="../media/image111.jpg"/><Relationship Id="rId24" Type="http://schemas.openxmlformats.org/officeDocument/2006/relationships/image" Target="../media/image124.jpeg"/><Relationship Id="rId5" Type="http://schemas.openxmlformats.org/officeDocument/2006/relationships/image" Target="../media/image105.jpg"/><Relationship Id="rId15" Type="http://schemas.openxmlformats.org/officeDocument/2006/relationships/image" Target="../media/image115.jpg"/><Relationship Id="rId23" Type="http://schemas.openxmlformats.org/officeDocument/2006/relationships/image" Target="../media/image123.jpg"/><Relationship Id="rId28" Type="http://schemas.openxmlformats.org/officeDocument/2006/relationships/image" Target="../media/image128.jpeg"/><Relationship Id="rId10" Type="http://schemas.openxmlformats.org/officeDocument/2006/relationships/image" Target="../media/image110.jpg"/><Relationship Id="rId19" Type="http://schemas.openxmlformats.org/officeDocument/2006/relationships/image" Target="../media/image119.jpg"/><Relationship Id="rId4" Type="http://schemas.openxmlformats.org/officeDocument/2006/relationships/image" Target="../media/image104.jpg"/><Relationship Id="rId9" Type="http://schemas.openxmlformats.org/officeDocument/2006/relationships/image" Target="../media/image109.jpg"/><Relationship Id="rId14" Type="http://schemas.openxmlformats.org/officeDocument/2006/relationships/image" Target="../media/image114.jpg"/><Relationship Id="rId22" Type="http://schemas.openxmlformats.org/officeDocument/2006/relationships/image" Target="../media/image122.jpeg"/><Relationship Id="rId27" Type="http://schemas.openxmlformats.org/officeDocument/2006/relationships/image" Target="../media/image127.jp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5.jpeg"/><Relationship Id="rId13" Type="http://schemas.openxmlformats.org/officeDocument/2006/relationships/image" Target="../media/image140.jpeg"/><Relationship Id="rId3" Type="http://schemas.openxmlformats.org/officeDocument/2006/relationships/image" Target="../media/image130.jpeg"/><Relationship Id="rId7" Type="http://schemas.openxmlformats.org/officeDocument/2006/relationships/image" Target="../media/image134.jpeg"/><Relationship Id="rId12" Type="http://schemas.openxmlformats.org/officeDocument/2006/relationships/image" Target="../media/image139.jpeg"/><Relationship Id="rId2" Type="http://schemas.openxmlformats.org/officeDocument/2006/relationships/image" Target="../media/image129.jpeg"/><Relationship Id="rId1" Type="http://schemas.openxmlformats.org/officeDocument/2006/relationships/image" Target="../media/image3.jpeg"/><Relationship Id="rId6" Type="http://schemas.openxmlformats.org/officeDocument/2006/relationships/image" Target="../media/image133.jpeg"/><Relationship Id="rId11" Type="http://schemas.openxmlformats.org/officeDocument/2006/relationships/image" Target="../media/image138.jpeg"/><Relationship Id="rId5" Type="http://schemas.openxmlformats.org/officeDocument/2006/relationships/image" Target="../media/image132.jpeg"/><Relationship Id="rId10" Type="http://schemas.openxmlformats.org/officeDocument/2006/relationships/image" Target="../media/image137.jpeg"/><Relationship Id="rId4" Type="http://schemas.openxmlformats.org/officeDocument/2006/relationships/image" Target="../media/image131.jpeg"/><Relationship Id="rId9" Type="http://schemas.openxmlformats.org/officeDocument/2006/relationships/image" Target="../media/image136.jpeg"/><Relationship Id="rId14" Type="http://schemas.openxmlformats.org/officeDocument/2006/relationships/image" Target="../media/image141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8.jpeg"/><Relationship Id="rId3" Type="http://schemas.openxmlformats.org/officeDocument/2006/relationships/image" Target="../media/image143.jpeg"/><Relationship Id="rId7" Type="http://schemas.openxmlformats.org/officeDocument/2006/relationships/image" Target="../media/image147.jpeg"/><Relationship Id="rId12" Type="http://schemas.openxmlformats.org/officeDocument/2006/relationships/image" Target="../media/image152.jpeg"/><Relationship Id="rId2" Type="http://schemas.openxmlformats.org/officeDocument/2006/relationships/image" Target="../media/image142.jpeg"/><Relationship Id="rId1" Type="http://schemas.openxmlformats.org/officeDocument/2006/relationships/image" Target="../media/image3.jpeg"/><Relationship Id="rId6" Type="http://schemas.openxmlformats.org/officeDocument/2006/relationships/image" Target="../media/image146.jpeg"/><Relationship Id="rId11" Type="http://schemas.openxmlformats.org/officeDocument/2006/relationships/image" Target="../media/image151.jpeg"/><Relationship Id="rId5" Type="http://schemas.openxmlformats.org/officeDocument/2006/relationships/image" Target="../media/image145.jpeg"/><Relationship Id="rId10" Type="http://schemas.openxmlformats.org/officeDocument/2006/relationships/image" Target="../media/image150.jpeg"/><Relationship Id="rId4" Type="http://schemas.openxmlformats.org/officeDocument/2006/relationships/image" Target="../media/image144.jpeg"/><Relationship Id="rId9" Type="http://schemas.openxmlformats.org/officeDocument/2006/relationships/image" Target="../media/image149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</xdr:row>
      <xdr:rowOff>0</xdr:rowOff>
    </xdr:from>
    <xdr:to>
      <xdr:col>30</xdr:col>
      <xdr:colOff>0</xdr:colOff>
      <xdr:row>7</xdr:row>
      <xdr:rowOff>50800</xdr:rowOff>
    </xdr:to>
    <xdr:pic>
      <xdr:nvPicPr>
        <xdr:cNvPr id="2" name="Imagem 68">
          <a:extLst>
            <a:ext uri="{FF2B5EF4-FFF2-40B4-BE49-F238E27FC236}">
              <a16:creationId xmlns:a16="http://schemas.microsoft.com/office/drawing/2014/main" id="{1FC51974-59C5-4C18-AE58-CAA0D198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9331" y="465174"/>
          <a:ext cx="0" cy="1036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152399</xdr:colOff>
      <xdr:row>2</xdr:row>
      <xdr:rowOff>152400</xdr:rowOff>
    </xdr:from>
    <xdr:to>
      <xdr:col>31</xdr:col>
      <xdr:colOff>1018952</xdr:colOff>
      <xdr:row>7</xdr:row>
      <xdr:rowOff>203200</xdr:rowOff>
    </xdr:to>
    <xdr:pic>
      <xdr:nvPicPr>
        <xdr:cNvPr id="4" name="Imagem 68">
          <a:extLst>
            <a:ext uri="{FF2B5EF4-FFF2-40B4-BE49-F238E27FC236}">
              <a16:creationId xmlns:a16="http://schemas.microsoft.com/office/drawing/2014/main" id="{592C3B19-4E96-4D3B-9AB7-9D355AD2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1730" y="617574"/>
          <a:ext cx="2107019" cy="1036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905545</xdr:colOff>
      <xdr:row>2</xdr:row>
      <xdr:rowOff>0</xdr:rowOff>
    </xdr:from>
    <xdr:to>
      <xdr:col>13</xdr:col>
      <xdr:colOff>1086655</xdr:colOff>
      <xdr:row>7</xdr:row>
      <xdr:rowOff>52277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CF016514-566E-4F42-92BD-81707A48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5246" y="469542"/>
          <a:ext cx="1086655" cy="1031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510789-DF51-4E1C-AB86-8E0AEFC5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791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643430-DCC6-4AB1-BA28-937ABD96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34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C754A1-811E-4CC1-A235-FAA7AF1A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19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F7A285-FC0D-4587-8C41-9158DE4F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F9CA18-AAC4-A773-C726-AF3CD3F19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088" y="816113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3BA31C6-B9E2-C324-3D25-600F75742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609" y="5318350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A448AD-664D-C699-0310-4A9489BF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912" y="8074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F031A58-C4F7-2DC4-7594-781151FD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83" y="8103132"/>
          <a:ext cx="3470400" cy="25123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1177009</xdr:colOff>
      <xdr:row>41</xdr:row>
      <xdr:rowOff>16783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1885837-D2CE-B5A7-E7C5-D69388B38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8783" y="5260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22D9573E-D551-8D90-D12C-DD66E0B3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566" y="518185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31E18B86-5CBE-C0BB-C141-F9CD33AB5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262" y="2485654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8B8FD16-72B7-B136-6400-A947669B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83" y="241478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D2C3E01-23C4-63E4-59A9-73611000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043" y="517104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8B5C8529-98B4-41E1-EF50-96A4E6E96B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522" y="5210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4F0F5965-D0DA-11DD-11C1-824FDD89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8001" y="251139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FF8B64-0A77-7EFD-A7A2-BEE6F8BA5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522" y="244052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B0409B08-6DE9-6AB2-D2D1-5EAEB9D24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957" y="2480087"/>
          <a:ext cx="3470400" cy="2520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48EBD68-C6B6-45FE-9BBB-EA376869A0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0285" y="8023089"/>
          <a:ext cx="3481444" cy="2456831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3058562-E4B6-4ECA-B6C1-4F98C295FE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8059" y="5258053"/>
          <a:ext cx="3469295" cy="2451972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EEE2AC6-549A-4E2F-BC6B-E1E0FEDE3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8415" y="7941425"/>
          <a:ext cx="3480560" cy="2451972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E7867E4-19CF-4A9C-A662-94ECCBF35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992" y="7969948"/>
          <a:ext cx="3476694" cy="2444352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1148434</xdr:colOff>
      <xdr:row>41</xdr:row>
      <xdr:rowOff>16783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07E3B7B-38F2-4D8C-9815-E55FBA7B07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128" y="5200051"/>
          <a:ext cx="3475701" cy="2451972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616C9BE-0933-436F-BC79-0AEC602A2A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775" y="5121561"/>
          <a:ext cx="3476694" cy="2456831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1867F68B-F475-4D44-AA43-C0C3ED89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7712" y="2488746"/>
          <a:ext cx="3469295" cy="246147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A2CB5BD0-6410-4A29-93B1-F69D6B83C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92" y="2417875"/>
          <a:ext cx="3476694" cy="2466329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227846AA-1500-413F-B24B-D241FFECE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546" y="5110746"/>
          <a:ext cx="3480560" cy="2456831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95A7FF7-FD93-465A-A559-DDBA449EA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185" y="5150312"/>
          <a:ext cx="3484978" cy="2456831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4E003BA-4108-41EA-91CF-6563650F2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66543" y="2519122"/>
          <a:ext cx="3467528" cy="2456832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5FD266DB-1EF4-4A51-ADBB-C17001E88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5025" y="2443614"/>
          <a:ext cx="3480560" cy="246147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D59B9AB-8889-461C-9ADB-349FBF8894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1620" y="2483179"/>
          <a:ext cx="3484978" cy="2461470"/>
        </a:xfrm>
        <a:prstGeom prst="rect">
          <a:avLst/>
        </a:prstGeom>
      </xdr:spPr>
    </xdr:pic>
    <xdr:clientData/>
  </xdr:twoCellAnchor>
  <xdr:twoCellAnchor editAs="oneCell">
    <xdr:from>
      <xdr:col>14</xdr:col>
      <xdr:colOff>88347</xdr:colOff>
      <xdr:row>43</xdr:row>
      <xdr:rowOff>77305</xdr:rowOff>
    </xdr:from>
    <xdr:to>
      <xdr:col>16</xdr:col>
      <xdr:colOff>1195442</xdr:colOff>
      <xdr:row>56</xdr:row>
      <xdr:rowOff>156696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B7A876DA-3E7A-E4F2-7603-E920644A4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3477" y="8216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1408956</xdr:colOff>
      <xdr:row>43</xdr:row>
      <xdr:rowOff>50610</xdr:rowOff>
    </xdr:from>
    <xdr:to>
      <xdr:col>25</xdr:col>
      <xdr:colOff>1135617</xdr:colOff>
      <xdr:row>56</xdr:row>
      <xdr:rowOff>130001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C33DF2F-C9A2-9916-0CCE-0E619E1D0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97391" y="818965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555050</xdr:colOff>
      <xdr:row>69</xdr:row>
      <xdr:rowOff>117782</xdr:rowOff>
    </xdr:from>
    <xdr:to>
      <xdr:col>16</xdr:col>
      <xdr:colOff>1054753</xdr:colOff>
      <xdr:row>83</xdr:row>
      <xdr:rowOff>17717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B75800B7-4056-DE8A-4359-ED907279C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15" y="12652130"/>
          <a:ext cx="3467638" cy="2412326"/>
        </a:xfrm>
        <a:prstGeom prst="rect">
          <a:avLst/>
        </a:prstGeom>
      </xdr:spPr>
    </xdr:pic>
    <xdr:clientData/>
  </xdr:twoCellAnchor>
  <xdr:twoCellAnchor editAs="oneCell">
    <xdr:from>
      <xdr:col>16</xdr:col>
      <xdr:colOff>1400788</xdr:colOff>
      <xdr:row>69</xdr:row>
      <xdr:rowOff>9116</xdr:rowOff>
    </xdr:from>
    <xdr:to>
      <xdr:col>25</xdr:col>
      <xdr:colOff>1117924</xdr:colOff>
      <xdr:row>82</xdr:row>
      <xdr:rowOff>80886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B6D92235-FFA0-B4DA-70D6-4232F5A09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5788" y="12543464"/>
          <a:ext cx="3471919" cy="2404705"/>
        </a:xfrm>
        <a:prstGeom prst="rect">
          <a:avLst/>
        </a:prstGeom>
      </xdr:spPr>
    </xdr:pic>
    <xdr:clientData/>
  </xdr:twoCellAnchor>
  <xdr:twoCellAnchor editAs="oneCell">
    <xdr:from>
      <xdr:col>7</xdr:col>
      <xdr:colOff>1720057</xdr:colOff>
      <xdr:row>69</xdr:row>
      <xdr:rowOff>101332</xdr:rowOff>
    </xdr:from>
    <xdr:to>
      <xdr:col>13</xdr:col>
      <xdr:colOff>408438</xdr:colOff>
      <xdr:row>83</xdr:row>
      <xdr:rowOff>1267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51EA767D-3655-D065-E67A-4560651B5B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0818" y="12635680"/>
          <a:ext cx="3464685" cy="2412326"/>
        </a:xfrm>
        <a:prstGeom prst="rect">
          <a:avLst/>
        </a:prstGeom>
      </xdr:spPr>
    </xdr:pic>
    <xdr:clientData/>
  </xdr:twoCellAnchor>
  <xdr:twoCellAnchor editAs="oneCell">
    <xdr:from>
      <xdr:col>3</xdr:col>
      <xdr:colOff>2823411</xdr:colOff>
      <xdr:row>69</xdr:row>
      <xdr:rowOff>29220</xdr:rowOff>
    </xdr:from>
    <xdr:to>
      <xdr:col>7</xdr:col>
      <xdr:colOff>1210001</xdr:colOff>
      <xdr:row>82</xdr:row>
      <xdr:rowOff>102233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8E611D93-33B9-A33E-CFB2-14634E327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4172" y="12563568"/>
          <a:ext cx="3466590" cy="2405948"/>
        </a:xfrm>
        <a:prstGeom prst="rect">
          <a:avLst/>
        </a:prstGeom>
      </xdr:spPr>
    </xdr:pic>
    <xdr:clientData/>
  </xdr:twoCellAnchor>
  <xdr:twoCellAnchor editAs="oneCell">
    <xdr:from>
      <xdr:col>1</xdr:col>
      <xdr:colOff>252908</xdr:colOff>
      <xdr:row>69</xdr:row>
      <xdr:rowOff>19283</xdr:rowOff>
    </xdr:from>
    <xdr:to>
      <xdr:col>3</xdr:col>
      <xdr:colOff>2569457</xdr:colOff>
      <xdr:row>82</xdr:row>
      <xdr:rowOff>92296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8CA78D7-DAA9-180D-D245-55A051FA43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9" y="12553631"/>
          <a:ext cx="3489919" cy="2405948"/>
        </a:xfrm>
        <a:prstGeom prst="rect">
          <a:avLst/>
        </a:prstGeom>
      </xdr:spPr>
    </xdr:pic>
    <xdr:clientData/>
  </xdr:twoCellAnchor>
  <xdr:twoCellAnchor editAs="oneCell">
    <xdr:from>
      <xdr:col>1</xdr:col>
      <xdr:colOff>291603</xdr:colOff>
      <xdr:row>83</xdr:row>
      <xdr:rowOff>178407</xdr:rowOff>
    </xdr:from>
    <xdr:to>
      <xdr:col>3</xdr:col>
      <xdr:colOff>2608152</xdr:colOff>
      <xdr:row>97</xdr:row>
      <xdr:rowOff>78342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773A983-A7D0-2246-8B2A-D8B6AA0D9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994" y="15225146"/>
          <a:ext cx="3489919" cy="2412326"/>
        </a:xfrm>
        <a:prstGeom prst="rect">
          <a:avLst/>
        </a:prstGeom>
      </xdr:spPr>
    </xdr:pic>
    <xdr:clientData/>
  </xdr:twoCellAnchor>
  <xdr:twoCellAnchor editAs="oneCell">
    <xdr:from>
      <xdr:col>7</xdr:col>
      <xdr:colOff>1604977</xdr:colOff>
      <xdr:row>99</xdr:row>
      <xdr:rowOff>168470</xdr:rowOff>
    </xdr:from>
    <xdr:to>
      <xdr:col>13</xdr:col>
      <xdr:colOff>302690</xdr:colOff>
      <xdr:row>113</xdr:row>
      <xdr:rowOff>68404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88C92D75-876A-D23F-84A6-3D65F8D15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5738" y="18086513"/>
          <a:ext cx="3474017" cy="2412326"/>
        </a:xfrm>
        <a:prstGeom prst="rect">
          <a:avLst/>
        </a:prstGeom>
      </xdr:spPr>
    </xdr:pic>
    <xdr:clientData/>
  </xdr:twoCellAnchor>
  <xdr:twoCellAnchor editAs="oneCell">
    <xdr:from>
      <xdr:col>3</xdr:col>
      <xdr:colOff>2813247</xdr:colOff>
      <xdr:row>99</xdr:row>
      <xdr:rowOff>176811</xdr:rowOff>
    </xdr:from>
    <xdr:to>
      <xdr:col>7</xdr:col>
      <xdr:colOff>1209362</xdr:colOff>
      <xdr:row>113</xdr:row>
      <xdr:rowOff>76745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6844F62B-459F-40D0-600A-F02539469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008" y="18094854"/>
          <a:ext cx="3476115" cy="2412326"/>
        </a:xfrm>
        <a:prstGeom prst="rect">
          <a:avLst/>
        </a:prstGeom>
      </xdr:spPr>
    </xdr:pic>
    <xdr:clientData/>
  </xdr:twoCellAnchor>
  <xdr:twoCellAnchor editAs="oneCell">
    <xdr:from>
      <xdr:col>1</xdr:col>
      <xdr:colOff>301769</xdr:colOff>
      <xdr:row>99</xdr:row>
      <xdr:rowOff>170298</xdr:rowOff>
    </xdr:from>
    <xdr:to>
      <xdr:col>3</xdr:col>
      <xdr:colOff>2618318</xdr:colOff>
      <xdr:row>113</xdr:row>
      <xdr:rowOff>72137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4B883F40-7E93-C90A-57D2-45D20F03B3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160" y="18088341"/>
          <a:ext cx="3489919" cy="2414231"/>
        </a:xfrm>
        <a:prstGeom prst="rect">
          <a:avLst/>
        </a:prstGeom>
      </xdr:spPr>
    </xdr:pic>
    <xdr:clientData/>
  </xdr:twoCellAnchor>
  <xdr:twoCellAnchor editAs="oneCell">
    <xdr:from>
      <xdr:col>3</xdr:col>
      <xdr:colOff>2846299</xdr:colOff>
      <xdr:row>84</xdr:row>
      <xdr:rowOff>63534</xdr:rowOff>
    </xdr:from>
    <xdr:to>
      <xdr:col>7</xdr:col>
      <xdr:colOff>1244319</xdr:colOff>
      <xdr:row>97</xdr:row>
      <xdr:rowOff>136549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8242ED50-224B-F1F0-ABF4-4A5D91986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7060" y="15289730"/>
          <a:ext cx="3478020" cy="2405949"/>
        </a:xfrm>
        <a:prstGeom prst="rect">
          <a:avLst/>
        </a:prstGeom>
      </xdr:spPr>
    </xdr:pic>
    <xdr:clientData/>
  </xdr:twoCellAnchor>
  <xdr:twoCellAnchor editAs="oneCell">
    <xdr:from>
      <xdr:col>7</xdr:col>
      <xdr:colOff>1608630</xdr:colOff>
      <xdr:row>84</xdr:row>
      <xdr:rowOff>62349</xdr:rowOff>
    </xdr:from>
    <xdr:to>
      <xdr:col>13</xdr:col>
      <xdr:colOff>308248</xdr:colOff>
      <xdr:row>97</xdr:row>
      <xdr:rowOff>133459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368E711C-25F7-EB76-F73A-F7ABD3E27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9391" y="15288545"/>
          <a:ext cx="3475922" cy="2404044"/>
        </a:xfrm>
        <a:prstGeom prst="rect">
          <a:avLst/>
        </a:prstGeom>
      </xdr:spPr>
    </xdr:pic>
    <xdr:clientData/>
  </xdr:twoCellAnchor>
  <xdr:twoCellAnchor editAs="oneCell">
    <xdr:from>
      <xdr:col>14</xdr:col>
      <xdr:colOff>170275</xdr:colOff>
      <xdr:row>84</xdr:row>
      <xdr:rowOff>78308</xdr:rowOff>
    </xdr:from>
    <xdr:to>
      <xdr:col>16</xdr:col>
      <xdr:colOff>1277370</xdr:colOff>
      <xdr:row>97</xdr:row>
      <xdr:rowOff>141798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4E32612A-26FA-B8A8-096D-C2A0A8955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732" y="15304504"/>
          <a:ext cx="3467638" cy="2396424"/>
        </a:xfrm>
        <a:prstGeom prst="rect">
          <a:avLst/>
        </a:prstGeom>
      </xdr:spPr>
    </xdr:pic>
    <xdr:clientData/>
  </xdr:twoCellAnchor>
  <xdr:twoCellAnchor editAs="oneCell">
    <xdr:from>
      <xdr:col>16</xdr:col>
      <xdr:colOff>1496212</xdr:colOff>
      <xdr:row>84</xdr:row>
      <xdr:rowOff>27621</xdr:rowOff>
    </xdr:from>
    <xdr:to>
      <xdr:col>26</xdr:col>
      <xdr:colOff>26753</xdr:colOff>
      <xdr:row>97</xdr:row>
      <xdr:rowOff>100636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1C4CA830-6510-E6DE-6A85-158A71E56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01212" y="15253817"/>
          <a:ext cx="3472498" cy="2405949"/>
        </a:xfrm>
        <a:prstGeom prst="rect">
          <a:avLst/>
        </a:prstGeom>
      </xdr:spPr>
    </xdr:pic>
    <xdr:clientData/>
  </xdr:twoCellAnchor>
  <xdr:twoCellAnchor>
    <xdr:from>
      <xdr:col>24</xdr:col>
      <xdr:colOff>206375</xdr:colOff>
      <xdr:row>2</xdr:row>
      <xdr:rowOff>158750</xdr:rowOff>
    </xdr:from>
    <xdr:to>
      <xdr:col>25</xdr:col>
      <xdr:colOff>1075144</xdr:colOff>
      <xdr:row>7</xdr:row>
      <xdr:rowOff>211027</xdr:rowOff>
    </xdr:to>
    <xdr:pic>
      <xdr:nvPicPr>
        <xdr:cNvPr id="30" name="Imagem 68">
          <a:extLst>
            <a:ext uri="{FF2B5EF4-FFF2-40B4-BE49-F238E27FC236}">
              <a16:creationId xmlns:a16="http://schemas.microsoft.com/office/drawing/2014/main" id="{15723005-F458-4A52-A012-D9234804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3375" y="635000"/>
          <a:ext cx="2107019" cy="1036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771853-7359-40C4-BF3E-66BCEB0D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onf12/Dropbox/ALX%20Constru&#231;&#245;es/OBRAS/EM%20EXECU&#199;&#195;O/18.07.23%20SOUSA%20-%20CASA%20LAR/ADITIVO%20E%20PERDE-GANHA/ADITIVO/ADITIVO_PADR&#195;O_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ETIM - ADITIVO 01"/>
      <sheetName val="MDC - ADTIVO 01"/>
      <sheetName val="MEMORIAL DE CALCULO 01"/>
      <sheetName val="MEMORIAL DE CALCULO 02"/>
      <sheetName val="MEMORIAL FOTOGRÁFICO 01"/>
      <sheetName val="PREÇOS E DESCONTOS"/>
      <sheetName val="ANEXOS (ADITIVO 01)"/>
      <sheetName val="MEMORIAL FOTOGRÁFICO 02"/>
      <sheetName val="MEMORIAL DE CALCULO 03"/>
      <sheetName val="MEMORIAL FOTOGRÁFICO 03"/>
      <sheetName val="MEMORIAL FOTOGRÁFICO 04"/>
      <sheetName val="orcamento"/>
    </sheetNames>
    <sheetDataSet>
      <sheetData sheetId="0">
        <row r="29">
          <cell r="G29">
            <v>537.29999999999995</v>
          </cell>
        </row>
        <row r="56">
          <cell r="H56">
            <v>1242.6154999999999</v>
          </cell>
        </row>
        <row r="58">
          <cell r="G58">
            <v>72.2</v>
          </cell>
        </row>
        <row r="59">
          <cell r="G59">
            <v>72.2</v>
          </cell>
        </row>
        <row r="61">
          <cell r="G61">
            <v>1348.98</v>
          </cell>
        </row>
        <row r="62">
          <cell r="G62">
            <v>997.11</v>
          </cell>
        </row>
        <row r="63">
          <cell r="G63">
            <v>351.87</v>
          </cell>
        </row>
        <row r="67">
          <cell r="G67">
            <v>49.7</v>
          </cell>
        </row>
        <row r="75">
          <cell r="G75">
            <v>997.11</v>
          </cell>
        </row>
        <row r="76">
          <cell r="G76">
            <v>997.11</v>
          </cell>
        </row>
        <row r="77">
          <cell r="G77">
            <v>997.11</v>
          </cell>
        </row>
        <row r="82">
          <cell r="G82">
            <v>466.37</v>
          </cell>
        </row>
        <row r="83">
          <cell r="G83">
            <v>466.37</v>
          </cell>
        </row>
        <row r="119">
          <cell r="G119">
            <v>31.73</v>
          </cell>
        </row>
        <row r="120">
          <cell r="G120">
            <v>634.5</v>
          </cell>
        </row>
        <row r="122">
          <cell r="G122">
            <v>629.38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7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8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0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60" t="s">
        <v>566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>
        <v>45281</v>
      </c>
      <c r="C8" s="475"/>
      <c r="D8" s="23" t="s">
        <v>595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1" t="s">
        <v>545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445">
        <f>K195</f>
        <v>4.5500000000000007</v>
      </c>
      <c r="H201" s="446"/>
      <c r="I201" s="447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445" t="s">
        <v>586</v>
      </c>
      <c r="H204" s="448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445">
        <v>4</v>
      </c>
      <c r="H205" s="448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201:I201"/>
    <mergeCell ref="G204:H204"/>
    <mergeCell ref="G205:H205"/>
    <mergeCell ref="G10:I10"/>
    <mergeCell ref="J10:N10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60" t="s">
        <v>598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>
        <v>45291</v>
      </c>
      <c r="C8" s="475"/>
      <c r="D8" s="23" t="s">
        <v>710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1" t="s">
        <v>596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445">
        <f>L25</f>
        <v>85.184619999999995</v>
      </c>
      <c r="H50" s="446"/>
      <c r="I50" s="447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445"/>
      <c r="H51" s="446"/>
      <c r="I51" s="447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486" t="s">
        <v>652</v>
      </c>
      <c r="H54" s="489"/>
      <c r="I54" s="490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486" t="s">
        <v>612</v>
      </c>
      <c r="H91" s="487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483">
        <f xml:space="preserve"> (2*1.31) + (2*1.51) + (2*4.98)</f>
        <v>15.600000000000001</v>
      </c>
      <c r="H92" s="488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483">
        <f xml:space="preserve"> (3*3.37) + (1.37) + (2*3.47)</f>
        <v>18.420000000000002</v>
      </c>
      <c r="H93" s="488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483">
        <f xml:space="preserve"> (1.87) + (2*3.62)</f>
        <v>9.11</v>
      </c>
      <c r="H94" s="488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483">
        <f xml:space="preserve"> (4*0.88) + (2*3.36) + (2*5.03)</f>
        <v>20.3</v>
      </c>
      <c r="H95" s="488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483">
        <f xml:space="preserve"> (2*3.18) + (2*3.18)</f>
        <v>12.72</v>
      </c>
      <c r="H96" s="488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483">
        <f xml:space="preserve"> (4*2.15)</f>
        <v>8.6</v>
      </c>
      <c r="H97" s="488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483">
        <f xml:space="preserve"> (4*6.99)</f>
        <v>27.96</v>
      </c>
      <c r="H98" s="488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483"/>
      <c r="H100" s="484"/>
      <c r="I100" s="485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486" t="s">
        <v>679</v>
      </c>
      <c r="H108" s="487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483" t="s">
        <v>680</v>
      </c>
      <c r="H109" s="488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483" t="s">
        <v>681</v>
      </c>
      <c r="H110" s="488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483" t="s">
        <v>682</v>
      </c>
      <c r="H111" s="488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483" t="s">
        <v>684</v>
      </c>
      <c r="H112" s="488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483" t="s">
        <v>683</v>
      </c>
      <c r="H113" s="488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483" t="s">
        <v>685</v>
      </c>
      <c r="H114" s="488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486" t="s">
        <v>686</v>
      </c>
      <c r="H115" s="487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483" t="s">
        <v>687</v>
      </c>
      <c r="H116" s="488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483" t="s">
        <v>688</v>
      </c>
      <c r="H117" s="488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486" t="s">
        <v>689</v>
      </c>
      <c r="H118" s="487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483" t="s">
        <v>690</v>
      </c>
      <c r="H119" s="488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486" t="s">
        <v>691</v>
      </c>
      <c r="H120" s="487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483" t="s">
        <v>692</v>
      </c>
      <c r="H121" s="488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483" t="s">
        <v>693</v>
      </c>
      <c r="H122" s="488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486" t="s">
        <v>694</v>
      </c>
      <c r="H123" s="487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483" t="s">
        <v>695</v>
      </c>
      <c r="H124" s="488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483" t="s">
        <v>696</v>
      </c>
      <c r="H125" s="488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483" t="s">
        <v>697</v>
      </c>
      <c r="H126" s="488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483" t="s">
        <v>698</v>
      </c>
      <c r="H127" s="488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483" t="s">
        <v>699</v>
      </c>
      <c r="H128" s="488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483" t="s">
        <v>700</v>
      </c>
      <c r="H129" s="488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483" t="s">
        <v>701</v>
      </c>
      <c r="H130" s="488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486" t="s">
        <v>702</v>
      </c>
      <c r="H131" s="487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483" t="s">
        <v>704</v>
      </c>
      <c r="H132" s="488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483" t="s">
        <v>703</v>
      </c>
      <c r="H133" s="488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483" t="s">
        <v>703</v>
      </c>
      <c r="H134" s="488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483" t="s">
        <v>705</v>
      </c>
      <c r="H135" s="488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483" t="s">
        <v>704</v>
      </c>
      <c r="H136" s="488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483" t="s">
        <v>705</v>
      </c>
      <c r="H137" s="488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483" t="s">
        <v>704</v>
      </c>
      <c r="H138" s="488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483">
        <v>9.6</v>
      </c>
      <c r="H139" s="484"/>
      <c r="I139" s="485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483"/>
      <c r="H149" s="484"/>
      <c r="I149" s="485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483">
        <v>9.6</v>
      </c>
      <c r="H150" s="484"/>
      <c r="I150" s="485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483">
        <f>K148</f>
        <v>9.6</v>
      </c>
      <c r="H152" s="484"/>
      <c r="I152" s="485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486" t="s">
        <v>647</v>
      </c>
      <c r="H154" s="487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483">
        <f xml:space="preserve"> ((0.59*(1.85/0.1)) * 2)</f>
        <v>21.83</v>
      </c>
      <c r="H155" s="488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483">
        <f>(0.69*(1.87/0.1)) + (0.79*(1.87/0.1))</f>
        <v>27.675999999999998</v>
      </c>
      <c r="H156" s="488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483">
        <f>((0.69*(1.9/0.1))*3) + ((0.59*(1.87/0.1))*2)</f>
        <v>61.395999999999987</v>
      </c>
      <c r="H157" s="488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483">
        <f>((0.69*(1.92/0.1))*1) + ((0.59*(1.92/0.1))*2)</f>
        <v>35.903999999999996</v>
      </c>
      <c r="H158" s="488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483">
        <f>((0.79*(1.94/0.1))*3)</f>
        <v>45.977999999999994</v>
      </c>
      <c r="H159" s="488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483">
        <f>((0.69*(1.96/0.1))*3) + ((0.59*(1.96/0.1))*2)</f>
        <v>63.699999999999989</v>
      </c>
      <c r="H160" s="488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483">
        <f>((0.59*(1.95/0.1))*2) + ((0.69*(1.95/0.1))*3) +((0.79*(1.95/0.1))*1)</f>
        <v>78.78</v>
      </c>
      <c r="H161" s="488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483">
        <f>((0.59*(1.97/0.1))*1)  +((0.79*(1.97/0.1))*2)</f>
        <v>42.749000000000002</v>
      </c>
      <c r="H162" s="488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483">
        <f>((0.59*(1.9/0.1))*3)</f>
        <v>33.629999999999995</v>
      </c>
      <c r="H163" s="488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483">
        <f>((0.69*(1.86/0.1))*1) + ((0.69*(1.86/0.1))*1) + ((0.89*(1.86/0.1))*1)</f>
        <v>42.222000000000001</v>
      </c>
      <c r="H164" s="488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483">
        <f>((0.69*(1.87/0.1))*3)</f>
        <v>38.708999999999996</v>
      </c>
      <c r="H165" s="488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483">
        <f>((0.69*(1.9/0.1))*1) + ((0.79*(1.9/0.1))*2) + ((0.59*(1.9/0.1))*1)</f>
        <v>54.339999999999989</v>
      </c>
      <c r="H166" s="488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483">
        <f>((0.79*(1.91/0.1))*1) +((0.59*(1.91/0.1))*1)</f>
        <v>26.357999999999997</v>
      </c>
      <c r="H167" s="488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483">
        <f>((0.79*(1.94/0.1))*1) +((0.59*(1.94/0.1))*5)</f>
        <v>72.555999999999983</v>
      </c>
      <c r="H168" s="488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483">
        <f>((0.69*(1.92/0.1))*2) + ((0.69*(1.92/0.1))*1)</f>
        <v>39.744</v>
      </c>
      <c r="H169" s="488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483">
        <f>((0.59*(1.93/0.1))*2) + ((0.79*(1.93/0.1))*1)</f>
        <v>38.020999999999994</v>
      </c>
      <c r="H170" s="488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483">
        <f>((0.59*(1.87/0.1))*2) + ((0.69*(1.87/0.1))*2)</f>
        <v>47.872</v>
      </c>
      <c r="H171" s="488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483">
        <f>((0.59*(1.88/0.1))*3) + ((0.69*(1.88/0.1))*1)</f>
        <v>46.24799999999999</v>
      </c>
      <c r="H172" s="488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483">
        <f>((0.79*(1.9/0.1))*1) + ((0.69*(1.9/0.1))*3)</f>
        <v>54.339999999999982</v>
      </c>
      <c r="H173" s="488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483">
        <f>((0.59*(1.9/0.1))*1)</f>
        <v>11.209999999999997</v>
      </c>
      <c r="H174" s="488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483">
        <f>((0.69*(1.87/0.1))*1) + ((0.59*(1.87/0.1))*1)</f>
        <v>23.936</v>
      </c>
      <c r="H175" s="488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483">
        <f>((0.69*(2/0.1))*1) + ((0.59*(2/0.1))*2)</f>
        <v>37.4</v>
      </c>
      <c r="H176" s="488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483">
        <f>((0.69*(2.01/0.1))*1) + ((0.59*(2.01/0.1))*5) + ((0.79*(2.01/0.1))*1)</f>
        <v>89.042999999999992</v>
      </c>
      <c r="H177" s="488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483">
        <f>(((1.39+0.47+0.47))*(1.86/0.15))</f>
        <v>28.892000000000003</v>
      </c>
      <c r="H178" s="488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483">
        <f>(((1.09+0.022))*(1.87/0.15))</f>
        <v>13.862933333333336</v>
      </c>
      <c r="H179" s="488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483">
        <f>(((1.09+0.022))*(1.89/0.15))</f>
        <v>14.011200000000001</v>
      </c>
      <c r="H180" s="488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483">
        <f>(((0.59))*(1.9/0.15))</f>
        <v>7.4733333333333327</v>
      </c>
      <c r="H181" s="488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483">
        <f>(((0.59))*(1.92/0.15))</f>
        <v>7.5519999999999996</v>
      </c>
      <c r="H182" s="488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483">
        <f>(((0.59))*(1.9/0.15))</f>
        <v>7.4733333333333327</v>
      </c>
      <c r="H183" s="488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483">
        <f>(((0.69))*(1.98/0.15))</f>
        <v>9.1080000000000005</v>
      </c>
      <c r="H184" s="488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486" t="s">
        <v>612</v>
      </c>
      <c r="H185" s="487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483">
        <f xml:space="preserve"> (2*2.51) + (40*0.59)</f>
        <v>28.619999999999997</v>
      </c>
      <c r="H186" s="488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483">
        <f xml:space="preserve"> (19*0.79)</f>
        <v>15.010000000000002</v>
      </c>
      <c r="H187" s="488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483">
        <f xml:space="preserve"> (21*0.79)</f>
        <v>16.59</v>
      </c>
      <c r="H188" s="488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483">
        <f xml:space="preserve"> (2*3.86) + (29*0.79)</f>
        <v>30.63</v>
      </c>
      <c r="H189" s="488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483">
        <f xml:space="preserve"> (22*0.59)</f>
        <v>12.979999999999999</v>
      </c>
      <c r="H190" s="488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483">
        <f xml:space="preserve"> (14*0.059)</f>
        <v>0.82599999999999996</v>
      </c>
      <c r="H191" s="488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483">
        <f xml:space="preserve"> (59*0.59)</f>
        <v>34.809999999999995</v>
      </c>
      <c r="H192" s="488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483">
        <v>295</v>
      </c>
      <c r="H194" s="484"/>
      <c r="I194" s="485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486" t="s">
        <v>628</v>
      </c>
      <c r="H197" s="487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483">
        <f xml:space="preserve"> (4*(0.2+0.25+1.85+0.33)) * 2</f>
        <v>21.040000000000003</v>
      </c>
      <c r="H198" s="488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483">
        <f xml:space="preserve"> ((4*(0.2+0.25+1.87+0.33)) * 2)</f>
        <v>21.200000000000003</v>
      </c>
      <c r="H199" s="488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483">
        <f xml:space="preserve"> (4*(0.2+0.25+1.9+0.33)) * 5</f>
        <v>53.6</v>
      </c>
      <c r="H200" s="488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483">
        <f xml:space="preserve"> (4*(0.2+0.25+1.92+0.33)) *3</f>
        <v>32.400000000000006</v>
      </c>
      <c r="H201" s="488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483">
        <f xml:space="preserve"> (4*(0.2+0.25+1.94+0.33)) * 3</f>
        <v>32.64</v>
      </c>
      <c r="H202" s="488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483">
        <f xml:space="preserve"> (4*(0.2+0.25+1.96+0.33)) * 5</f>
        <v>54.800000000000004</v>
      </c>
      <c r="H203" s="488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483">
        <f xml:space="preserve"> (4*(0.2+0.25+1.95+0.33)) * 6</f>
        <v>65.52</v>
      </c>
      <c r="H204" s="488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483">
        <f xml:space="preserve"> (4*(0.2+0.25+1.97+0.33)) * 3</f>
        <v>33</v>
      </c>
      <c r="H205" s="488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483">
        <f xml:space="preserve"> (4*(0.2+0.25+1.9+0.33)) * 3</f>
        <v>32.160000000000004</v>
      </c>
      <c r="H206" s="488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483">
        <f xml:space="preserve"> ((4*(0.2+0.25+1.86+0.33)) * 3)</f>
        <v>31.68</v>
      </c>
      <c r="H207" s="488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483">
        <f xml:space="preserve"> ((4*(0.2+0.25+1.87+0.33)) * 3)</f>
        <v>31.800000000000004</v>
      </c>
      <c r="H208" s="488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483">
        <f xml:space="preserve"> ((4*(0.2+0.25+1.9+0.33)) * 4)</f>
        <v>42.88</v>
      </c>
      <c r="H209" s="488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483">
        <f xml:space="preserve"> ((4*(0.2+0.25+1.91+0.33)) * 2)</f>
        <v>21.52</v>
      </c>
      <c r="H210" s="488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483">
        <f xml:space="preserve"> ((4*(0.2+0.25+1.94+0.33)) * 6)</f>
        <v>65.28</v>
      </c>
      <c r="H211" s="488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483">
        <f xml:space="preserve"> ((4*(0.2+0.25+1.92+0.33)) *3)</f>
        <v>32.400000000000006</v>
      </c>
      <c r="H212" s="488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483">
        <f xml:space="preserve"> ((4*(0.2+0.25+1.93+0.33)) *3)</f>
        <v>32.519999999999996</v>
      </c>
      <c r="H213" s="488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483">
        <f xml:space="preserve"> ((4*(0.2+0.25+1.87+0.33)) *4)</f>
        <v>42.400000000000006</v>
      </c>
      <c r="H214" s="488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483">
        <f xml:space="preserve"> ((4*(0.2+0.25+1.88+0.33)) *4)</f>
        <v>42.56</v>
      </c>
      <c r="H215" s="488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483">
        <f xml:space="preserve"> ((4*(0.2+0.25+1.9+0.33)) *4)</f>
        <v>42.88</v>
      </c>
      <c r="H216" s="488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483">
        <f>((4*(0.2+0.25+1.9+0.33))) + ((8*(0.2+0.25+1.9)))</f>
        <v>29.520000000000003</v>
      </c>
      <c r="H217" s="488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483">
        <f xml:space="preserve"> ((4*(0.2+0.25+1.97+0.33)) *2)</f>
        <v>22</v>
      </c>
      <c r="H218" s="488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483">
        <f xml:space="preserve"> ((4*(0.2+0.25+2+0.33)) *3)</f>
        <v>33.36</v>
      </c>
      <c r="H219" s="488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483">
        <f xml:space="preserve"> ((4*(0.2+0.25+2.01+0.33)) *7)</f>
        <v>78.12</v>
      </c>
      <c r="H220" s="488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486" t="s">
        <v>628</v>
      </c>
      <c r="H222" s="487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483">
        <f>((8*(0.2+0.25+1.86+0.42)))</f>
        <v>21.84</v>
      </c>
      <c r="H223" s="488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483">
        <f>((6*(0.2+0.25+1.87+0.42)))</f>
        <v>16.440000000000001</v>
      </c>
      <c r="H224" s="488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483">
        <f>((6*(0.2+0.25+1.89+0.42)))</f>
        <v>16.559999999999999</v>
      </c>
      <c r="H225" s="488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483">
        <f>((4*(0.2+0.25+1.9+0.42)))</f>
        <v>11.08</v>
      </c>
      <c r="H226" s="488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483">
        <f>((4*(0.2+0.25+1.92+0.42)))</f>
        <v>11.16</v>
      </c>
      <c r="H227" s="488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483">
        <f>((4*(0.2+0.25+1.9+0.42)))</f>
        <v>11.08</v>
      </c>
      <c r="H228" s="488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483">
        <f>((4*(0.2+0.25+1.98+0.42)))+(2*(0.2+0.25+1.98))</f>
        <v>16.260000000000002</v>
      </c>
      <c r="H229" s="488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486" t="s">
        <v>612</v>
      </c>
      <c r="H230" s="487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483"/>
      <c r="H231" s="488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483"/>
      <c r="H232" s="488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483"/>
      <c r="H233" s="488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483"/>
      <c r="H234" s="488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483"/>
      <c r="H235" s="488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483"/>
      <c r="H236" s="488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483"/>
      <c r="H237" s="488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486" t="s">
        <v>706</v>
      </c>
      <c r="H247" s="487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483">
        <f xml:space="preserve"> ((0.15+0.25)*2) *2</f>
        <v>1.6</v>
      </c>
      <c r="H248" s="488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483">
        <f xml:space="preserve"> ((0.2+0.25)*2) + ((0.2+0.3)*2)</f>
        <v>1.9</v>
      </c>
      <c r="H249" s="488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483">
        <f xml:space="preserve"> ((0.2+0.25)*2*3) + ((0.2+0.2)*2*1) + ((0.15+0.2)*2*1)</f>
        <v>4.2</v>
      </c>
      <c r="H250" s="488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483">
        <f xml:space="preserve"> ((0.2+0.25)*2*1) + ((0.15+0.25)*2*2)</f>
        <v>2.5</v>
      </c>
      <c r="H251" s="488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483">
        <f xml:space="preserve"> ((0.15+0.3)*2*3)</f>
        <v>2.6999999999999997</v>
      </c>
      <c r="H252" s="488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483">
        <f xml:space="preserve"> ((0.2+0.25)*2*3) + ((0.15+0.25)*2*2)</f>
        <v>4.3000000000000007</v>
      </c>
      <c r="H253" s="488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483">
        <f xml:space="preserve"> ((0.2+0.25)*2*3) + ((0.15+0.25)*2*2) +  ((0.2+0.3)*2*1)</f>
        <v>5.3000000000000007</v>
      </c>
      <c r="H254" s="488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483">
        <f xml:space="preserve"> ((0.2+0.25)*2*2) + ((0.15+0.25)*2*1)</f>
        <v>2.6</v>
      </c>
      <c r="H255" s="488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483">
        <f>((0.15+0.25)*2*3)</f>
        <v>2.4000000000000004</v>
      </c>
      <c r="H256" s="488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483">
        <f xml:space="preserve"> ((0.2+0.25)*2*1) + ((0.15+0.25)*2*1) +  ((0.2+0.35)*2*1)</f>
        <v>2.8000000000000003</v>
      </c>
      <c r="H257" s="488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483">
        <f xml:space="preserve"> ((0.2+0.25)*2*1) + ((0.15+0.3)*2*2)</f>
        <v>2.6999999999999997</v>
      </c>
      <c r="H258" s="488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483">
        <f xml:space="preserve"> ((0.2+0.3)*2*1) + ((0.15+0.3)*2*1) +  ((0.15+0.25)*2*1) + ((0.15+0.35)*2*1)</f>
        <v>3.7</v>
      </c>
      <c r="H259" s="488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483">
        <f xml:space="preserve"> ((0.15+0.25)*2*1) + ((0.2+0.3)*2*1)</f>
        <v>1.8</v>
      </c>
      <c r="H260" s="488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483">
        <f xml:space="preserve"> ((0.15+0.25)*2*5) + ((0.25+0.25)*2*1)</f>
        <v>5</v>
      </c>
      <c r="H261" s="488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483">
        <f xml:space="preserve"> ((0.2+0.25)*2*1) + ((0.15+0.25)*2*1) +  ((0.25+0.25)*2*1)</f>
        <v>2.7</v>
      </c>
      <c r="H262" s="488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483">
        <f xml:space="preserve"> ((0.15+0.25)*2*2) + ((0.25+0.25)*2*1)</f>
        <v>2.6</v>
      </c>
      <c r="H263" s="488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483">
        <f xml:space="preserve"> ((0.15+0.25)*2*2) + ((0.2+0.25)*2*2)</f>
        <v>3.4000000000000004</v>
      </c>
      <c r="H264" s="488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483">
        <f xml:space="preserve"> ((0.15+0.25)*2*3) + ((0.2+0.25)*2*1)</f>
        <v>3.3000000000000003</v>
      </c>
      <c r="H265" s="488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483">
        <f>((0.2+0.25)*2*3) + ((0.25+0.25)*2*1)</f>
        <v>3.7</v>
      </c>
      <c r="H266" s="488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483">
        <f>((0.2+0.2)*2*1)</f>
        <v>0.8</v>
      </c>
      <c r="H267" s="488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483">
        <f>((0.2+0.25)*2*1) + ((0.15+0.25)*2*1)</f>
        <v>1.7000000000000002</v>
      </c>
      <c r="H268" s="488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483">
        <f>((0.2+0.25)*2*1) + ((0.15+0.25)*2*2)</f>
        <v>2.5</v>
      </c>
      <c r="H269" s="488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483">
        <f xml:space="preserve"> ((0.2+0.3)*2*1) + ((0.15+0.25)*2*5) +  ((0.25+0.25)*2*1)</f>
        <v>6</v>
      </c>
      <c r="H270" s="488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483">
        <f>((0.15+0.3)*2*1)</f>
        <v>0.89999999999999991</v>
      </c>
      <c r="H271" s="488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483">
        <f>((0.15+0.5)*2*1)</f>
        <v>1.3</v>
      </c>
      <c r="H272" s="488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483">
        <f>((0.15+0.5)*2*1)</f>
        <v>1.3</v>
      </c>
      <c r="H273" s="488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483">
        <f>((0.15+0.25)*2*1)</f>
        <v>0.8</v>
      </c>
      <c r="H274" s="488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483">
        <f t="shared" ref="G275" si="17">((0.15+0.3)*2*1)</f>
        <v>0.89999999999999991</v>
      </c>
      <c r="H275" s="488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483">
        <f>((0.15+0.25)*2*1)</f>
        <v>0.8</v>
      </c>
      <c r="H276" s="488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483">
        <f>((0.15+0.3)*2*1)</f>
        <v>0.89999999999999991</v>
      </c>
      <c r="H277" s="488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445">
        <v>11.01</v>
      </c>
      <c r="H419" s="446"/>
      <c r="I419" s="447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445">
        <f>K426</f>
        <v>1.04</v>
      </c>
      <c r="H432" s="446"/>
      <c r="I432" s="447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445" t="s">
        <v>586</v>
      </c>
      <c r="H435" s="448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445">
        <v>4</v>
      </c>
      <c r="H436" s="448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567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45281</v>
      </c>
      <c r="C8" s="475"/>
      <c r="D8" s="23" t="s">
        <v>595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545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597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45291</v>
      </c>
      <c r="C8" s="475"/>
      <c r="D8" s="23" t="s">
        <v>710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596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60" t="s">
        <v>713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>
        <v>45352</v>
      </c>
      <c r="C8" s="475"/>
      <c r="D8" s="23" t="s">
        <v>712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1" t="s">
        <v>711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9">((0.15+0.3)*2*1)</f>
        <v>0.89999999999999991</v>
      </c>
      <c r="H378" s="488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445"/>
      <c r="H516" s="446"/>
      <c r="I516" s="447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445">
        <v>11.01</v>
      </c>
      <c r="H522" s="446"/>
      <c r="I522" s="447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445"/>
      <c r="H524" s="446"/>
      <c r="I524" s="447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445">
        <v>67.27</v>
      </c>
      <c r="H525" s="446"/>
      <c r="I525" s="447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445">
        <f>K530</f>
        <v>1.5192000000000005</v>
      </c>
      <c r="H544" s="446"/>
      <c r="I544" s="447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445" t="s">
        <v>586</v>
      </c>
      <c r="H556" s="448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445">
        <v>4</v>
      </c>
      <c r="H557" s="448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445">
        <v>4</v>
      </c>
      <c r="H558" s="448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445">
        <v>4</v>
      </c>
      <c r="H559" s="448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445">
        <v>4</v>
      </c>
      <c r="H560" s="448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445">
        <v>4</v>
      </c>
      <c r="H561" s="448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445">
        <v>4</v>
      </c>
      <c r="H562" s="448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445">
        <v>4</v>
      </c>
      <c r="H563" s="448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445">
        <v>4</v>
      </c>
      <c r="H564" s="448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445">
        <v>4</v>
      </c>
      <c r="H565" s="448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445">
        <v>4</v>
      </c>
      <c r="H566" s="448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445"/>
      <c r="H567" s="446"/>
      <c r="I567" s="447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510"/>
      <c r="H579" s="511"/>
      <c r="I579" s="512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445"/>
      <c r="H581" s="446"/>
      <c r="I581" s="447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516" t="s">
        <v>836</v>
      </c>
      <c r="H595" s="516"/>
      <c r="I595" s="516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714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45352</v>
      </c>
      <c r="C8" s="475"/>
      <c r="D8" s="23" t="s">
        <v>712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711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60" t="s">
        <v>884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>
        <v>45386</v>
      </c>
      <c r="C8" s="475"/>
      <c r="D8" s="23" t="s">
        <v>886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1" t="s">
        <v>887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8">((0.15+0.3)*2*1)</f>
        <v>0.89999999999999991</v>
      </c>
      <c r="H378" s="48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446"/>
      <c r="H609" s="446"/>
      <c r="I609" s="447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445">
        <v>11.01</v>
      </c>
      <c r="H615" s="446"/>
      <c r="I615" s="447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445"/>
      <c r="H617" s="446"/>
      <c r="I617" s="447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445">
        <v>67.27</v>
      </c>
      <c r="H618" s="446"/>
      <c r="I618" s="447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445">
        <v>42.8</v>
      </c>
      <c r="H619" s="446"/>
      <c r="I619" s="447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445">
        <f>K624</f>
        <v>2.3652000000000002</v>
      </c>
      <c r="H645" s="446"/>
      <c r="I645" s="447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445" t="s">
        <v>586</v>
      </c>
      <c r="H664" s="448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445">
        <v>4</v>
      </c>
      <c r="H665" s="448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445">
        <v>4</v>
      </c>
      <c r="H666" s="448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445">
        <v>4</v>
      </c>
      <c r="H667" s="448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445">
        <v>4</v>
      </c>
      <c r="H668" s="448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445">
        <v>4</v>
      </c>
      <c r="H669" s="448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445">
        <v>4</v>
      </c>
      <c r="H670" s="448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445">
        <v>4</v>
      </c>
      <c r="H671" s="448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445">
        <v>4</v>
      </c>
      <c r="H672" s="448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445">
        <v>4</v>
      </c>
      <c r="H673" s="448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445">
        <v>4</v>
      </c>
      <c r="H674" s="448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445">
        <v>4</v>
      </c>
      <c r="H675" s="448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445">
        <v>4</v>
      </c>
      <c r="H676" s="448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445">
        <v>4</v>
      </c>
      <c r="H677" s="448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445">
        <v>4</v>
      </c>
      <c r="H678" s="448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445">
        <v>4</v>
      </c>
      <c r="H679" s="448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445">
        <v>4</v>
      </c>
      <c r="H680" s="448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445">
        <v>4</v>
      </c>
      <c r="H681" s="448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445"/>
      <c r="H682" s="446"/>
      <c r="I682" s="447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510"/>
      <c r="H701" s="511"/>
      <c r="I701" s="512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445"/>
      <c r="H703" s="446"/>
      <c r="I703" s="447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516" t="s">
        <v>836</v>
      </c>
      <c r="H717" s="516"/>
      <c r="I717" s="516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934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45422</v>
      </c>
      <c r="C8" s="475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480">
        <f>Y196-E8</f>
        <v>274592.67562904983</v>
      </c>
      <c r="K8" s="480"/>
      <c r="L8" s="480"/>
      <c r="M8" s="480"/>
      <c r="N8" s="480"/>
      <c r="O8" s="480"/>
      <c r="P8" s="496"/>
      <c r="Q8" s="481" t="s">
        <v>933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543</v>
      </c>
      <c r="G10" s="522" t="s">
        <v>530</v>
      </c>
      <c r="H10" s="450"/>
      <c r="I10" s="450"/>
      <c r="J10" s="450"/>
      <c r="K10" s="450"/>
      <c r="L10" s="450"/>
      <c r="M10" s="450"/>
      <c r="N10" s="450"/>
      <c r="O10" s="450"/>
      <c r="P10" s="450"/>
      <c r="Q10" s="451" t="s">
        <v>531</v>
      </c>
      <c r="R10" s="452"/>
      <c r="S10" s="452"/>
      <c r="T10" s="452"/>
      <c r="U10" s="452"/>
      <c r="V10" s="452"/>
      <c r="W10" s="452"/>
      <c r="X10" s="452"/>
      <c r="Y10" s="520"/>
      <c r="Z10" s="453"/>
    </row>
    <row r="11" spans="2:26" ht="36" x14ac:dyDescent="0.25">
      <c r="B11" s="455"/>
      <c r="C11" s="455"/>
      <c r="D11" s="457"/>
      <c r="E11" s="455"/>
      <c r="F11" s="45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5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22.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5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4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519" t="s">
        <v>546</v>
      </c>
      <c r="R197" s="519" t="s">
        <v>547</v>
      </c>
      <c r="S197" s="519" t="s">
        <v>549</v>
      </c>
      <c r="T197" s="519" t="s">
        <v>550</v>
      </c>
      <c r="U197" s="519" t="s">
        <v>551</v>
      </c>
      <c r="V197" s="519" t="s">
        <v>552</v>
      </c>
      <c r="W197" s="519" t="s">
        <v>553</v>
      </c>
      <c r="X197" s="519" t="s">
        <v>554</v>
      </c>
      <c r="Y197" s="521" t="s">
        <v>548</v>
      </c>
      <c r="Z197" s="519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519"/>
      <c r="R198" s="519"/>
      <c r="S198" s="519"/>
      <c r="T198" s="519"/>
      <c r="U198" s="519"/>
      <c r="V198" s="519"/>
      <c r="W198" s="519"/>
      <c r="X198" s="519"/>
      <c r="Y198" s="521"/>
      <c r="Z198" s="519"/>
    </row>
  </sheetData>
  <mergeCells count="27"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D406" sqref="D40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60" t="s">
        <v>936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>
        <v>45422</v>
      </c>
      <c r="C8" s="475"/>
      <c r="D8" s="23" t="s">
        <v>954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1" t="s">
        <v>933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8">((0.15+0.3)*2*1)</f>
        <v>0.89999999999999991</v>
      </c>
      <c r="H378" s="48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483">
        <f>243.89*0.7</f>
        <v>170.72299999999998</v>
      </c>
      <c r="H385" s="484"/>
      <c r="I385" s="485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483">
        <v>38.520000000000003</v>
      </c>
      <c r="H386" s="484"/>
      <c r="I386" s="485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483">
        <f>288*0.7</f>
        <v>201.6</v>
      </c>
      <c r="H390" s="484"/>
      <c r="I390" s="485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483">
        <v>44.5</v>
      </c>
      <c r="H391" s="484"/>
      <c r="I391" s="485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483">
        <f>0.6*357.5</f>
        <v>214.5</v>
      </c>
      <c r="H392" s="484"/>
      <c r="I392" s="485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0" customFormat="1" ht="22.9" customHeight="1" x14ac:dyDescent="0.25">
      <c r="B394" s="362"/>
      <c r="C394" s="363"/>
      <c r="D394" s="364" t="s">
        <v>953</v>
      </c>
      <c r="E394" s="365"/>
      <c r="F394" s="366">
        <v>1</v>
      </c>
      <c r="G394" s="531">
        <f>0.6* 39.1</f>
        <v>23.46</v>
      </c>
      <c r="H394" s="532"/>
      <c r="I394" s="533"/>
      <c r="J394" s="367"/>
      <c r="K394" s="368">
        <f>F394*G394</f>
        <v>23.46</v>
      </c>
      <c r="L394" s="368"/>
      <c r="M394" s="368"/>
      <c r="N394" s="369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0" customFormat="1" ht="30.6" customHeight="1" x14ac:dyDescent="0.25">
      <c r="B396" s="362"/>
      <c r="C396" s="363"/>
      <c r="D396" s="364" t="s">
        <v>953</v>
      </c>
      <c r="E396" s="365"/>
      <c r="F396" s="366">
        <v>1</v>
      </c>
      <c r="G396" s="531">
        <f>0.6* 692.8</f>
        <v>415.67999999999995</v>
      </c>
      <c r="H396" s="532"/>
      <c r="I396" s="533"/>
      <c r="J396" s="367"/>
      <c r="K396" s="368">
        <f>F396*G396</f>
        <v>415.67999999999995</v>
      </c>
      <c r="L396" s="368"/>
      <c r="M396" s="368"/>
      <c r="N396" s="369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413" t="s">
        <v>937</v>
      </c>
      <c r="E398" s="64"/>
      <c r="F398" s="105">
        <v>1</v>
      </c>
      <c r="G398" s="483">
        <f>671.1*0.7</f>
        <v>469.77</v>
      </c>
      <c r="H398" s="484"/>
      <c r="I398" s="485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413" t="s">
        <v>938</v>
      </c>
      <c r="E399" s="64"/>
      <c r="F399" s="105">
        <v>1</v>
      </c>
      <c r="G399" s="483">
        <v>108.8</v>
      </c>
      <c r="H399" s="484"/>
      <c r="I399" s="485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413" t="s">
        <v>953</v>
      </c>
      <c r="E400" s="64"/>
      <c r="F400" s="105">
        <v>1</v>
      </c>
      <c r="G400" s="483">
        <f>0.6* 95</f>
        <v>57</v>
      </c>
      <c r="H400" s="484"/>
      <c r="I400" s="485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26">
        <f>87.4*0.7</f>
        <v>61.18</v>
      </c>
      <c r="H402" s="527"/>
      <c r="I402" s="528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27">
        <f>13.12*0.7</f>
        <v>9.1839999999999993</v>
      </c>
      <c r="H407" s="527"/>
      <c r="I407" s="528"/>
      <c r="J407" s="99"/>
      <c r="K407" s="82">
        <f>F407*G407</f>
        <v>9.1839999999999993</v>
      </c>
      <c r="L407" s="82"/>
      <c r="M407" s="82"/>
      <c r="N407" s="86"/>
    </row>
    <row r="408" spans="2:14" ht="22.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483">
        <f>K406</f>
        <v>9.1839999999999993</v>
      </c>
      <c r="H409" s="484"/>
      <c r="I409" s="485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483">
        <v>1.5</v>
      </c>
      <c r="H480" s="484"/>
      <c r="I480" s="485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483">
        <v>2.1</v>
      </c>
      <c r="H481" s="484"/>
      <c r="I481" s="485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483">
        <v>1.4</v>
      </c>
      <c r="H482" s="484"/>
      <c r="I482" s="485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483">
        <v>1.4</v>
      </c>
      <c r="H483" s="484"/>
      <c r="I483" s="485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483">
        <v>3.6</v>
      </c>
      <c r="H484" s="484"/>
      <c r="I484" s="485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483">
        <v>3.2</v>
      </c>
      <c r="H485" s="484"/>
      <c r="I485" s="485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26">
        <v>1.6</v>
      </c>
      <c r="H487" s="527"/>
      <c r="I487" s="528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26">
        <v>1.8</v>
      </c>
      <c r="H488" s="527"/>
      <c r="I488" s="528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26">
        <v>3.1</v>
      </c>
      <c r="H489" s="527"/>
      <c r="I489" s="528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26">
        <v>1.8</v>
      </c>
      <c r="H490" s="527"/>
      <c r="I490" s="528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26">
        <v>2.2999999999999998</v>
      </c>
      <c r="H491" s="527"/>
      <c r="I491" s="528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26">
        <v>2.8</v>
      </c>
      <c r="H492" s="527"/>
      <c r="I492" s="528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26">
        <v>1.6</v>
      </c>
      <c r="H494" s="527"/>
      <c r="I494" s="528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26">
        <v>1.8</v>
      </c>
      <c r="H495" s="527"/>
      <c r="I495" s="528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26">
        <v>3.1</v>
      </c>
      <c r="H496" s="527"/>
      <c r="I496" s="528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26">
        <v>1.8</v>
      </c>
      <c r="H497" s="527"/>
      <c r="I497" s="528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26">
        <v>2.2999999999999998</v>
      </c>
      <c r="H498" s="527"/>
      <c r="I498" s="528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26">
        <v>2.8</v>
      </c>
      <c r="H499" s="527"/>
      <c r="I499" s="528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483">
        <f>K413+J413</f>
        <v>846.84500000000003</v>
      </c>
      <c r="H501" s="484"/>
      <c r="I501" s="485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33.7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56.2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446"/>
      <c r="H614" s="446"/>
      <c r="I614" s="447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445">
        <v>11.01</v>
      </c>
      <c r="H620" s="446"/>
      <c r="I620" s="447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445"/>
      <c r="H622" s="446"/>
      <c r="I622" s="447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445">
        <v>67.27</v>
      </c>
      <c r="H623" s="446"/>
      <c r="I623" s="447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445">
        <v>134.43</v>
      </c>
      <c r="H624" s="446"/>
      <c r="I624" s="447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1"/>
      <c r="H629" s="352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508">
        <v>0.41560999999999998</v>
      </c>
      <c r="H630" s="529"/>
      <c r="I630" s="530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1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22.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1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508">
        <v>0.41563</v>
      </c>
      <c r="H633" s="529"/>
      <c r="I633" s="530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1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34">
        <v>8.4384999999999994</v>
      </c>
      <c r="H635" s="534"/>
      <c r="I635" s="535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54"/>
      <c r="H636" s="355"/>
      <c r="I636" s="353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56"/>
      <c r="H637" s="357">
        <v>15.84</v>
      </c>
      <c r="I637" s="358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508"/>
      <c r="H638" s="529"/>
      <c r="I638" s="530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508">
        <v>6.55</v>
      </c>
      <c r="H639" s="529"/>
      <c r="I639" s="530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36"/>
      <c r="H640" s="537"/>
      <c r="I640" s="538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59">
        <v>63.6</v>
      </c>
      <c r="H641" s="360">
        <v>0.5</v>
      </c>
      <c r="I641" s="361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508"/>
      <c r="H642" s="529"/>
      <c r="I642" s="530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508">
        <v>6.3616900000000003</v>
      </c>
      <c r="H643" s="509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49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445">
        <v>110.765</v>
      </c>
      <c r="H645" s="448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445">
        <f>65.43</f>
        <v>65.430000000000007</v>
      </c>
      <c r="H647" s="448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523" t="s">
        <v>836</v>
      </c>
      <c r="H656" s="524"/>
      <c r="I656" s="525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885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45386</v>
      </c>
      <c r="C8" s="475"/>
      <c r="D8" s="23" t="s">
        <v>886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887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935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45386</v>
      </c>
      <c r="C8" s="475"/>
      <c r="D8" s="23" t="s">
        <v>954</v>
      </c>
      <c r="E8" s="476">
        <f>'BOLETIM DE MEDIÇÃO 05'!E8</f>
        <v>103177.48903680005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933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pageSetUpPr fitToPage="1"/>
  </sheetPr>
  <dimension ref="A1:AI217"/>
  <sheetViews>
    <sheetView view="pageBreakPreview" zoomScale="86" zoomScaleNormal="85" zoomScaleSheetLayoutView="86" workbookViewId="0">
      <selection activeCell="E30" sqref="E30"/>
    </sheetView>
  </sheetViews>
  <sheetFormatPr defaultRowHeight="15" x14ac:dyDescent="0.25"/>
  <cols>
    <col min="1" max="1" width="9.140625" style="164"/>
    <col min="2" max="2" width="6.28515625" style="164" customWidth="1"/>
    <col min="3" max="3" width="11.85546875" style="164" customWidth="1"/>
    <col min="4" max="4" width="47.5703125" style="164" customWidth="1"/>
    <col min="5" max="5" width="16.28515625" style="164" customWidth="1"/>
    <col min="6" max="6" width="9.140625" style="164"/>
    <col min="7" max="7" width="25.28515625" style="164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5" width="14.28515625" hidden="1" customWidth="1"/>
    <col min="16" max="16" width="17.28515625" hidden="1" customWidth="1"/>
    <col min="17" max="17" width="17.28515625" style="164" customWidth="1"/>
    <col min="18" max="18" width="23.5703125" style="164" bestFit="1" customWidth="1"/>
    <col min="19" max="19" width="10.85546875" style="169" bestFit="1" customWidth="1"/>
    <col min="20" max="20" width="22.42578125" style="164" bestFit="1" customWidth="1"/>
    <col min="21" max="21" width="19" hidden="1" customWidth="1"/>
    <col min="22" max="23" width="16.28515625" hidden="1" customWidth="1"/>
    <col min="24" max="24" width="17" hidden="1" customWidth="1"/>
    <col min="25" max="25" width="17.5703125" hidden="1" customWidth="1"/>
    <col min="26" max="26" width="15.42578125" hidden="1" customWidth="1"/>
    <col min="27" max="29" width="16.5703125" hidden="1" customWidth="1"/>
    <col min="30" max="30" width="16.5703125" style="164" customWidth="1"/>
    <col min="31" max="31" width="18.5703125" style="164" customWidth="1"/>
    <col min="32" max="32" width="17.28515625" style="164" bestFit="1" customWidth="1"/>
    <col min="33" max="33" width="9.140625" style="164"/>
    <col min="34" max="34" width="17.140625" style="164" bestFit="1" customWidth="1"/>
    <col min="35" max="16384" width="9.140625" style="164"/>
  </cols>
  <sheetData>
    <row r="1" spans="2:32" ht="15.75" thickBot="1" x14ac:dyDescent="0.3"/>
    <row r="2" spans="2:32" ht="21" thickBot="1" x14ac:dyDescent="0.3">
      <c r="B2" s="568" t="s">
        <v>1049</v>
      </c>
      <c r="C2" s="569"/>
      <c r="D2" s="569"/>
      <c r="E2" s="569"/>
      <c r="F2" s="569"/>
      <c r="G2" s="569"/>
      <c r="H2" s="539"/>
      <c r="I2" s="539"/>
      <c r="J2" s="539"/>
      <c r="K2" s="539"/>
      <c r="L2" s="539"/>
      <c r="M2" s="539"/>
      <c r="N2" s="539"/>
      <c r="O2" s="539"/>
      <c r="P2" s="539"/>
      <c r="Q2" s="569"/>
      <c r="R2" s="569"/>
      <c r="S2" s="569"/>
      <c r="T2" s="569"/>
      <c r="U2" s="539"/>
      <c r="V2" s="539"/>
      <c r="W2" s="539"/>
      <c r="X2" s="539"/>
      <c r="Y2" s="539"/>
      <c r="Z2" s="539"/>
      <c r="AA2" s="539"/>
      <c r="AB2" s="539"/>
      <c r="AC2" s="539"/>
      <c r="AD2" s="569"/>
      <c r="AE2" s="569"/>
      <c r="AF2" s="616"/>
    </row>
    <row r="3" spans="2:32" x14ac:dyDescent="0.25">
      <c r="B3" s="570" t="s">
        <v>511</v>
      </c>
      <c r="C3" s="571"/>
      <c r="D3" s="571"/>
      <c r="E3" s="571"/>
      <c r="F3" s="571"/>
      <c r="G3" s="571"/>
      <c r="H3" s="13"/>
      <c r="I3" s="13"/>
      <c r="J3" s="14"/>
      <c r="K3" s="13"/>
      <c r="L3" s="13"/>
      <c r="M3" s="13"/>
      <c r="N3" s="12"/>
      <c r="O3" s="12"/>
      <c r="P3" s="12"/>
      <c r="Q3" s="571"/>
      <c r="R3" s="595" t="s">
        <v>512</v>
      </c>
      <c r="S3" s="596" t="s">
        <v>513</v>
      </c>
      <c r="T3" s="597" t="s">
        <v>514</v>
      </c>
      <c r="U3" s="15"/>
      <c r="V3" s="15"/>
      <c r="W3" s="15"/>
      <c r="X3" s="15"/>
      <c r="Y3" s="15"/>
      <c r="Z3" s="15"/>
      <c r="AA3" s="15"/>
      <c r="AB3" s="15"/>
      <c r="AC3" s="15"/>
      <c r="AD3" s="597"/>
      <c r="AE3" s="617"/>
      <c r="AF3" s="618"/>
    </row>
    <row r="4" spans="2:32" ht="16.5" x14ac:dyDescent="0.25">
      <c r="B4" s="572" t="s">
        <v>542</v>
      </c>
      <c r="C4" s="573"/>
      <c r="D4" s="573"/>
      <c r="E4" s="573"/>
      <c r="F4" s="573"/>
      <c r="G4" s="573"/>
      <c r="H4" s="467"/>
      <c r="I4" s="467"/>
      <c r="J4" s="467"/>
      <c r="K4" s="467"/>
      <c r="L4" s="467"/>
      <c r="M4" s="467"/>
      <c r="N4" s="467"/>
      <c r="O4" s="378"/>
      <c r="P4" s="378"/>
      <c r="Q4" s="598"/>
      <c r="R4" s="599" t="s">
        <v>544</v>
      </c>
      <c r="S4" s="600" t="s">
        <v>555</v>
      </c>
      <c r="T4" s="601">
        <v>1240378.43</v>
      </c>
      <c r="U4" s="469"/>
      <c r="V4" s="469"/>
      <c r="W4" s="469"/>
      <c r="X4" s="469"/>
      <c r="Y4" s="469"/>
      <c r="Z4" s="469"/>
      <c r="AA4" s="469"/>
      <c r="AB4" s="380"/>
      <c r="AC4" s="380"/>
      <c r="AD4" s="619"/>
      <c r="AE4" s="620"/>
      <c r="AF4" s="621"/>
    </row>
    <row r="5" spans="2:32" x14ac:dyDescent="0.25">
      <c r="B5" s="574" t="s">
        <v>515</v>
      </c>
      <c r="C5" s="575"/>
      <c r="D5" s="575"/>
      <c r="E5" s="576" t="s">
        <v>516</v>
      </c>
      <c r="F5" s="576"/>
      <c r="G5" s="575"/>
      <c r="H5" s="19"/>
      <c r="I5" s="19"/>
      <c r="J5" s="20"/>
      <c r="K5" s="19"/>
      <c r="L5" s="19"/>
      <c r="M5" s="19"/>
      <c r="N5" s="18"/>
      <c r="O5" s="18"/>
      <c r="P5" s="18"/>
      <c r="Q5" s="575"/>
      <c r="R5" s="576" t="s">
        <v>517</v>
      </c>
      <c r="S5" s="602"/>
      <c r="T5" s="603"/>
      <c r="U5" s="21"/>
      <c r="V5" s="21"/>
      <c r="W5" s="21"/>
      <c r="X5" s="21"/>
      <c r="Y5" s="21"/>
      <c r="Z5" s="21"/>
      <c r="AA5" s="21"/>
      <c r="AB5" s="21"/>
      <c r="AC5" s="408"/>
      <c r="AD5" s="603"/>
      <c r="AE5" s="620"/>
      <c r="AF5" s="621"/>
    </row>
    <row r="6" spans="2:32" ht="16.5" x14ac:dyDescent="0.25">
      <c r="B6" s="572" t="s">
        <v>518</v>
      </c>
      <c r="C6" s="573"/>
      <c r="D6" s="577"/>
      <c r="E6" s="578" t="s">
        <v>519</v>
      </c>
      <c r="F6" s="573"/>
      <c r="G6" s="573"/>
      <c r="H6" s="467"/>
      <c r="I6" s="467"/>
      <c r="J6" s="467"/>
      <c r="K6" s="467"/>
      <c r="L6" s="467"/>
      <c r="M6" s="467"/>
      <c r="N6" s="467"/>
      <c r="O6" s="378"/>
      <c r="P6" s="378"/>
      <c r="Q6" s="598"/>
      <c r="R6" s="604" t="s">
        <v>592</v>
      </c>
      <c r="S6" s="605"/>
      <c r="T6" s="605"/>
      <c r="U6" s="473"/>
      <c r="V6" s="473"/>
      <c r="W6" s="473"/>
      <c r="X6" s="473"/>
      <c r="Y6" s="473"/>
      <c r="Z6" s="473"/>
      <c r="AA6" s="473"/>
      <c r="AB6" s="381"/>
      <c r="AC6" s="381"/>
      <c r="AD6" s="622"/>
      <c r="AE6" s="620"/>
      <c r="AF6" s="621"/>
    </row>
    <row r="7" spans="2:32" x14ac:dyDescent="0.25">
      <c r="B7" s="574" t="s">
        <v>520</v>
      </c>
      <c r="C7" s="575"/>
      <c r="D7" s="576" t="s">
        <v>521</v>
      </c>
      <c r="E7" s="576" t="s">
        <v>522</v>
      </c>
      <c r="F7" s="576"/>
      <c r="G7" s="575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9" t="s">
        <v>523</v>
      </c>
      <c r="Q7" s="576"/>
      <c r="R7" s="576"/>
      <c r="S7" s="602"/>
      <c r="T7" s="603" t="s">
        <v>524</v>
      </c>
      <c r="U7" s="21"/>
      <c r="V7" s="21"/>
      <c r="W7" s="21"/>
      <c r="X7" s="21"/>
      <c r="Y7" s="21"/>
      <c r="Z7" s="21"/>
      <c r="AA7" s="21"/>
      <c r="AB7" s="21"/>
      <c r="AC7" s="408"/>
      <c r="AD7" s="603"/>
      <c r="AE7" s="620"/>
      <c r="AF7" s="621"/>
    </row>
    <row r="8" spans="2:32" ht="17.25" thickBot="1" x14ac:dyDescent="0.3">
      <c r="B8" s="579" t="s">
        <v>1090</v>
      </c>
      <c r="C8" s="580"/>
      <c r="D8" s="581" t="s">
        <v>1089</v>
      </c>
      <c r="E8" s="582">
        <f>AD209</f>
        <v>102367.23999999998</v>
      </c>
      <c r="F8" s="583"/>
      <c r="G8" s="584"/>
      <c r="H8" s="141">
        <f>AE209-E8</f>
        <v>588422.86710544967</v>
      </c>
      <c r="I8" s="142"/>
      <c r="J8" s="142">
        <f>AE209-E8</f>
        <v>588422.86710544967</v>
      </c>
      <c r="K8" s="142"/>
      <c r="L8" s="142"/>
      <c r="M8" s="142"/>
      <c r="N8" s="142"/>
      <c r="O8" s="142"/>
      <c r="P8" s="142">
        <f>AE209-E8</f>
        <v>588422.86710544967</v>
      </c>
      <c r="Q8" s="606"/>
      <c r="R8" s="606"/>
      <c r="S8" s="607"/>
      <c r="T8" s="608" t="s">
        <v>1088</v>
      </c>
      <c r="U8" s="482"/>
      <c r="V8" s="482"/>
      <c r="W8" s="482"/>
      <c r="X8" s="482"/>
      <c r="Y8" s="482"/>
      <c r="Z8" s="482"/>
      <c r="AA8" s="482"/>
      <c r="AB8" s="379"/>
      <c r="AC8" s="379"/>
      <c r="AD8" s="623"/>
      <c r="AE8" s="624"/>
      <c r="AF8" s="625"/>
    </row>
    <row r="9" spans="2:32" ht="23.25" thickBot="1" x14ac:dyDescent="0.3">
      <c r="B9" s="585"/>
      <c r="C9" s="586" t="s">
        <v>525</v>
      </c>
      <c r="D9" s="587"/>
      <c r="E9" s="587"/>
      <c r="F9" s="587"/>
      <c r="G9" s="587"/>
      <c r="H9" s="26"/>
      <c r="I9" s="26"/>
      <c r="J9" s="27"/>
      <c r="K9" s="26"/>
      <c r="L9" s="26"/>
      <c r="M9" s="26"/>
      <c r="N9" s="26"/>
      <c r="O9" s="26"/>
      <c r="P9" s="26"/>
      <c r="Q9" s="587"/>
      <c r="R9" s="587"/>
      <c r="S9" s="609"/>
      <c r="T9" s="610"/>
      <c r="U9" s="28"/>
      <c r="V9" s="28"/>
      <c r="W9" s="28"/>
      <c r="X9" s="28"/>
      <c r="Y9" s="28"/>
      <c r="Z9" s="28"/>
      <c r="AA9" s="28"/>
      <c r="AB9" s="28"/>
      <c r="AC9" s="28"/>
      <c r="AD9" s="610"/>
      <c r="AE9" s="610"/>
      <c r="AF9" s="610"/>
    </row>
    <row r="10" spans="2:32" x14ac:dyDescent="0.25">
      <c r="B10" s="588" t="s">
        <v>526</v>
      </c>
      <c r="C10" s="588" t="s">
        <v>527</v>
      </c>
      <c r="D10" s="589" t="s">
        <v>528</v>
      </c>
      <c r="E10" s="588" t="s">
        <v>529</v>
      </c>
      <c r="F10" s="458" t="s">
        <v>543</v>
      </c>
      <c r="G10" s="590" t="s">
        <v>530</v>
      </c>
      <c r="H10" s="450"/>
      <c r="I10" s="450"/>
      <c r="J10" s="450"/>
      <c r="K10" s="450"/>
      <c r="L10" s="450"/>
      <c r="M10" s="450"/>
      <c r="N10" s="450"/>
      <c r="O10" s="450"/>
      <c r="P10" s="450"/>
      <c r="Q10" s="611"/>
      <c r="R10" s="611"/>
      <c r="S10" s="611"/>
      <c r="T10" s="451" t="s">
        <v>531</v>
      </c>
      <c r="U10" s="452"/>
      <c r="V10" s="452"/>
      <c r="W10" s="452"/>
      <c r="X10" s="452"/>
      <c r="Y10" s="452"/>
      <c r="Z10" s="452"/>
      <c r="AA10" s="452"/>
      <c r="AB10" s="452"/>
      <c r="AC10" s="452"/>
      <c r="AD10" s="452"/>
      <c r="AE10" s="520"/>
      <c r="AF10" s="453"/>
    </row>
    <row r="11" spans="2:32" ht="18" x14ac:dyDescent="0.25">
      <c r="B11" s="591"/>
      <c r="C11" s="591"/>
      <c r="D11" s="592"/>
      <c r="E11" s="591"/>
      <c r="F11" s="459"/>
      <c r="G11" s="593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988</v>
      </c>
      <c r="P11" s="33" t="s">
        <v>989</v>
      </c>
      <c r="Q11" s="612" t="s">
        <v>1016</v>
      </c>
      <c r="R11" s="34" t="s">
        <v>540</v>
      </c>
      <c r="S11" s="34" t="s">
        <v>541</v>
      </c>
      <c r="T11" s="613" t="s">
        <v>532</v>
      </c>
      <c r="U11" s="36" t="s">
        <v>593</v>
      </c>
      <c r="V11" s="36" t="s">
        <v>534</v>
      </c>
      <c r="W11" s="37" t="s">
        <v>535</v>
      </c>
      <c r="X11" s="37" t="s">
        <v>536</v>
      </c>
      <c r="Y11" s="37" t="s">
        <v>537</v>
      </c>
      <c r="Z11" s="37" t="s">
        <v>538</v>
      </c>
      <c r="AA11" s="37" t="s">
        <v>539</v>
      </c>
      <c r="AB11" s="37" t="s">
        <v>988</v>
      </c>
      <c r="AC11" s="37" t="s">
        <v>989</v>
      </c>
      <c r="AD11" s="626" t="s">
        <v>1016</v>
      </c>
      <c r="AE11" s="38" t="s">
        <v>540</v>
      </c>
      <c r="AF11" s="39" t="s">
        <v>541</v>
      </c>
    </row>
    <row r="12" spans="2:32" ht="14.45" customHeight="1" x14ac:dyDescent="0.25">
      <c r="B12" s="594">
        <v>1</v>
      </c>
      <c r="C12" s="174" t="s">
        <v>10</v>
      </c>
      <c r="D12" s="170"/>
      <c r="E12" s="41"/>
      <c r="F12" s="41"/>
      <c r="G12" s="183"/>
      <c r="H12" s="200"/>
      <c r="I12" s="200"/>
      <c r="J12" s="200"/>
      <c r="K12" s="200"/>
      <c r="L12" s="200"/>
      <c r="M12" s="200"/>
      <c r="N12" s="200"/>
      <c r="O12" s="200"/>
      <c r="P12" s="200"/>
      <c r="Q12" s="41"/>
      <c r="R12" s="614"/>
      <c r="S12" s="614"/>
      <c r="T12" s="615"/>
      <c r="U12" s="180"/>
      <c r="V12" s="180"/>
      <c r="W12" s="180"/>
      <c r="X12" s="180"/>
      <c r="Y12" s="180"/>
      <c r="Z12" s="180"/>
      <c r="AA12" s="194"/>
      <c r="AB12" s="194"/>
      <c r="AC12" s="194"/>
      <c r="AD12" s="615"/>
      <c r="AE12" s="615"/>
      <c r="AF12" s="627"/>
    </row>
    <row r="13" spans="2:32" customFormat="1" hidden="1" x14ac:dyDescent="0.25">
      <c r="B13" s="197">
        <v>1.1000000000000001</v>
      </c>
      <c r="C13" s="198" t="s">
        <v>12</v>
      </c>
      <c r="D13" s="199"/>
      <c r="E13" s="200"/>
      <c r="F13" s="200"/>
      <c r="G13" s="437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1"/>
      <c r="S13" s="201"/>
      <c r="T13" s="194"/>
      <c r="U13" s="180"/>
      <c r="V13" s="180"/>
      <c r="W13" s="180"/>
      <c r="X13" s="180"/>
      <c r="Y13" s="180"/>
      <c r="Z13" s="180"/>
      <c r="AA13" s="194"/>
      <c r="AB13" s="194"/>
      <c r="AC13" s="194"/>
      <c r="AD13" s="194"/>
      <c r="AE13" s="194"/>
      <c r="AF13" s="181"/>
    </row>
    <row r="14" spans="2:32" customFormat="1" ht="22.5" hidden="1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/>
      <c r="P14" s="207"/>
      <c r="Q14" s="207"/>
      <c r="R14" s="206">
        <f>H14+I14+J14+K14+L14+M14+N14+O14+P14+Q14</f>
        <v>6</v>
      </c>
      <c r="S14" s="206">
        <f t="shared" ref="S14:S19" si="0">G14-R14</f>
        <v>0</v>
      </c>
      <c r="T14" s="206">
        <f>TRUNC(F14*G14,2)</f>
        <v>2484.6</v>
      </c>
      <c r="U14" s="208">
        <f t="shared" ref="U14:U45" si="1">F14*H14</f>
        <v>2484.6000000000004</v>
      </c>
      <c r="V14" s="208">
        <f t="shared" ref="V14:V45" si="2">F14*I14</f>
        <v>0</v>
      </c>
      <c r="W14" s="208">
        <f>TRUNC(F14*J14,2)</f>
        <v>0</v>
      </c>
      <c r="X14" s="208">
        <f t="shared" ref="X14:X45" si="3">TRUNC(F14*K14,2)</f>
        <v>0</v>
      </c>
      <c r="Y14" s="208">
        <f t="shared" ref="Y14:Y45" si="4">TRUNC(F14*L14,2)</f>
        <v>0</v>
      </c>
      <c r="Z14" s="208">
        <f t="shared" ref="Z14:Z59" si="5">M14*F14</f>
        <v>0</v>
      </c>
      <c r="AA14" s="208">
        <f>TRUNC(F14*N14,2)</f>
        <v>0</v>
      </c>
      <c r="AB14" s="208">
        <f>TRUNC(F14*O14,2)</f>
        <v>0</v>
      </c>
      <c r="AC14" s="208">
        <f>TRUNC(F14*P14,2)</f>
        <v>0</v>
      </c>
      <c r="AD14" s="208">
        <f>TRUNC(F14*Q14,2)</f>
        <v>0</v>
      </c>
      <c r="AE14" s="209">
        <f>U14+V14+W14+X14+Y14+Z14+AA14+AB14+AC14+AD14</f>
        <v>2484.6000000000004</v>
      </c>
      <c r="AF14" s="210">
        <f>T14-AE14</f>
        <v>0</v>
      </c>
    </row>
    <row r="15" spans="2:32" customFormat="1" ht="22.5" hidden="1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/>
      <c r="P15" s="207"/>
      <c r="Q15" s="207"/>
      <c r="R15" s="206">
        <f t="shared" ref="R15:R78" si="6">H15+I15+J15+K15+L15+M15+N15+O15+P15+Q15</f>
        <v>5</v>
      </c>
      <c r="S15" s="206">
        <f t="shared" si="0"/>
        <v>0</v>
      </c>
      <c r="T15" s="206">
        <f t="shared" ref="T15:T19" si="7">F15*G15</f>
        <v>4736.05</v>
      </c>
      <c r="U15" s="208">
        <f t="shared" si="1"/>
        <v>2131.2224999999999</v>
      </c>
      <c r="V15" s="208">
        <f t="shared" si="2"/>
        <v>2604.8275000000003</v>
      </c>
      <c r="W15" s="208">
        <f t="shared" ref="W15:W25" si="8">F15*J15</f>
        <v>0</v>
      </c>
      <c r="X15" s="208">
        <f t="shared" si="3"/>
        <v>0</v>
      </c>
      <c r="Y15" s="208">
        <f t="shared" si="4"/>
        <v>0</v>
      </c>
      <c r="Z15" s="208">
        <f t="shared" si="5"/>
        <v>0</v>
      </c>
      <c r="AA15" s="208">
        <f t="shared" ref="AA15:AA46" si="9">F15*N15</f>
        <v>0</v>
      </c>
      <c r="AB15" s="208">
        <f t="shared" ref="AB15:AB78" si="10">TRUNC(F15*O15,2)</f>
        <v>0</v>
      </c>
      <c r="AC15" s="208">
        <f t="shared" ref="AC15:AC78" si="11">TRUNC(F15*P15,2)</f>
        <v>0</v>
      </c>
      <c r="AD15" s="208">
        <f t="shared" ref="AD15:AD78" si="12">TRUNC(F15*Q15,2)</f>
        <v>0</v>
      </c>
      <c r="AE15" s="209">
        <f t="shared" ref="AE15:AE78" si="13">U15+V15+W15+X15+Y15+Z15+AA15+AB15+AC15+AD15</f>
        <v>4736.05</v>
      </c>
      <c r="AF15" s="210">
        <f t="shared" ref="AF15:AF78" si="14">T15-AE15</f>
        <v>0</v>
      </c>
    </row>
    <row r="16" spans="2:32" customFormat="1" ht="33.75" hidden="1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/>
      <c r="P16" s="207"/>
      <c r="Q16" s="207"/>
      <c r="R16" s="206">
        <f t="shared" si="6"/>
        <v>5</v>
      </c>
      <c r="S16" s="206">
        <f t="shared" si="0"/>
        <v>0</v>
      </c>
      <c r="T16" s="206">
        <f t="shared" si="7"/>
        <v>5433.5</v>
      </c>
      <c r="U16" s="208">
        <f t="shared" si="1"/>
        <v>2445.0750000000003</v>
      </c>
      <c r="V16" s="208">
        <f t="shared" si="2"/>
        <v>2988.4250000000002</v>
      </c>
      <c r="W16" s="208">
        <f t="shared" si="8"/>
        <v>0</v>
      </c>
      <c r="X16" s="208">
        <f t="shared" si="3"/>
        <v>0</v>
      </c>
      <c r="Y16" s="208">
        <f t="shared" si="4"/>
        <v>0</v>
      </c>
      <c r="Z16" s="208">
        <f t="shared" si="5"/>
        <v>0</v>
      </c>
      <c r="AA16" s="208">
        <f t="shared" si="9"/>
        <v>0</v>
      </c>
      <c r="AB16" s="208">
        <f t="shared" si="10"/>
        <v>0</v>
      </c>
      <c r="AC16" s="208">
        <f t="shared" si="11"/>
        <v>0</v>
      </c>
      <c r="AD16" s="208">
        <f t="shared" si="12"/>
        <v>0</v>
      </c>
      <c r="AE16" s="209">
        <f t="shared" si="13"/>
        <v>5433.5</v>
      </c>
      <c r="AF16" s="210">
        <f t="shared" si="14"/>
        <v>0</v>
      </c>
    </row>
    <row r="17" spans="1:35" customFormat="1" ht="22.5" hidden="1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/>
      <c r="P17" s="207"/>
      <c r="Q17" s="207"/>
      <c r="R17" s="206">
        <f t="shared" si="6"/>
        <v>277.39999999999998</v>
      </c>
      <c r="S17" s="206">
        <f t="shared" si="0"/>
        <v>0</v>
      </c>
      <c r="T17" s="206">
        <f t="shared" si="7"/>
        <v>28361.375999999997</v>
      </c>
      <c r="U17" s="208">
        <f t="shared" si="1"/>
        <v>26418.815999999995</v>
      </c>
      <c r="V17" s="208">
        <f t="shared" si="2"/>
        <v>1942.56</v>
      </c>
      <c r="W17" s="208">
        <f t="shared" si="8"/>
        <v>0</v>
      </c>
      <c r="X17" s="208">
        <f t="shared" si="3"/>
        <v>0</v>
      </c>
      <c r="Y17" s="208">
        <f t="shared" si="4"/>
        <v>0</v>
      </c>
      <c r="Z17" s="208">
        <f t="shared" si="5"/>
        <v>0</v>
      </c>
      <c r="AA17" s="208">
        <f t="shared" si="9"/>
        <v>0</v>
      </c>
      <c r="AB17" s="208">
        <f t="shared" si="10"/>
        <v>0</v>
      </c>
      <c r="AC17" s="208">
        <f t="shared" si="11"/>
        <v>0</v>
      </c>
      <c r="AD17" s="208">
        <f t="shared" si="12"/>
        <v>0</v>
      </c>
      <c r="AE17" s="209">
        <f t="shared" si="13"/>
        <v>28361.375999999997</v>
      </c>
      <c r="AF17" s="210">
        <f t="shared" si="14"/>
        <v>0</v>
      </c>
    </row>
    <row r="18" spans="1:35" ht="22.5" hidden="1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0</v>
      </c>
      <c r="H18" s="29"/>
      <c r="I18" s="29"/>
      <c r="J18" s="29"/>
      <c r="K18" s="207"/>
      <c r="L18" s="207"/>
      <c r="M18" s="207"/>
      <c r="N18" s="206"/>
      <c r="O18" s="206"/>
      <c r="P18" s="207"/>
      <c r="Q18" s="207"/>
      <c r="R18" s="206">
        <f t="shared" si="6"/>
        <v>0</v>
      </c>
      <c r="S18" s="206">
        <f t="shared" si="0"/>
        <v>0</v>
      </c>
      <c r="T18" s="206">
        <f t="shared" si="7"/>
        <v>0</v>
      </c>
      <c r="U18" s="208">
        <f t="shared" si="1"/>
        <v>0</v>
      </c>
      <c r="V18" s="208">
        <f t="shared" si="2"/>
        <v>0</v>
      </c>
      <c r="W18" s="208">
        <f t="shared" si="8"/>
        <v>0</v>
      </c>
      <c r="X18" s="208">
        <f t="shared" si="3"/>
        <v>0</v>
      </c>
      <c r="Y18" s="208">
        <f t="shared" si="4"/>
        <v>0</v>
      </c>
      <c r="Z18" s="208">
        <f t="shared" si="5"/>
        <v>0</v>
      </c>
      <c r="AA18" s="208">
        <f t="shared" si="9"/>
        <v>0</v>
      </c>
      <c r="AB18" s="208">
        <f t="shared" si="10"/>
        <v>0</v>
      </c>
      <c r="AC18" s="208">
        <f t="shared" si="11"/>
        <v>0</v>
      </c>
      <c r="AD18" s="208">
        <f t="shared" si="12"/>
        <v>0</v>
      </c>
      <c r="AE18" s="209">
        <f t="shared" si="13"/>
        <v>0</v>
      </c>
      <c r="AF18" s="210">
        <f t="shared" si="14"/>
        <v>0</v>
      </c>
    </row>
    <row r="19" spans="1:35" ht="22.5" hidden="1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/>
      <c r="P19" s="207"/>
      <c r="Q19" s="207"/>
      <c r="R19" s="206">
        <f t="shared" si="6"/>
        <v>0</v>
      </c>
      <c r="S19" s="206">
        <f t="shared" si="0"/>
        <v>1430.2</v>
      </c>
      <c r="T19" s="206">
        <f t="shared" si="7"/>
        <v>171.624</v>
      </c>
      <c r="U19" s="208">
        <f t="shared" si="1"/>
        <v>0</v>
      </c>
      <c r="V19" s="208">
        <f t="shared" si="2"/>
        <v>0</v>
      </c>
      <c r="W19" s="208">
        <f t="shared" si="8"/>
        <v>0</v>
      </c>
      <c r="X19" s="208">
        <f t="shared" si="3"/>
        <v>0</v>
      </c>
      <c r="Y19" s="208">
        <f t="shared" si="4"/>
        <v>0</v>
      </c>
      <c r="Z19" s="208">
        <f t="shared" si="5"/>
        <v>0</v>
      </c>
      <c r="AA19" s="208">
        <f t="shared" si="9"/>
        <v>0</v>
      </c>
      <c r="AB19" s="208">
        <f t="shared" si="10"/>
        <v>0</v>
      </c>
      <c r="AC19" s="208">
        <f t="shared" si="11"/>
        <v>0</v>
      </c>
      <c r="AD19" s="208">
        <f t="shared" si="12"/>
        <v>0</v>
      </c>
      <c r="AE19" s="209">
        <f t="shared" si="13"/>
        <v>0</v>
      </c>
      <c r="AF19" s="210">
        <f t="shared" si="14"/>
        <v>171.624</v>
      </c>
    </row>
    <row r="20" spans="1:35" customFormat="1" ht="14.45" hidden="1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7"/>
      <c r="Q20" s="207"/>
      <c r="R20" s="206">
        <f t="shared" si="6"/>
        <v>0</v>
      </c>
      <c r="S20" s="206"/>
      <c r="T20" s="206"/>
      <c r="U20" s="208">
        <f t="shared" si="1"/>
        <v>0</v>
      </c>
      <c r="V20" s="208">
        <f t="shared" si="2"/>
        <v>0</v>
      </c>
      <c r="W20" s="208">
        <f t="shared" si="8"/>
        <v>0</v>
      </c>
      <c r="X20" s="208">
        <f t="shared" si="3"/>
        <v>0</v>
      </c>
      <c r="Y20" s="208">
        <f t="shared" si="4"/>
        <v>0</v>
      </c>
      <c r="Z20" s="208">
        <f t="shared" si="5"/>
        <v>0</v>
      </c>
      <c r="AA20" s="208">
        <f t="shared" si="9"/>
        <v>0</v>
      </c>
      <c r="AB20" s="208">
        <f t="shared" si="10"/>
        <v>0</v>
      </c>
      <c r="AC20" s="208">
        <f t="shared" si="11"/>
        <v>0</v>
      </c>
      <c r="AD20" s="208">
        <f t="shared" si="12"/>
        <v>0</v>
      </c>
      <c r="AE20" s="209">
        <f t="shared" si="13"/>
        <v>0</v>
      </c>
      <c r="AF20" s="210">
        <f t="shared" si="14"/>
        <v>0</v>
      </c>
    </row>
    <row r="21" spans="1:35" customFormat="1" ht="32.450000000000003" hidden="1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/>
      <c r="P21" s="207"/>
      <c r="Q21" s="207"/>
      <c r="R21" s="206">
        <f t="shared" si="6"/>
        <v>137.5</v>
      </c>
      <c r="S21" s="206">
        <f>G21-R21</f>
        <v>0</v>
      </c>
      <c r="T21" s="206">
        <f>F21*G21</f>
        <v>7205</v>
      </c>
      <c r="U21" s="208">
        <f t="shared" si="1"/>
        <v>7205</v>
      </c>
      <c r="V21" s="208">
        <f t="shared" si="2"/>
        <v>0</v>
      </c>
      <c r="W21" s="208">
        <f t="shared" si="8"/>
        <v>0</v>
      </c>
      <c r="X21" s="208">
        <f t="shared" si="3"/>
        <v>0</v>
      </c>
      <c r="Y21" s="208">
        <f t="shared" si="4"/>
        <v>0</v>
      </c>
      <c r="Z21" s="208">
        <f t="shared" si="5"/>
        <v>0</v>
      </c>
      <c r="AA21" s="208">
        <f t="shared" si="9"/>
        <v>0</v>
      </c>
      <c r="AB21" s="208">
        <f t="shared" si="10"/>
        <v>0</v>
      </c>
      <c r="AC21" s="208">
        <f t="shared" si="11"/>
        <v>0</v>
      </c>
      <c r="AD21" s="208">
        <f t="shared" si="12"/>
        <v>0</v>
      </c>
      <c r="AE21" s="209">
        <f t="shared" si="13"/>
        <v>7205</v>
      </c>
      <c r="AF21" s="210">
        <f t="shared" si="14"/>
        <v>0</v>
      </c>
    </row>
    <row r="22" spans="1:35" s="168" customFormat="1" ht="22.5" hidden="1" x14ac:dyDescent="0.25">
      <c r="A22" s="163"/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/>
      <c r="P22" s="207"/>
      <c r="Q22" s="207"/>
      <c r="R22" s="206">
        <f t="shared" si="6"/>
        <v>85.184619999999995</v>
      </c>
      <c r="S22" s="206">
        <f>G22-R22</f>
        <v>3.8253800000000098</v>
      </c>
      <c r="T22" s="206">
        <f>F22*G22</f>
        <v>5781.1995000000006</v>
      </c>
      <c r="U22" s="208">
        <f t="shared" si="1"/>
        <v>4542.5542875000001</v>
      </c>
      <c r="V22" s="208">
        <f t="shared" si="2"/>
        <v>78.288781499999999</v>
      </c>
      <c r="W22" s="208">
        <f t="shared" si="8"/>
        <v>911.89800000000002</v>
      </c>
      <c r="X22" s="208">
        <f t="shared" si="3"/>
        <v>0</v>
      </c>
      <c r="Y22" s="208">
        <f t="shared" si="4"/>
        <v>0</v>
      </c>
      <c r="Z22" s="208">
        <f t="shared" si="5"/>
        <v>0</v>
      </c>
      <c r="AA22" s="208">
        <f t="shared" si="9"/>
        <v>0</v>
      </c>
      <c r="AB22" s="208">
        <f t="shared" si="10"/>
        <v>0</v>
      </c>
      <c r="AC22" s="208">
        <f t="shared" si="11"/>
        <v>0</v>
      </c>
      <c r="AD22" s="208">
        <f t="shared" si="12"/>
        <v>0</v>
      </c>
      <c r="AE22" s="209">
        <f t="shared" si="13"/>
        <v>5532.7410690000006</v>
      </c>
      <c r="AF22" s="210">
        <f t="shared" si="14"/>
        <v>248.45843100000002</v>
      </c>
      <c r="AG22" s="163"/>
      <c r="AH22" s="163"/>
      <c r="AI22" s="163"/>
    </row>
    <row r="23" spans="1:35" s="168" customFormat="1" hidden="1" x14ac:dyDescent="0.25">
      <c r="A23" s="163"/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/>
      <c r="P23" s="207"/>
      <c r="Q23" s="207"/>
      <c r="R23" s="206">
        <f t="shared" si="6"/>
        <v>43.05</v>
      </c>
      <c r="S23" s="206">
        <f>G23-R23</f>
        <v>1.2100000000000009</v>
      </c>
      <c r="T23" s="206">
        <f>F23*G23</f>
        <v>1742.5161999999998</v>
      </c>
      <c r="U23" s="208">
        <f t="shared" si="1"/>
        <v>0</v>
      </c>
      <c r="V23" s="208">
        <f t="shared" si="2"/>
        <v>0</v>
      </c>
      <c r="W23" s="208">
        <f t="shared" si="8"/>
        <v>1694.8784999999998</v>
      </c>
      <c r="X23" s="208">
        <f t="shared" si="3"/>
        <v>0</v>
      </c>
      <c r="Y23" s="208">
        <f t="shared" si="4"/>
        <v>0</v>
      </c>
      <c r="Z23" s="208">
        <f t="shared" si="5"/>
        <v>0</v>
      </c>
      <c r="AA23" s="208">
        <f t="shared" si="9"/>
        <v>0</v>
      </c>
      <c r="AB23" s="208">
        <f t="shared" si="10"/>
        <v>0</v>
      </c>
      <c r="AC23" s="208">
        <f t="shared" si="11"/>
        <v>0</v>
      </c>
      <c r="AD23" s="208">
        <f t="shared" si="12"/>
        <v>0</v>
      </c>
      <c r="AE23" s="209">
        <f t="shared" si="13"/>
        <v>1694.8784999999998</v>
      </c>
      <c r="AF23" s="210">
        <f t="shared" si="14"/>
        <v>47.637699999999995</v>
      </c>
      <c r="AG23" s="163"/>
      <c r="AH23" s="163"/>
      <c r="AI23" s="163"/>
    </row>
    <row r="24" spans="1:35" s="169" customFormat="1" ht="22.5" hidden="1" x14ac:dyDescent="0.25">
      <c r="A24" s="164"/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0</v>
      </c>
      <c r="H24" s="29"/>
      <c r="I24" s="29"/>
      <c r="J24" s="29"/>
      <c r="K24" s="207">
        <v>0</v>
      </c>
      <c r="L24" s="207"/>
      <c r="M24" s="207"/>
      <c r="N24" s="206"/>
      <c r="O24" s="206"/>
      <c r="P24" s="207"/>
      <c r="Q24" s="207"/>
      <c r="R24" s="206">
        <f t="shared" si="6"/>
        <v>0</v>
      </c>
      <c r="S24" s="206">
        <f>G24-R24</f>
        <v>0</v>
      </c>
      <c r="T24" s="206">
        <f>F24*G24</f>
        <v>0</v>
      </c>
      <c r="U24" s="208">
        <f t="shared" si="1"/>
        <v>0</v>
      </c>
      <c r="V24" s="208">
        <f t="shared" si="2"/>
        <v>0</v>
      </c>
      <c r="W24" s="208">
        <f t="shared" si="8"/>
        <v>0</v>
      </c>
      <c r="X24" s="208">
        <f t="shared" si="3"/>
        <v>0</v>
      </c>
      <c r="Y24" s="208">
        <f t="shared" si="4"/>
        <v>0</v>
      </c>
      <c r="Z24" s="208">
        <f t="shared" si="5"/>
        <v>0</v>
      </c>
      <c r="AA24" s="208">
        <f t="shared" si="9"/>
        <v>0</v>
      </c>
      <c r="AB24" s="208">
        <f t="shared" si="10"/>
        <v>0</v>
      </c>
      <c r="AC24" s="208">
        <f t="shared" si="11"/>
        <v>0</v>
      </c>
      <c r="AD24" s="208">
        <f t="shared" si="12"/>
        <v>0</v>
      </c>
      <c r="AE24" s="209">
        <f t="shared" si="13"/>
        <v>0</v>
      </c>
      <c r="AF24" s="210">
        <f t="shared" si="14"/>
        <v>0</v>
      </c>
      <c r="AG24" s="164"/>
      <c r="AH24" s="164"/>
      <c r="AI24" s="164"/>
    </row>
    <row r="25" spans="1:35" s="167" customFormat="1" hidden="1" x14ac:dyDescent="0.25">
      <c r="A25"/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7"/>
      <c r="Q25" s="207"/>
      <c r="R25" s="206">
        <f t="shared" si="6"/>
        <v>0</v>
      </c>
      <c r="S25" s="206"/>
      <c r="T25" s="206"/>
      <c r="U25" s="208">
        <f t="shared" si="1"/>
        <v>0</v>
      </c>
      <c r="V25" s="208">
        <f t="shared" si="2"/>
        <v>0</v>
      </c>
      <c r="W25" s="208">
        <f t="shared" si="8"/>
        <v>0</v>
      </c>
      <c r="X25" s="208">
        <f t="shared" si="3"/>
        <v>0</v>
      </c>
      <c r="Y25" s="208">
        <f t="shared" si="4"/>
        <v>0</v>
      </c>
      <c r="Z25" s="208">
        <f t="shared" si="5"/>
        <v>0</v>
      </c>
      <c r="AA25" s="208">
        <f t="shared" si="9"/>
        <v>0</v>
      </c>
      <c r="AB25" s="208">
        <f t="shared" si="10"/>
        <v>0</v>
      </c>
      <c r="AC25" s="208">
        <f t="shared" si="11"/>
        <v>0</v>
      </c>
      <c r="AD25" s="208">
        <f t="shared" si="12"/>
        <v>0</v>
      </c>
      <c r="AE25" s="209">
        <f t="shared" si="13"/>
        <v>0</v>
      </c>
      <c r="AF25" s="210">
        <f t="shared" si="14"/>
        <v>0</v>
      </c>
      <c r="AG25"/>
      <c r="AH25"/>
      <c r="AI25"/>
    </row>
    <row r="26" spans="1:35" s="169" customFormat="1" ht="43.15" customHeight="1" x14ac:dyDescent="0.25">
      <c r="A26" s="164"/>
      <c r="B26" s="628" t="s">
        <v>50</v>
      </c>
      <c r="C26" s="629" t="s">
        <v>51</v>
      </c>
      <c r="D26" s="636" t="s">
        <v>52</v>
      </c>
      <c r="E26" s="630" t="s">
        <v>41</v>
      </c>
      <c r="F26" s="630">
        <v>411.48</v>
      </c>
      <c r="G26" s="630">
        <v>55.32</v>
      </c>
      <c r="H26" s="338"/>
      <c r="I26" s="338">
        <f>'MEMORIAL DE CALCULO 02'!K54</f>
        <v>7.3434100000000004</v>
      </c>
      <c r="J26" s="338">
        <v>6.6420000000000003</v>
      </c>
      <c r="K26" s="337"/>
      <c r="L26" s="337"/>
      <c r="M26" s="337"/>
      <c r="N26" s="336"/>
      <c r="O26" s="336"/>
      <c r="P26" s="337"/>
      <c r="Q26" s="631">
        <v>37.71</v>
      </c>
      <c r="R26" s="630">
        <f t="shared" si="6"/>
        <v>51.695410000000003</v>
      </c>
      <c r="S26" s="630">
        <f t="shared" ref="S26:S38" si="15">G26-R26</f>
        <v>3.6245899999999978</v>
      </c>
      <c r="T26" s="630">
        <f t="shared" ref="T26:T38" si="16">F26*G26</f>
        <v>22763.0736</v>
      </c>
      <c r="U26" s="339">
        <f t="shared" si="1"/>
        <v>0</v>
      </c>
      <c r="V26" s="339">
        <f t="shared" si="2"/>
        <v>3021.6663468000002</v>
      </c>
      <c r="W26" s="339">
        <f>TRUNC(F26*J26,2)</f>
        <v>2733.05</v>
      </c>
      <c r="X26" s="339">
        <f t="shared" si="3"/>
        <v>0</v>
      </c>
      <c r="Y26" s="339">
        <f t="shared" si="4"/>
        <v>0</v>
      </c>
      <c r="Z26" s="339">
        <f t="shared" si="5"/>
        <v>0</v>
      </c>
      <c r="AA26" s="339">
        <f t="shared" si="9"/>
        <v>0</v>
      </c>
      <c r="AB26" s="339">
        <f t="shared" si="10"/>
        <v>0</v>
      </c>
      <c r="AC26" s="339">
        <f t="shared" si="11"/>
        <v>0</v>
      </c>
      <c r="AD26" s="632">
        <f t="shared" si="12"/>
        <v>15516.91</v>
      </c>
      <c r="AE26" s="633">
        <f t="shared" si="13"/>
        <v>21271.6263468</v>
      </c>
      <c r="AF26" s="634">
        <f t="shared" si="14"/>
        <v>1491.4472532</v>
      </c>
      <c r="AG26" s="164"/>
      <c r="AH26" s="164"/>
      <c r="AI26" s="164"/>
    </row>
    <row r="27" spans="1:35" customFormat="1" ht="25.15" hidden="1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/>
      <c r="P27" s="207"/>
      <c r="Q27" s="207"/>
      <c r="R27" s="206">
        <f t="shared" si="6"/>
        <v>37.81</v>
      </c>
      <c r="S27" s="206">
        <f t="shared" si="15"/>
        <v>0</v>
      </c>
      <c r="T27" s="206">
        <f t="shared" si="16"/>
        <v>185.64710000000002</v>
      </c>
      <c r="U27" s="208">
        <f t="shared" si="1"/>
        <v>0</v>
      </c>
      <c r="V27" s="208">
        <f t="shared" si="2"/>
        <v>185.64710000000002</v>
      </c>
      <c r="W27" s="208">
        <f t="shared" ref="W27:W58" si="17">F27*J27</f>
        <v>0</v>
      </c>
      <c r="X27" s="208">
        <f t="shared" si="3"/>
        <v>0</v>
      </c>
      <c r="Y27" s="208">
        <f t="shared" si="4"/>
        <v>0</v>
      </c>
      <c r="Z27" s="208">
        <f t="shared" si="5"/>
        <v>0</v>
      </c>
      <c r="AA27" s="208">
        <f t="shared" si="9"/>
        <v>0</v>
      </c>
      <c r="AB27" s="208">
        <f t="shared" si="10"/>
        <v>0</v>
      </c>
      <c r="AC27" s="208">
        <f t="shared" si="11"/>
        <v>0</v>
      </c>
      <c r="AD27" s="208">
        <f t="shared" si="12"/>
        <v>0</v>
      </c>
      <c r="AE27" s="209">
        <f t="shared" si="13"/>
        <v>185.64710000000002</v>
      </c>
      <c r="AF27" s="210">
        <f t="shared" si="14"/>
        <v>0</v>
      </c>
    </row>
    <row r="28" spans="1:35" ht="30" hidden="1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16"/>
      <c r="P28" s="216"/>
      <c r="Q28" s="216"/>
      <c r="R28" s="206">
        <f t="shared" si="6"/>
        <v>37.81</v>
      </c>
      <c r="S28" s="206">
        <f t="shared" si="15"/>
        <v>39.599999999999994</v>
      </c>
      <c r="T28" s="206">
        <f t="shared" si="16"/>
        <v>2374.1646999999998</v>
      </c>
      <c r="U28" s="208">
        <f t="shared" si="1"/>
        <v>0</v>
      </c>
      <c r="V28" s="208">
        <f t="shared" si="2"/>
        <v>1159.6327000000001</v>
      </c>
      <c r="W28" s="208">
        <f t="shared" si="17"/>
        <v>0</v>
      </c>
      <c r="X28" s="208">
        <f t="shared" si="3"/>
        <v>0</v>
      </c>
      <c r="Y28" s="208">
        <f t="shared" si="4"/>
        <v>0</v>
      </c>
      <c r="Z28" s="208">
        <f t="shared" si="5"/>
        <v>0</v>
      </c>
      <c r="AA28" s="208">
        <f t="shared" si="9"/>
        <v>0</v>
      </c>
      <c r="AB28" s="208">
        <f t="shared" si="10"/>
        <v>0</v>
      </c>
      <c r="AC28" s="208">
        <f t="shared" si="11"/>
        <v>0</v>
      </c>
      <c r="AD28" s="208">
        <f t="shared" si="12"/>
        <v>0</v>
      </c>
      <c r="AE28" s="209">
        <f t="shared" si="13"/>
        <v>1159.6327000000001</v>
      </c>
      <c r="AF28" s="210">
        <f t="shared" si="14"/>
        <v>1214.5319999999997</v>
      </c>
    </row>
    <row r="29" spans="1:35" ht="22.5" x14ac:dyDescent="0.25">
      <c r="B29" s="628" t="s">
        <v>59</v>
      </c>
      <c r="C29" s="635">
        <v>96545</v>
      </c>
      <c r="D29" s="636" t="s">
        <v>61</v>
      </c>
      <c r="E29" s="630" t="s">
        <v>62</v>
      </c>
      <c r="F29" s="630">
        <v>15.99</v>
      </c>
      <c r="G29" s="630">
        <v>555.04999999999995</v>
      </c>
      <c r="H29" s="338"/>
      <c r="I29" s="338">
        <f>'MEMORIAL DE CALCULO 02'!K90</f>
        <v>44.520449999999997</v>
      </c>
      <c r="J29" s="338">
        <v>492.77940000000001</v>
      </c>
      <c r="K29" s="337"/>
      <c r="L29" s="337"/>
      <c r="M29" s="337"/>
      <c r="N29" s="336"/>
      <c r="O29" s="336"/>
      <c r="P29" s="337"/>
      <c r="Q29" s="631">
        <v>17.75</v>
      </c>
      <c r="R29" s="630">
        <f t="shared" si="6"/>
        <v>555.04984999999999</v>
      </c>
      <c r="S29" s="630">
        <f t="shared" si="15"/>
        <v>1.4999999996234692E-4</v>
      </c>
      <c r="T29" s="630">
        <f t="shared" si="16"/>
        <v>8875.2494999999999</v>
      </c>
      <c r="U29" s="339">
        <f t="shared" si="1"/>
        <v>0</v>
      </c>
      <c r="V29" s="339">
        <f t="shared" si="2"/>
        <v>711.8819954999999</v>
      </c>
      <c r="W29" s="339">
        <f t="shared" si="17"/>
        <v>7879.542606</v>
      </c>
      <c r="X29" s="339">
        <f t="shared" si="3"/>
        <v>0</v>
      </c>
      <c r="Y29" s="339">
        <f t="shared" si="4"/>
        <v>0</v>
      </c>
      <c r="Z29" s="339">
        <f t="shared" si="5"/>
        <v>0</v>
      </c>
      <c r="AA29" s="339">
        <f t="shared" si="9"/>
        <v>0</v>
      </c>
      <c r="AB29" s="339">
        <f t="shared" si="10"/>
        <v>0</v>
      </c>
      <c r="AC29" s="339">
        <f t="shared" si="11"/>
        <v>0</v>
      </c>
      <c r="AD29" s="632">
        <f t="shared" si="12"/>
        <v>283.82</v>
      </c>
      <c r="AE29" s="633">
        <f t="shared" si="13"/>
        <v>8875.2446014999987</v>
      </c>
      <c r="AF29" s="634">
        <f t="shared" si="14"/>
        <v>4.8985000012180535E-3</v>
      </c>
    </row>
    <row r="30" spans="1:35" ht="33.75" x14ac:dyDescent="0.25">
      <c r="B30" s="628" t="s">
        <v>63</v>
      </c>
      <c r="C30" s="635">
        <v>94966</v>
      </c>
      <c r="D30" s="636" t="s">
        <v>65</v>
      </c>
      <c r="E30" s="630" t="s">
        <v>41</v>
      </c>
      <c r="F30" s="630">
        <v>530.88</v>
      </c>
      <c r="G30" s="630">
        <v>22.89</v>
      </c>
      <c r="H30" s="338"/>
      <c r="I30" s="338">
        <f>'MEMORIAL DE CALCULO 02'!K99</f>
        <v>8.4130549999999982</v>
      </c>
      <c r="J30" s="338">
        <v>12.746919999999999</v>
      </c>
      <c r="K30" s="337"/>
      <c r="L30" s="337"/>
      <c r="M30" s="337"/>
      <c r="N30" s="336"/>
      <c r="O30" s="336"/>
      <c r="P30" s="337"/>
      <c r="Q30" s="631">
        <v>1.73</v>
      </c>
      <c r="R30" s="630">
        <f t="shared" si="6"/>
        <v>22.889974999999996</v>
      </c>
      <c r="S30" s="630">
        <f t="shared" si="15"/>
        <v>2.5000000004382628E-5</v>
      </c>
      <c r="T30" s="630">
        <f t="shared" si="16"/>
        <v>12151.843199999999</v>
      </c>
      <c r="U30" s="339">
        <f t="shared" si="1"/>
        <v>0</v>
      </c>
      <c r="V30" s="339">
        <f t="shared" si="2"/>
        <v>4466.3226383999991</v>
      </c>
      <c r="W30" s="339">
        <f t="shared" si="17"/>
        <v>6767.0848895999998</v>
      </c>
      <c r="X30" s="339">
        <f t="shared" si="3"/>
        <v>0</v>
      </c>
      <c r="Y30" s="339">
        <f t="shared" si="4"/>
        <v>0</v>
      </c>
      <c r="Z30" s="339">
        <f t="shared" si="5"/>
        <v>0</v>
      </c>
      <c r="AA30" s="339">
        <f t="shared" si="9"/>
        <v>0</v>
      </c>
      <c r="AB30" s="339">
        <f t="shared" si="10"/>
        <v>0</v>
      </c>
      <c r="AC30" s="339">
        <f t="shared" si="11"/>
        <v>0</v>
      </c>
      <c r="AD30" s="632">
        <f t="shared" si="12"/>
        <v>918.42</v>
      </c>
      <c r="AE30" s="633">
        <f t="shared" si="13"/>
        <v>12151.827528</v>
      </c>
      <c r="AF30" s="634">
        <f t="shared" si="14"/>
        <v>1.5671999999540276E-2</v>
      </c>
    </row>
    <row r="31" spans="1:35" customFormat="1" ht="33.75" hidden="1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/>
      <c r="P31" s="207"/>
      <c r="Q31" s="207"/>
      <c r="R31" s="206">
        <f t="shared" si="6"/>
        <v>9.6</v>
      </c>
      <c r="S31" s="206">
        <f t="shared" si="15"/>
        <v>0</v>
      </c>
      <c r="T31" s="206">
        <f t="shared" si="16"/>
        <v>4691.424</v>
      </c>
      <c r="U31" s="208">
        <f t="shared" si="1"/>
        <v>0</v>
      </c>
      <c r="V31" s="208">
        <f t="shared" si="2"/>
        <v>0</v>
      </c>
      <c r="W31" s="208">
        <f t="shared" si="17"/>
        <v>4691.424</v>
      </c>
      <c r="X31" s="208">
        <f t="shared" si="3"/>
        <v>0</v>
      </c>
      <c r="Y31" s="208">
        <f t="shared" si="4"/>
        <v>0</v>
      </c>
      <c r="Z31" s="208">
        <f t="shared" si="5"/>
        <v>0</v>
      </c>
      <c r="AA31" s="208">
        <f t="shared" si="9"/>
        <v>0</v>
      </c>
      <c r="AB31" s="208">
        <f t="shared" si="10"/>
        <v>0</v>
      </c>
      <c r="AC31" s="208">
        <f t="shared" si="11"/>
        <v>0</v>
      </c>
      <c r="AD31" s="208">
        <f t="shared" si="12"/>
        <v>0</v>
      </c>
      <c r="AE31" s="209">
        <f t="shared" si="13"/>
        <v>4691.424</v>
      </c>
      <c r="AF31" s="210">
        <f t="shared" si="14"/>
        <v>0</v>
      </c>
    </row>
    <row r="32" spans="1:35" ht="22.5" x14ac:dyDescent="0.25">
      <c r="B32" s="628" t="s">
        <v>69</v>
      </c>
      <c r="C32" s="635">
        <v>103670</v>
      </c>
      <c r="D32" s="636" t="s">
        <v>71</v>
      </c>
      <c r="E32" s="630" t="s">
        <v>41</v>
      </c>
      <c r="F32" s="630">
        <v>230.55</v>
      </c>
      <c r="G32" s="630">
        <v>32.49</v>
      </c>
      <c r="H32" s="338"/>
      <c r="I32" s="338">
        <f>'MEMORIAL DE CALCULO 02'!K151</f>
        <v>18.013054999999998</v>
      </c>
      <c r="J32" s="338">
        <v>12.746969999999999</v>
      </c>
      <c r="K32" s="337"/>
      <c r="L32" s="337"/>
      <c r="M32" s="337"/>
      <c r="N32" s="336"/>
      <c r="O32" s="336"/>
      <c r="P32" s="337"/>
      <c r="Q32" s="631">
        <v>1.73</v>
      </c>
      <c r="R32" s="630">
        <f t="shared" si="6"/>
        <v>32.490024999999996</v>
      </c>
      <c r="S32" s="630">
        <f t="shared" si="15"/>
        <v>-2.4999999993724487E-5</v>
      </c>
      <c r="T32" s="630">
        <f t="shared" si="16"/>
        <v>7490.5695000000005</v>
      </c>
      <c r="U32" s="339">
        <f t="shared" si="1"/>
        <v>0</v>
      </c>
      <c r="V32" s="339">
        <f t="shared" si="2"/>
        <v>4152.9098302499997</v>
      </c>
      <c r="W32" s="339">
        <f t="shared" si="17"/>
        <v>2938.8139335000001</v>
      </c>
      <c r="X32" s="339">
        <f t="shared" si="3"/>
        <v>0</v>
      </c>
      <c r="Y32" s="339">
        <f t="shared" si="4"/>
        <v>0</v>
      </c>
      <c r="Z32" s="339">
        <f t="shared" si="5"/>
        <v>0</v>
      </c>
      <c r="AA32" s="339">
        <f t="shared" si="9"/>
        <v>0</v>
      </c>
      <c r="AB32" s="339">
        <f t="shared" si="10"/>
        <v>0</v>
      </c>
      <c r="AC32" s="339">
        <f t="shared" si="11"/>
        <v>0</v>
      </c>
      <c r="AD32" s="632">
        <f t="shared" si="12"/>
        <v>398.85</v>
      </c>
      <c r="AE32" s="633">
        <f t="shared" si="13"/>
        <v>7490.5737637500006</v>
      </c>
      <c r="AF32" s="634">
        <f t="shared" si="14"/>
        <v>-4.2637500000637374E-3</v>
      </c>
    </row>
    <row r="33" spans="2:35" ht="22.5" x14ac:dyDescent="0.25">
      <c r="B33" s="628" t="s">
        <v>72</v>
      </c>
      <c r="C33" s="635">
        <v>96543</v>
      </c>
      <c r="D33" s="636" t="s">
        <v>74</v>
      </c>
      <c r="E33" s="630" t="s">
        <v>62</v>
      </c>
      <c r="F33" s="630">
        <v>17.5</v>
      </c>
      <c r="G33" s="630">
        <v>451.89</v>
      </c>
      <c r="H33" s="338"/>
      <c r="I33" s="338">
        <f>'MEMORIAL DE CALCULO 02'!K153</f>
        <v>194.26804319999999</v>
      </c>
      <c r="J33" s="338">
        <f>'MEMORIAL DE CALCULO 03'!K262</f>
        <v>210.13</v>
      </c>
      <c r="K33" s="337"/>
      <c r="L33" s="337"/>
      <c r="M33" s="337"/>
      <c r="N33" s="336"/>
      <c r="O33" s="336"/>
      <c r="P33" s="337"/>
      <c r="Q33" s="631">
        <v>47.49</v>
      </c>
      <c r="R33" s="630">
        <f t="shared" si="6"/>
        <v>451.88804319999997</v>
      </c>
      <c r="S33" s="630">
        <f t="shared" si="15"/>
        <v>1.9568000000163011E-3</v>
      </c>
      <c r="T33" s="630">
        <f t="shared" si="16"/>
        <v>7908.0749999999998</v>
      </c>
      <c r="U33" s="339">
        <f t="shared" si="1"/>
        <v>0</v>
      </c>
      <c r="V33" s="339">
        <f t="shared" si="2"/>
        <v>3399.690756</v>
      </c>
      <c r="W33" s="339">
        <f t="shared" si="17"/>
        <v>3677.2750000000001</v>
      </c>
      <c r="X33" s="339">
        <f t="shared" si="3"/>
        <v>0</v>
      </c>
      <c r="Y33" s="339">
        <f t="shared" si="4"/>
        <v>0</v>
      </c>
      <c r="Z33" s="339">
        <f t="shared" si="5"/>
        <v>0</v>
      </c>
      <c r="AA33" s="339">
        <f t="shared" si="9"/>
        <v>0</v>
      </c>
      <c r="AB33" s="339">
        <f t="shared" si="10"/>
        <v>0</v>
      </c>
      <c r="AC33" s="339">
        <f t="shared" si="11"/>
        <v>0</v>
      </c>
      <c r="AD33" s="632">
        <f t="shared" si="12"/>
        <v>831.07</v>
      </c>
      <c r="AE33" s="633">
        <f t="shared" si="13"/>
        <v>7908.0357559999993</v>
      </c>
      <c r="AF33" s="634">
        <f t="shared" si="14"/>
        <v>3.9244000000508095E-2</v>
      </c>
    </row>
    <row r="34" spans="2:35" customFormat="1" ht="22.5" hidden="1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/>
      <c r="P34" s="207"/>
      <c r="Q34" s="207"/>
      <c r="R34" s="206">
        <f t="shared" si="6"/>
        <v>295</v>
      </c>
      <c r="S34" s="206">
        <f t="shared" si="15"/>
        <v>0</v>
      </c>
      <c r="T34" s="206">
        <f t="shared" si="16"/>
        <v>4894.05</v>
      </c>
      <c r="U34" s="208">
        <f t="shared" si="1"/>
        <v>0</v>
      </c>
      <c r="V34" s="208">
        <f t="shared" si="2"/>
        <v>4894.05</v>
      </c>
      <c r="W34" s="208">
        <f t="shared" si="17"/>
        <v>0</v>
      </c>
      <c r="X34" s="208">
        <f t="shared" si="3"/>
        <v>0</v>
      </c>
      <c r="Y34" s="208">
        <f t="shared" si="4"/>
        <v>0</v>
      </c>
      <c r="Z34" s="208">
        <f t="shared" si="5"/>
        <v>0</v>
      </c>
      <c r="AA34" s="208">
        <f t="shared" si="9"/>
        <v>0</v>
      </c>
      <c r="AB34" s="208">
        <f t="shared" si="10"/>
        <v>0</v>
      </c>
      <c r="AC34" s="208">
        <f t="shared" si="11"/>
        <v>0</v>
      </c>
      <c r="AD34" s="208">
        <f t="shared" si="12"/>
        <v>0</v>
      </c>
      <c r="AE34" s="209">
        <f t="shared" si="13"/>
        <v>4894.05</v>
      </c>
      <c r="AF34" s="210">
        <f t="shared" si="14"/>
        <v>0</v>
      </c>
      <c r="AI34" s="164"/>
    </row>
    <row r="35" spans="2:35" ht="22.5" x14ac:dyDescent="0.25">
      <c r="B35" s="628" t="s">
        <v>78</v>
      </c>
      <c r="C35" s="635">
        <v>96546</v>
      </c>
      <c r="D35" s="636" t="s">
        <v>80</v>
      </c>
      <c r="E35" s="630" t="s">
        <v>62</v>
      </c>
      <c r="F35" s="630">
        <v>14.35</v>
      </c>
      <c r="G35" s="630">
        <v>685.99</v>
      </c>
      <c r="H35" s="338"/>
      <c r="I35" s="338">
        <v>534.1</v>
      </c>
      <c r="J35" s="338"/>
      <c r="K35" s="337"/>
      <c r="L35" s="337"/>
      <c r="M35" s="337"/>
      <c r="N35" s="336"/>
      <c r="O35" s="336"/>
      <c r="P35" s="337"/>
      <c r="Q35" s="631">
        <v>151.88999999999999</v>
      </c>
      <c r="R35" s="630">
        <f t="shared" si="6"/>
        <v>685.99</v>
      </c>
      <c r="S35" s="630">
        <f t="shared" si="15"/>
        <v>0</v>
      </c>
      <c r="T35" s="630">
        <f t="shared" si="16"/>
        <v>9843.9565000000002</v>
      </c>
      <c r="U35" s="339">
        <f t="shared" si="1"/>
        <v>0</v>
      </c>
      <c r="V35" s="339">
        <f t="shared" si="2"/>
        <v>7664.335</v>
      </c>
      <c r="W35" s="339">
        <f t="shared" si="17"/>
        <v>0</v>
      </c>
      <c r="X35" s="339">
        <f t="shared" si="3"/>
        <v>0</v>
      </c>
      <c r="Y35" s="339">
        <f t="shared" si="4"/>
        <v>0</v>
      </c>
      <c r="Z35" s="339">
        <f t="shared" si="5"/>
        <v>0</v>
      </c>
      <c r="AA35" s="339">
        <f t="shared" si="9"/>
        <v>0</v>
      </c>
      <c r="AB35" s="339">
        <f t="shared" si="10"/>
        <v>0</v>
      </c>
      <c r="AC35" s="339">
        <f t="shared" si="11"/>
        <v>0</v>
      </c>
      <c r="AD35" s="632">
        <f t="shared" si="12"/>
        <v>2179.62</v>
      </c>
      <c r="AE35" s="633">
        <f t="shared" si="13"/>
        <v>9843.9549999999999</v>
      </c>
      <c r="AF35" s="634">
        <f t="shared" si="14"/>
        <v>1.5000000003055902E-3</v>
      </c>
    </row>
    <row r="36" spans="2:35" ht="22.5" x14ac:dyDescent="0.25">
      <c r="B36" s="628" t="s">
        <v>81</v>
      </c>
      <c r="C36" s="635">
        <v>96547</v>
      </c>
      <c r="D36" s="636" t="s">
        <v>83</v>
      </c>
      <c r="E36" s="630" t="s">
        <v>62</v>
      </c>
      <c r="F36" s="630">
        <v>11.9</v>
      </c>
      <c r="G36" s="630">
        <v>179.26</v>
      </c>
      <c r="H36" s="338"/>
      <c r="I36" s="338">
        <f>'MEMORIAL DE CALCULO 02'!K221</f>
        <v>100.55646000000002</v>
      </c>
      <c r="J36" s="338">
        <f>'MEMORIAL DE CALCULO 03'!K330</f>
        <v>52.34</v>
      </c>
      <c r="K36" s="337"/>
      <c r="L36" s="337"/>
      <c r="M36" s="337"/>
      <c r="N36" s="336"/>
      <c r="O36" s="336"/>
      <c r="P36" s="337"/>
      <c r="Q36" s="631">
        <v>26.36</v>
      </c>
      <c r="R36" s="630">
        <f t="shared" si="6"/>
        <v>179.25646</v>
      </c>
      <c r="S36" s="630">
        <f t="shared" si="15"/>
        <v>3.5399999999867759E-3</v>
      </c>
      <c r="T36" s="630">
        <f t="shared" si="16"/>
        <v>2133.194</v>
      </c>
      <c r="U36" s="339">
        <f t="shared" si="1"/>
        <v>0</v>
      </c>
      <c r="V36" s="339">
        <f t="shared" si="2"/>
        <v>1196.6218740000002</v>
      </c>
      <c r="W36" s="339">
        <f t="shared" si="17"/>
        <v>622.846</v>
      </c>
      <c r="X36" s="339">
        <f t="shared" si="3"/>
        <v>0</v>
      </c>
      <c r="Y36" s="339">
        <f t="shared" si="4"/>
        <v>0</v>
      </c>
      <c r="Z36" s="339">
        <f t="shared" si="5"/>
        <v>0</v>
      </c>
      <c r="AA36" s="339">
        <f t="shared" si="9"/>
        <v>0</v>
      </c>
      <c r="AB36" s="339">
        <f t="shared" si="10"/>
        <v>0</v>
      </c>
      <c r="AC36" s="339">
        <f t="shared" si="11"/>
        <v>0</v>
      </c>
      <c r="AD36" s="632">
        <f t="shared" si="12"/>
        <v>313.68</v>
      </c>
      <c r="AE36" s="633">
        <f t="shared" si="13"/>
        <v>2133.1478740000002</v>
      </c>
      <c r="AF36" s="634">
        <f t="shared" si="14"/>
        <v>4.6125999999730993E-2</v>
      </c>
    </row>
    <row r="37" spans="2:35" ht="33.75" x14ac:dyDescent="0.25">
      <c r="B37" s="628" t="s">
        <v>84</v>
      </c>
      <c r="C37" s="635">
        <v>96536</v>
      </c>
      <c r="D37" s="636" t="s">
        <v>86</v>
      </c>
      <c r="E37" s="630" t="s">
        <v>17</v>
      </c>
      <c r="F37" s="630">
        <v>69.64</v>
      </c>
      <c r="G37" s="630">
        <v>463.77</v>
      </c>
      <c r="H37" s="338"/>
      <c r="I37" s="338">
        <f>'MEMORIAL DE CALCULO 02'!K238</f>
        <v>206.33700000000002</v>
      </c>
      <c r="J37" s="338">
        <f>'MEMORIAL DE CALCULO 03'!K340</f>
        <v>223.49</v>
      </c>
      <c r="K37" s="337"/>
      <c r="L37" s="337"/>
      <c r="M37" s="337"/>
      <c r="N37" s="336"/>
      <c r="O37" s="336"/>
      <c r="P37" s="337"/>
      <c r="Q37" s="631">
        <v>33.94</v>
      </c>
      <c r="R37" s="630">
        <f t="shared" si="6"/>
        <v>463.767</v>
      </c>
      <c r="S37" s="630">
        <f t="shared" si="15"/>
        <v>2.9999999999859028E-3</v>
      </c>
      <c r="T37" s="630">
        <f t="shared" si="16"/>
        <v>32296.942800000001</v>
      </c>
      <c r="U37" s="339">
        <f t="shared" si="1"/>
        <v>0</v>
      </c>
      <c r="V37" s="339">
        <f t="shared" si="2"/>
        <v>14369.308680000002</v>
      </c>
      <c r="W37" s="339">
        <f t="shared" si="17"/>
        <v>15563.8436</v>
      </c>
      <c r="X37" s="339">
        <f t="shared" si="3"/>
        <v>0</v>
      </c>
      <c r="Y37" s="339">
        <f t="shared" si="4"/>
        <v>0</v>
      </c>
      <c r="Z37" s="339">
        <f t="shared" si="5"/>
        <v>0</v>
      </c>
      <c r="AA37" s="339">
        <f t="shared" si="9"/>
        <v>0</v>
      </c>
      <c r="AB37" s="339">
        <f t="shared" si="10"/>
        <v>0</v>
      </c>
      <c r="AC37" s="339">
        <f t="shared" si="11"/>
        <v>0</v>
      </c>
      <c r="AD37" s="632">
        <f t="shared" si="12"/>
        <v>2363.58</v>
      </c>
      <c r="AE37" s="633">
        <f t="shared" si="13"/>
        <v>32296.732280000004</v>
      </c>
      <c r="AF37" s="634">
        <f t="shared" si="14"/>
        <v>0.21051999999690452</v>
      </c>
    </row>
    <row r="38" spans="2:35" ht="22.5" x14ac:dyDescent="0.25">
      <c r="B38" s="628" t="s">
        <v>87</v>
      </c>
      <c r="C38" s="635">
        <v>98557</v>
      </c>
      <c r="D38" s="636" t="s">
        <v>89</v>
      </c>
      <c r="E38" s="630" t="s">
        <v>17</v>
      </c>
      <c r="F38" s="630">
        <v>48.22</v>
      </c>
      <c r="G38" s="630">
        <v>261.83</v>
      </c>
      <c r="H38" s="338"/>
      <c r="I38" s="338"/>
      <c r="J38" s="338"/>
      <c r="K38" s="337">
        <f>'MEMORIAL DE CALCULO 04'!K381</f>
        <v>253.95000000000002</v>
      </c>
      <c r="L38" s="337"/>
      <c r="M38" s="337"/>
      <c r="N38" s="336"/>
      <c r="O38" s="336"/>
      <c r="P38" s="337"/>
      <c r="Q38" s="631">
        <v>7.88</v>
      </c>
      <c r="R38" s="630">
        <f t="shared" si="6"/>
        <v>261.83000000000004</v>
      </c>
      <c r="S38" s="630">
        <f t="shared" si="15"/>
        <v>0</v>
      </c>
      <c r="T38" s="630">
        <f t="shared" si="16"/>
        <v>12625.442599999998</v>
      </c>
      <c r="U38" s="339">
        <f t="shared" si="1"/>
        <v>0</v>
      </c>
      <c r="V38" s="339">
        <f t="shared" si="2"/>
        <v>0</v>
      </c>
      <c r="W38" s="339">
        <f t="shared" si="17"/>
        <v>0</v>
      </c>
      <c r="X38" s="339">
        <f t="shared" si="3"/>
        <v>12245.46</v>
      </c>
      <c r="Y38" s="339">
        <f t="shared" si="4"/>
        <v>0</v>
      </c>
      <c r="Z38" s="339">
        <f t="shared" si="5"/>
        <v>0</v>
      </c>
      <c r="AA38" s="339">
        <f t="shared" si="9"/>
        <v>0</v>
      </c>
      <c r="AB38" s="339">
        <f t="shared" si="10"/>
        <v>0</v>
      </c>
      <c r="AC38" s="339">
        <f t="shared" si="11"/>
        <v>0</v>
      </c>
      <c r="AD38" s="632">
        <f t="shared" si="12"/>
        <v>379.97</v>
      </c>
      <c r="AE38" s="633">
        <f t="shared" si="13"/>
        <v>12625.429999999998</v>
      </c>
      <c r="AF38" s="634">
        <f t="shared" si="14"/>
        <v>1.2600000000020373E-2</v>
      </c>
    </row>
    <row r="39" spans="2:35" customFormat="1" hidden="1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7"/>
      <c r="Q39" s="207"/>
      <c r="R39" s="206">
        <f t="shared" si="6"/>
        <v>0</v>
      </c>
      <c r="S39" s="206"/>
      <c r="T39" s="206"/>
      <c r="U39" s="208">
        <f t="shared" si="1"/>
        <v>0</v>
      </c>
      <c r="V39" s="208">
        <f t="shared" si="2"/>
        <v>0</v>
      </c>
      <c r="W39" s="208">
        <f t="shared" si="17"/>
        <v>0</v>
      </c>
      <c r="X39" s="208">
        <f t="shared" si="3"/>
        <v>0</v>
      </c>
      <c r="Y39" s="208">
        <f t="shared" si="4"/>
        <v>0</v>
      </c>
      <c r="Z39" s="208">
        <f t="shared" si="5"/>
        <v>0</v>
      </c>
      <c r="AA39" s="208">
        <f t="shared" si="9"/>
        <v>0</v>
      </c>
      <c r="AB39" s="208">
        <f t="shared" si="10"/>
        <v>0</v>
      </c>
      <c r="AC39" s="208">
        <f t="shared" si="11"/>
        <v>0</v>
      </c>
      <c r="AD39" s="208">
        <f t="shared" si="12"/>
        <v>0</v>
      </c>
      <c r="AE39" s="209">
        <f t="shared" si="13"/>
        <v>0</v>
      </c>
      <c r="AF39" s="210">
        <f t="shared" si="14"/>
        <v>0</v>
      </c>
    </row>
    <row r="40" spans="2:35" ht="45" x14ac:dyDescent="0.35">
      <c r="B40" s="628" t="s">
        <v>92</v>
      </c>
      <c r="C40" s="635">
        <v>92443</v>
      </c>
      <c r="D40" s="636" t="s">
        <v>94</v>
      </c>
      <c r="E40" s="630" t="s">
        <v>17</v>
      </c>
      <c r="F40" s="630">
        <v>40.35</v>
      </c>
      <c r="G40" s="630">
        <v>410.98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/>
      <c r="P40" s="337">
        <f>'MEMORIAL DE CALCULO 09)'!K384</f>
        <v>8.8404000000000007</v>
      </c>
      <c r="Q40" s="631">
        <v>2.2799999999999727</v>
      </c>
      <c r="R40" s="630">
        <f t="shared" si="6"/>
        <v>410.98039999999997</v>
      </c>
      <c r="S40" s="630">
        <f t="shared" ref="S40:S54" si="18">G40-R40</f>
        <v>-3.999999999564352E-4</v>
      </c>
      <c r="T40" s="630">
        <f t="shared" ref="T40:T54" si="19">F40*G40</f>
        <v>16583.043000000001</v>
      </c>
      <c r="U40" s="339">
        <f t="shared" si="1"/>
        <v>0</v>
      </c>
      <c r="V40" s="339">
        <f t="shared" si="2"/>
        <v>0</v>
      </c>
      <c r="W40" s="339">
        <f t="shared" si="17"/>
        <v>0</v>
      </c>
      <c r="X40" s="339">
        <f t="shared" si="3"/>
        <v>7691.39</v>
      </c>
      <c r="Y40" s="339">
        <f t="shared" si="4"/>
        <v>8442.9500000000007</v>
      </c>
      <c r="Z40" s="339">
        <f t="shared" si="5"/>
        <v>0</v>
      </c>
      <c r="AA40" s="339">
        <f t="shared" si="9"/>
        <v>0</v>
      </c>
      <c r="AB40" s="339">
        <f t="shared" si="10"/>
        <v>0</v>
      </c>
      <c r="AC40" s="339">
        <f t="shared" si="11"/>
        <v>356.71</v>
      </c>
      <c r="AD40" s="632">
        <f t="shared" si="12"/>
        <v>91.99</v>
      </c>
      <c r="AE40" s="633">
        <f t="shared" si="13"/>
        <v>16583.04</v>
      </c>
      <c r="AF40" s="634">
        <f t="shared" si="14"/>
        <v>3.0000000006111804E-3</v>
      </c>
      <c r="AH40" s="377"/>
    </row>
    <row r="41" spans="2:35" s="169" customFormat="1" ht="33.75" x14ac:dyDescent="0.25">
      <c r="B41" s="628" t="s">
        <v>95</v>
      </c>
      <c r="C41" s="635">
        <v>92480</v>
      </c>
      <c r="D41" s="637" t="s">
        <v>97</v>
      </c>
      <c r="E41" s="630" t="s">
        <v>17</v>
      </c>
      <c r="F41" s="630">
        <v>62.17</v>
      </c>
      <c r="G41" s="630">
        <v>439.82</v>
      </c>
      <c r="H41" s="343"/>
      <c r="I41" s="343"/>
      <c r="J41" s="338"/>
      <c r="K41" s="343"/>
      <c r="L41" s="343"/>
      <c r="M41" s="338">
        <f>'MEMORIAL DE CALCULO 06'!K384</f>
        <v>261.94400000000002</v>
      </c>
      <c r="N41" s="338">
        <f>'MEMORIAL DE CALCULO 07'!K384</f>
        <v>32.747</v>
      </c>
      <c r="O41" s="338">
        <f>'MEMORIAL DE CALCULO 08'!K384</f>
        <v>32.743000000000002</v>
      </c>
      <c r="P41" s="338">
        <f>'MEMORIAL DE CALCULO 09)'!K386</f>
        <v>107.89619999999999</v>
      </c>
      <c r="Q41" s="631">
        <v>4.4879999999999995</v>
      </c>
      <c r="R41" s="630">
        <f t="shared" si="6"/>
        <v>439.81819999999999</v>
      </c>
      <c r="S41" s="630">
        <f t="shared" si="18"/>
        <v>1.8000000000029104E-3</v>
      </c>
      <c r="T41" s="630">
        <f t="shared" si="19"/>
        <v>27343.609400000001</v>
      </c>
      <c r="U41" s="339">
        <f t="shared" si="1"/>
        <v>0</v>
      </c>
      <c r="V41" s="339">
        <f t="shared" si="2"/>
        <v>0</v>
      </c>
      <c r="W41" s="339">
        <f t="shared" si="17"/>
        <v>0</v>
      </c>
      <c r="X41" s="339">
        <f t="shared" si="3"/>
        <v>0</v>
      </c>
      <c r="Y41" s="339">
        <f t="shared" si="4"/>
        <v>0</v>
      </c>
      <c r="Z41" s="339">
        <f t="shared" si="5"/>
        <v>16285.058480000002</v>
      </c>
      <c r="AA41" s="339">
        <f t="shared" si="9"/>
        <v>2035.8809900000001</v>
      </c>
      <c r="AB41" s="339">
        <f t="shared" si="10"/>
        <v>2035.63</v>
      </c>
      <c r="AC41" s="339">
        <f t="shared" si="11"/>
        <v>6707.9</v>
      </c>
      <c r="AD41" s="632">
        <f t="shared" si="12"/>
        <v>279.01</v>
      </c>
      <c r="AE41" s="633">
        <f t="shared" si="13"/>
        <v>27343.479470000002</v>
      </c>
      <c r="AF41" s="634">
        <f>T41-AE41</f>
        <v>0.129929999999149</v>
      </c>
    </row>
    <row r="42" spans="2:35" s="169" customFormat="1" ht="22.5" x14ac:dyDescent="0.25">
      <c r="B42" s="628" t="s">
        <v>98</v>
      </c>
      <c r="C42" s="635">
        <v>92267</v>
      </c>
      <c r="D42" s="636" t="s">
        <v>100</v>
      </c>
      <c r="E42" s="630" t="s">
        <v>17</v>
      </c>
      <c r="F42" s="630">
        <v>30.99</v>
      </c>
      <c r="G42" s="630">
        <v>130.82</v>
      </c>
      <c r="H42" s="337"/>
      <c r="I42" s="338"/>
      <c r="J42" s="338"/>
      <c r="K42" s="337"/>
      <c r="L42" s="337"/>
      <c r="M42" s="337"/>
      <c r="N42" s="337"/>
      <c r="O42" s="337">
        <f>'MEMORIAL DE CALCULO 08'!K386</f>
        <v>53.183999999999997</v>
      </c>
      <c r="P42" s="337">
        <f>'MEMORIAL DE CALCULO 09)'!K389</f>
        <v>57.966300000000004</v>
      </c>
      <c r="Q42" s="631">
        <v>19.674650000000014</v>
      </c>
      <c r="R42" s="630">
        <f t="shared" si="6"/>
        <v>130.82495</v>
      </c>
      <c r="S42" s="630">
        <f t="shared" si="18"/>
        <v>-4.9500000000080036E-3</v>
      </c>
      <c r="T42" s="630">
        <f t="shared" si="19"/>
        <v>4054.1117999999997</v>
      </c>
      <c r="U42" s="339">
        <f t="shared" si="1"/>
        <v>0</v>
      </c>
      <c r="V42" s="339">
        <f t="shared" si="2"/>
        <v>0</v>
      </c>
      <c r="W42" s="339">
        <f t="shared" si="17"/>
        <v>0</v>
      </c>
      <c r="X42" s="339">
        <f t="shared" si="3"/>
        <v>0</v>
      </c>
      <c r="Y42" s="339">
        <f t="shared" si="4"/>
        <v>0</v>
      </c>
      <c r="Z42" s="339">
        <f t="shared" si="5"/>
        <v>0</v>
      </c>
      <c r="AA42" s="339">
        <f t="shared" si="9"/>
        <v>0</v>
      </c>
      <c r="AB42" s="339">
        <f t="shared" si="10"/>
        <v>1648.17</v>
      </c>
      <c r="AC42" s="339">
        <f t="shared" si="11"/>
        <v>1796.37</v>
      </c>
      <c r="AD42" s="632">
        <f t="shared" si="12"/>
        <v>609.71</v>
      </c>
      <c r="AE42" s="633">
        <f t="shared" si="13"/>
        <v>4054.25</v>
      </c>
      <c r="AF42" s="634">
        <f t="shared" si="14"/>
        <v>-0.13820000000032451</v>
      </c>
    </row>
    <row r="43" spans="2:35" s="169" customFormat="1" ht="33.75" x14ac:dyDescent="0.25">
      <c r="B43" s="628" t="s">
        <v>101</v>
      </c>
      <c r="C43" s="635">
        <v>92759</v>
      </c>
      <c r="D43" s="636" t="s">
        <v>103</v>
      </c>
      <c r="E43" s="630" t="s">
        <v>62</v>
      </c>
      <c r="F43" s="630">
        <v>14.67</v>
      </c>
      <c r="G43" s="630">
        <v>1036.2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>
        <f>'MEMORIAL DE CALCULO 06'!K386</f>
        <v>214.5</v>
      </c>
      <c r="N43" s="336"/>
      <c r="O43" s="336"/>
      <c r="P43" s="337">
        <f>'MEMORIAL DE CALCULO 09)'!K392</f>
        <v>130.6009</v>
      </c>
      <c r="Q43" s="631">
        <v>8.4037799999998697</v>
      </c>
      <c r="R43" s="630">
        <f t="shared" si="6"/>
        <v>1036.2046799999998</v>
      </c>
      <c r="S43" s="630">
        <f>G43-R43</f>
        <v>-4.6799999997801933E-3</v>
      </c>
      <c r="T43" s="630">
        <f t="shared" si="19"/>
        <v>15201.054</v>
      </c>
      <c r="U43" s="339">
        <f t="shared" si="1"/>
        <v>0</v>
      </c>
      <c r="V43" s="339">
        <f t="shared" si="2"/>
        <v>0</v>
      </c>
      <c r="W43" s="339">
        <f t="shared" si="17"/>
        <v>0</v>
      </c>
      <c r="X43" s="339">
        <f t="shared" si="3"/>
        <v>3258.2</v>
      </c>
      <c r="Y43" s="339">
        <f t="shared" si="4"/>
        <v>6757</v>
      </c>
      <c r="Z43" s="339">
        <f t="shared" si="5"/>
        <v>3146.7150000000001</v>
      </c>
      <c r="AA43" s="339">
        <f t="shared" si="9"/>
        <v>0</v>
      </c>
      <c r="AB43" s="339">
        <f t="shared" si="10"/>
        <v>0</v>
      </c>
      <c r="AC43" s="339">
        <f t="shared" si="11"/>
        <v>1915.91</v>
      </c>
      <c r="AD43" s="632">
        <f t="shared" si="12"/>
        <v>123.28</v>
      </c>
      <c r="AE43" s="633">
        <f t="shared" si="13"/>
        <v>15201.105000000001</v>
      </c>
      <c r="AF43" s="634">
        <f t="shared" si="14"/>
        <v>-5.100000000129512E-2</v>
      </c>
    </row>
    <row r="44" spans="2:35" s="169" customFormat="1" ht="33.75" hidden="1" x14ac:dyDescent="0.25">
      <c r="B44" s="203" t="s">
        <v>104</v>
      </c>
      <c r="C44" s="211">
        <v>92760</v>
      </c>
      <c r="D44" s="205" t="s">
        <v>106</v>
      </c>
      <c r="E44" s="206" t="s">
        <v>62</v>
      </c>
      <c r="F44" s="206">
        <v>14.4</v>
      </c>
      <c r="G44" s="206">
        <v>39.1</v>
      </c>
      <c r="H44" s="207"/>
      <c r="I44" s="29"/>
      <c r="J44" s="29"/>
      <c r="K44" s="207"/>
      <c r="L44" s="207">
        <f>'MEMORIAL DE CALCULO 05'!K393</f>
        <v>23.46</v>
      </c>
      <c r="M44" s="207">
        <f>'MEMORIAL DE CALCULO 06'!K388</f>
        <v>15.64</v>
      </c>
      <c r="N44" s="206"/>
      <c r="O44" s="206"/>
      <c r="P44" s="207"/>
      <c r="Q44" s="207"/>
      <c r="R44" s="206">
        <f t="shared" si="6"/>
        <v>39.1</v>
      </c>
      <c r="S44" s="206">
        <f t="shared" si="18"/>
        <v>0</v>
      </c>
      <c r="T44" s="206">
        <f t="shared" si="19"/>
        <v>563.04000000000008</v>
      </c>
      <c r="U44" s="208">
        <f t="shared" si="1"/>
        <v>0</v>
      </c>
      <c r="V44" s="208">
        <f t="shared" si="2"/>
        <v>0</v>
      </c>
      <c r="W44" s="208">
        <f t="shared" si="17"/>
        <v>0</v>
      </c>
      <c r="X44" s="208">
        <f t="shared" si="3"/>
        <v>0</v>
      </c>
      <c r="Y44" s="208">
        <f t="shared" si="4"/>
        <v>337.82</v>
      </c>
      <c r="Z44" s="208">
        <f t="shared" si="5"/>
        <v>225.21600000000001</v>
      </c>
      <c r="AA44" s="208">
        <f t="shared" si="9"/>
        <v>0</v>
      </c>
      <c r="AB44" s="208">
        <f t="shared" si="10"/>
        <v>0</v>
      </c>
      <c r="AC44" s="208">
        <f t="shared" si="11"/>
        <v>0</v>
      </c>
      <c r="AD44" s="208">
        <f t="shared" si="12"/>
        <v>0</v>
      </c>
      <c r="AE44" s="209">
        <f t="shared" si="13"/>
        <v>563.03600000000006</v>
      </c>
      <c r="AF44" s="210">
        <f t="shared" si="14"/>
        <v>4.0000000000190994E-3</v>
      </c>
    </row>
    <row r="45" spans="2:35" s="169" customFormat="1" ht="33.75" x14ac:dyDescent="0.25">
      <c r="B45" s="628" t="s">
        <v>107</v>
      </c>
      <c r="C45" s="635">
        <v>92761</v>
      </c>
      <c r="D45" s="636" t="s">
        <v>109</v>
      </c>
      <c r="E45" s="630" t="s">
        <v>62</v>
      </c>
      <c r="F45" s="630">
        <v>14.25</v>
      </c>
      <c r="G45" s="630">
        <v>1021.28</v>
      </c>
      <c r="H45" s="337"/>
      <c r="I45" s="338"/>
      <c r="J45" s="338"/>
      <c r="K45" s="337"/>
      <c r="L45" s="337">
        <f>'MEMORIAL DE CALCULO 05'!K395</f>
        <v>415.67999999999995</v>
      </c>
      <c r="M45" s="337">
        <f>'MEMORIAL DE CALCULO 06'!K390</f>
        <v>415.67999999999995</v>
      </c>
      <c r="N45" s="336"/>
      <c r="O45" s="336"/>
      <c r="P45" s="337">
        <f>'MEMORIAL DE CALCULO 09)'!K396</f>
        <v>168.64</v>
      </c>
      <c r="Q45" s="631">
        <v>21.279999999999973</v>
      </c>
      <c r="R45" s="630">
        <f t="shared" si="6"/>
        <v>1021.2799999999999</v>
      </c>
      <c r="S45" s="630">
        <f t="shared" si="18"/>
        <v>0</v>
      </c>
      <c r="T45" s="630">
        <f t="shared" si="19"/>
        <v>14553.24</v>
      </c>
      <c r="U45" s="339">
        <f t="shared" si="1"/>
        <v>0</v>
      </c>
      <c r="V45" s="339">
        <f t="shared" si="2"/>
        <v>0</v>
      </c>
      <c r="W45" s="339">
        <f t="shared" si="17"/>
        <v>0</v>
      </c>
      <c r="X45" s="339">
        <f t="shared" si="3"/>
        <v>0</v>
      </c>
      <c r="Y45" s="339">
        <f t="shared" si="4"/>
        <v>5923.44</v>
      </c>
      <c r="Z45" s="339">
        <f t="shared" si="5"/>
        <v>5923.44</v>
      </c>
      <c r="AA45" s="339">
        <f t="shared" si="9"/>
        <v>0</v>
      </c>
      <c r="AB45" s="339">
        <f t="shared" si="10"/>
        <v>0</v>
      </c>
      <c r="AC45" s="339">
        <f t="shared" si="11"/>
        <v>2403.12</v>
      </c>
      <c r="AD45" s="632">
        <f t="shared" si="12"/>
        <v>303.24</v>
      </c>
      <c r="AE45" s="633">
        <f t="shared" si="13"/>
        <v>14553.24</v>
      </c>
      <c r="AF45" s="634">
        <f t="shared" si="14"/>
        <v>0</v>
      </c>
    </row>
    <row r="46" spans="2:35" s="169" customFormat="1" ht="33.75" x14ac:dyDescent="0.25">
      <c r="B46" s="628" t="s">
        <v>110</v>
      </c>
      <c r="C46" s="635">
        <v>92762</v>
      </c>
      <c r="D46" s="636" t="s">
        <v>112</v>
      </c>
      <c r="E46" s="630" t="s">
        <v>62</v>
      </c>
      <c r="F46" s="630">
        <v>12.94</v>
      </c>
      <c r="G46" s="630">
        <v>1315.58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>
        <f>'MEMORIAL DE CALCULO 06'!K392</f>
        <v>57</v>
      </c>
      <c r="N46" s="336"/>
      <c r="O46" s="336"/>
      <c r="P46" s="337">
        <f>'MEMORIAL DE CALCULO 09)'!K398</f>
        <v>11.700799999999999</v>
      </c>
      <c r="Q46" s="631">
        <v>9.4771200000000135</v>
      </c>
      <c r="R46" s="630">
        <f t="shared" si="6"/>
        <v>1315.5779200000002</v>
      </c>
      <c r="S46" s="630">
        <f t="shared" si="18"/>
        <v>2.0799999997507257E-3</v>
      </c>
      <c r="T46" s="630">
        <f t="shared" si="19"/>
        <v>17023.605199999998</v>
      </c>
      <c r="U46" s="339">
        <f t="shared" ref="U46:U77" si="20">F46*H46</f>
        <v>0</v>
      </c>
      <c r="V46" s="339">
        <f t="shared" ref="V46:V77" si="21">F46*I46</f>
        <v>0</v>
      </c>
      <c r="W46" s="339">
        <f t="shared" si="17"/>
        <v>0</v>
      </c>
      <c r="X46" s="339">
        <f t="shared" ref="X46:X77" si="22">TRUNC(F46*K46,2)</f>
        <v>7787.68</v>
      </c>
      <c r="Y46" s="339">
        <f t="shared" ref="Y46:Y77" si="23">TRUNC(F46*L46,2)</f>
        <v>8224.27</v>
      </c>
      <c r="Z46" s="339">
        <f t="shared" si="5"/>
        <v>737.57999999999993</v>
      </c>
      <c r="AA46" s="339">
        <f t="shared" si="9"/>
        <v>0</v>
      </c>
      <c r="AB46" s="339">
        <f t="shared" si="10"/>
        <v>0</v>
      </c>
      <c r="AC46" s="339">
        <f t="shared" si="11"/>
        <v>151.4</v>
      </c>
      <c r="AD46" s="632">
        <f t="shared" si="12"/>
        <v>122.63</v>
      </c>
      <c r="AE46" s="633">
        <f t="shared" si="13"/>
        <v>17023.560000000001</v>
      </c>
      <c r="AF46" s="634">
        <f t="shared" si="14"/>
        <v>4.5199999996839324E-2</v>
      </c>
    </row>
    <row r="47" spans="2:35" s="169" customFormat="1" ht="33.75" hidden="1" x14ac:dyDescent="0.25">
      <c r="B47" s="203" t="s">
        <v>113</v>
      </c>
      <c r="C47" s="211">
        <v>92763</v>
      </c>
      <c r="D47" s="205" t="s">
        <v>115</v>
      </c>
      <c r="E47" s="206" t="s">
        <v>62</v>
      </c>
      <c r="F47" s="206">
        <v>10.71</v>
      </c>
      <c r="G47" s="206">
        <v>168.2</v>
      </c>
      <c r="H47" s="207"/>
      <c r="I47" s="29"/>
      <c r="J47" s="29"/>
      <c r="K47" s="207">
        <f>'MEMORIAL DE CALCULO 04'!K396</f>
        <v>100.42</v>
      </c>
      <c r="L47" s="207">
        <f>'MEMORIAL DE CALCULO 05'!K401</f>
        <v>61.18</v>
      </c>
      <c r="M47" s="207"/>
      <c r="N47" s="206"/>
      <c r="O47" s="206"/>
      <c r="P47" s="207">
        <f>'MEMORIAL DE CALCULO 09)'!K400</f>
        <v>6.6020000000000003</v>
      </c>
      <c r="Q47" s="207"/>
      <c r="R47" s="206">
        <f t="shared" si="6"/>
        <v>168.202</v>
      </c>
      <c r="S47" s="206">
        <f t="shared" si="18"/>
        <v>-2.0000000000095497E-3</v>
      </c>
      <c r="T47" s="206">
        <f t="shared" si="19"/>
        <v>1801.422</v>
      </c>
      <c r="U47" s="208">
        <f t="shared" si="20"/>
        <v>0</v>
      </c>
      <c r="V47" s="208">
        <f t="shared" si="21"/>
        <v>0</v>
      </c>
      <c r="W47" s="208">
        <f t="shared" si="17"/>
        <v>0</v>
      </c>
      <c r="X47" s="208">
        <f t="shared" si="22"/>
        <v>1075.49</v>
      </c>
      <c r="Y47" s="208">
        <f t="shared" si="23"/>
        <v>655.23</v>
      </c>
      <c r="Z47" s="208">
        <f t="shared" si="5"/>
        <v>0</v>
      </c>
      <c r="AA47" s="208">
        <f t="shared" ref="AA47:AA78" si="24">F47*N47</f>
        <v>0</v>
      </c>
      <c r="AB47" s="208">
        <f t="shared" si="10"/>
        <v>0</v>
      </c>
      <c r="AC47" s="208">
        <f t="shared" si="11"/>
        <v>70.7</v>
      </c>
      <c r="AD47" s="208">
        <f t="shared" si="12"/>
        <v>0</v>
      </c>
      <c r="AE47" s="209">
        <f t="shared" si="13"/>
        <v>1801.42</v>
      </c>
      <c r="AF47" s="210">
        <f t="shared" si="14"/>
        <v>1.9999999999527063E-3</v>
      </c>
    </row>
    <row r="48" spans="2:35" s="169" customFormat="1" ht="33.75" x14ac:dyDescent="0.25">
      <c r="B48" s="628" t="s">
        <v>116</v>
      </c>
      <c r="C48" s="635">
        <v>92768</v>
      </c>
      <c r="D48" s="636" t="s">
        <v>118</v>
      </c>
      <c r="E48" s="630" t="s">
        <v>62</v>
      </c>
      <c r="F48" s="630">
        <v>14.31</v>
      </c>
      <c r="G48" s="630">
        <v>205.38</v>
      </c>
      <c r="H48" s="337"/>
      <c r="I48" s="338"/>
      <c r="J48" s="338"/>
      <c r="K48" s="337"/>
      <c r="L48" s="337"/>
      <c r="M48" s="337">
        <f>'MEMORIAL DE CALCULO 06'!K394</f>
        <v>130.5</v>
      </c>
      <c r="N48" s="337"/>
      <c r="O48" s="337"/>
      <c r="P48" s="337">
        <f>'MEMORIAL DE CALCULO 09)'!K402</f>
        <v>28.2</v>
      </c>
      <c r="Q48" s="631">
        <v>46.679999999999978</v>
      </c>
      <c r="R48" s="630">
        <f t="shared" si="6"/>
        <v>205.37999999999997</v>
      </c>
      <c r="S48" s="630">
        <f t="shared" si="18"/>
        <v>0</v>
      </c>
      <c r="T48" s="630">
        <f t="shared" si="19"/>
        <v>2938.9877999999999</v>
      </c>
      <c r="U48" s="339">
        <f t="shared" si="20"/>
        <v>0</v>
      </c>
      <c r="V48" s="339">
        <f t="shared" si="21"/>
        <v>0</v>
      </c>
      <c r="W48" s="339">
        <f t="shared" si="17"/>
        <v>0</v>
      </c>
      <c r="X48" s="339">
        <f t="shared" si="22"/>
        <v>0</v>
      </c>
      <c r="Y48" s="339">
        <f t="shared" si="23"/>
        <v>0</v>
      </c>
      <c r="Z48" s="339">
        <f t="shared" si="5"/>
        <v>1867.4550000000002</v>
      </c>
      <c r="AA48" s="339">
        <f t="shared" si="24"/>
        <v>0</v>
      </c>
      <c r="AB48" s="339">
        <f t="shared" si="10"/>
        <v>0</v>
      </c>
      <c r="AC48" s="339">
        <f t="shared" si="11"/>
        <v>403.54</v>
      </c>
      <c r="AD48" s="632">
        <f t="shared" si="12"/>
        <v>667.99</v>
      </c>
      <c r="AE48" s="633">
        <f t="shared" si="13"/>
        <v>2938.9850000000006</v>
      </c>
      <c r="AF48" s="634">
        <f t="shared" si="14"/>
        <v>2.7999999992971425E-3</v>
      </c>
    </row>
    <row r="49" spans="2:32" s="169" customFormat="1" ht="33.75" x14ac:dyDescent="0.25">
      <c r="B49" s="628" t="s">
        <v>119</v>
      </c>
      <c r="C49" s="635">
        <v>92769</v>
      </c>
      <c r="D49" s="636" t="s">
        <v>121</v>
      </c>
      <c r="E49" s="630" t="s">
        <v>62</v>
      </c>
      <c r="F49" s="630">
        <v>14.01</v>
      </c>
      <c r="G49" s="630">
        <v>178.73</v>
      </c>
      <c r="H49" s="337"/>
      <c r="I49" s="338"/>
      <c r="J49" s="338"/>
      <c r="K49" s="337"/>
      <c r="L49" s="337"/>
      <c r="M49" s="337">
        <f>'MEMORIAL DE CALCULO 06'!K396</f>
        <v>157.6</v>
      </c>
      <c r="N49" s="337"/>
      <c r="O49" s="337"/>
      <c r="P49" s="337">
        <f>'MEMORIAL DE CALCULO 09)'!K404</f>
        <v>12.9002</v>
      </c>
      <c r="Q49" s="631">
        <v>8.2319999999999993</v>
      </c>
      <c r="R49" s="630">
        <f t="shared" si="6"/>
        <v>178.73220000000001</v>
      </c>
      <c r="S49" s="630">
        <f t="shared" si="18"/>
        <v>-2.200000000016189E-3</v>
      </c>
      <c r="T49" s="630">
        <f t="shared" si="19"/>
        <v>2504.0072999999998</v>
      </c>
      <c r="U49" s="339">
        <f t="shared" si="20"/>
        <v>0</v>
      </c>
      <c r="V49" s="339">
        <f t="shared" si="21"/>
        <v>0</v>
      </c>
      <c r="W49" s="339">
        <f t="shared" si="17"/>
        <v>0</v>
      </c>
      <c r="X49" s="339">
        <f t="shared" si="22"/>
        <v>0</v>
      </c>
      <c r="Y49" s="339">
        <f t="shared" si="23"/>
        <v>0</v>
      </c>
      <c r="Z49" s="339">
        <f t="shared" si="5"/>
        <v>2207.9760000000001</v>
      </c>
      <c r="AA49" s="339">
        <f t="shared" si="24"/>
        <v>0</v>
      </c>
      <c r="AB49" s="339">
        <f t="shared" si="10"/>
        <v>0</v>
      </c>
      <c r="AC49" s="339">
        <f t="shared" si="11"/>
        <v>180.73</v>
      </c>
      <c r="AD49" s="632">
        <f t="shared" si="12"/>
        <v>115.33</v>
      </c>
      <c r="AE49" s="633">
        <f t="shared" si="13"/>
        <v>2504.0360000000001</v>
      </c>
      <c r="AF49" s="634">
        <f t="shared" si="14"/>
        <v>-2.8700000000299042E-2</v>
      </c>
    </row>
    <row r="50" spans="2:32" s="167" customFormat="1" ht="33.75" hidden="1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>
        <f>'MEMORIAL DE CALCULO 06'!K398</f>
        <v>259</v>
      </c>
      <c r="N50" s="207"/>
      <c r="O50" s="207"/>
      <c r="P50" s="207">
        <f>'MEMORIAL DE CALCULO 09)'!K406</f>
        <v>20.100899999999999</v>
      </c>
      <c r="Q50" s="207"/>
      <c r="R50" s="206">
        <f t="shared" si="6"/>
        <v>279.10090000000002</v>
      </c>
      <c r="S50" s="206">
        <f t="shared" si="18"/>
        <v>-9.0000000000145519E-4</v>
      </c>
      <c r="T50" s="206">
        <f t="shared" si="19"/>
        <v>3868.326</v>
      </c>
      <c r="U50" s="208">
        <f t="shared" si="20"/>
        <v>0</v>
      </c>
      <c r="V50" s="208">
        <f t="shared" si="21"/>
        <v>0</v>
      </c>
      <c r="W50" s="208">
        <f t="shared" si="17"/>
        <v>0</v>
      </c>
      <c r="X50" s="208">
        <f t="shared" si="22"/>
        <v>0</v>
      </c>
      <c r="Y50" s="208">
        <f t="shared" si="23"/>
        <v>0</v>
      </c>
      <c r="Z50" s="208">
        <f t="shared" si="5"/>
        <v>3589.74</v>
      </c>
      <c r="AA50" s="208">
        <f t="shared" si="24"/>
        <v>0</v>
      </c>
      <c r="AB50" s="208">
        <f t="shared" si="10"/>
        <v>0</v>
      </c>
      <c r="AC50" s="208">
        <f t="shared" si="11"/>
        <v>278.58999999999997</v>
      </c>
      <c r="AD50" s="208">
        <f t="shared" si="12"/>
        <v>0</v>
      </c>
      <c r="AE50" s="209">
        <f t="shared" si="13"/>
        <v>3868.33</v>
      </c>
      <c r="AF50" s="210">
        <f t="shared" si="14"/>
        <v>-3.9999999999054126E-3</v>
      </c>
    </row>
    <row r="51" spans="2:32" ht="33.75" x14ac:dyDescent="0.25">
      <c r="B51" s="628" t="s">
        <v>125</v>
      </c>
      <c r="C51" s="635">
        <v>94966</v>
      </c>
      <c r="D51" s="636" t="s">
        <v>65</v>
      </c>
      <c r="E51" s="630" t="s">
        <v>41</v>
      </c>
      <c r="F51" s="630">
        <v>530.88</v>
      </c>
      <c r="G51" s="630">
        <v>81.650000000000006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>
        <f>'MEMORIAL DE CALCULO 06'!K400</f>
        <v>19.399999999999999</v>
      </c>
      <c r="N51" s="337">
        <f>'MEMORIAL DE CALCULO 07'!K403</f>
        <v>4.84</v>
      </c>
      <c r="O51" s="337">
        <f>'MEMORIAL DE CALCULO 08'!K402</f>
        <v>7.87</v>
      </c>
      <c r="P51" s="337">
        <f>'MEMORIAL DE CALCULO 09)'!K408</f>
        <v>10.02003</v>
      </c>
      <c r="Q51" s="631">
        <v>20.088424999999987</v>
      </c>
      <c r="R51" s="630">
        <f t="shared" si="6"/>
        <v>81.648454999999984</v>
      </c>
      <c r="S51" s="630">
        <f t="shared" si="18"/>
        <v>1.5450000000214459E-3</v>
      </c>
      <c r="T51" s="630">
        <f t="shared" si="19"/>
        <v>43346.352000000006</v>
      </c>
      <c r="U51" s="339">
        <f t="shared" si="20"/>
        <v>0</v>
      </c>
      <c r="V51" s="339">
        <f t="shared" si="21"/>
        <v>0</v>
      </c>
      <c r="W51" s="339">
        <f t="shared" si="17"/>
        <v>0</v>
      </c>
      <c r="X51" s="339">
        <f t="shared" si="22"/>
        <v>5439.39</v>
      </c>
      <c r="Y51" s="339">
        <f t="shared" si="23"/>
        <v>4875.6000000000004</v>
      </c>
      <c r="Z51" s="339">
        <f t="shared" si="5"/>
        <v>10299.071999999998</v>
      </c>
      <c r="AA51" s="339">
        <f t="shared" si="24"/>
        <v>2569.4591999999998</v>
      </c>
      <c r="AB51" s="339">
        <f t="shared" si="10"/>
        <v>4178.0200000000004</v>
      </c>
      <c r="AC51" s="339">
        <f t="shared" si="11"/>
        <v>5319.43</v>
      </c>
      <c r="AD51" s="632">
        <f t="shared" si="12"/>
        <v>10664.54</v>
      </c>
      <c r="AE51" s="633">
        <f t="shared" si="13"/>
        <v>43345.511200000001</v>
      </c>
      <c r="AF51" s="634">
        <f t="shared" si="14"/>
        <v>0.84080000000540167</v>
      </c>
    </row>
    <row r="52" spans="2:32" s="169" customFormat="1" ht="22.5" x14ac:dyDescent="0.25">
      <c r="B52" s="628" t="s">
        <v>126</v>
      </c>
      <c r="C52" s="635">
        <v>103670</v>
      </c>
      <c r="D52" s="637" t="s">
        <v>71</v>
      </c>
      <c r="E52" s="630" t="s">
        <v>41</v>
      </c>
      <c r="F52" s="630">
        <v>230.55</v>
      </c>
      <c r="G52" s="630">
        <v>81.650000000000006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38">
        <f>'MEMORIAL DE CALCULO 06'!K403</f>
        <v>19.399999999999999</v>
      </c>
      <c r="N52" s="338">
        <f>'MEMORIAL DE CALCULO 07'!K407</f>
        <v>4.84</v>
      </c>
      <c r="O52" s="338">
        <f>'MEMORIAL DE CALCULO 08'!K406</f>
        <v>7.87</v>
      </c>
      <c r="P52" s="338">
        <f>'MEMORIAL DE CALCULO 09)'!K410</f>
        <v>10.02009999</v>
      </c>
      <c r="Q52" s="638">
        <v>20.088424999999987</v>
      </c>
      <c r="R52" s="630">
        <f t="shared" si="6"/>
        <v>81.648524989999984</v>
      </c>
      <c r="S52" s="630">
        <f t="shared" si="18"/>
        <v>1.4750100000213706E-3</v>
      </c>
      <c r="T52" s="630">
        <f t="shared" si="19"/>
        <v>18824.407500000001</v>
      </c>
      <c r="U52" s="339">
        <f t="shared" si="20"/>
        <v>0</v>
      </c>
      <c r="V52" s="339">
        <f t="shared" si="21"/>
        <v>0</v>
      </c>
      <c r="W52" s="339">
        <f t="shared" si="17"/>
        <v>0</v>
      </c>
      <c r="X52" s="339">
        <f t="shared" si="22"/>
        <v>2362.21</v>
      </c>
      <c r="Y52" s="339">
        <f t="shared" si="23"/>
        <v>2117.37</v>
      </c>
      <c r="Z52" s="339">
        <f t="shared" si="5"/>
        <v>4472.67</v>
      </c>
      <c r="AA52" s="339">
        <f t="shared" si="24"/>
        <v>1115.8620000000001</v>
      </c>
      <c r="AB52" s="339">
        <f t="shared" si="10"/>
        <v>1814.42</v>
      </c>
      <c r="AC52" s="339">
        <f t="shared" si="11"/>
        <v>2310.13</v>
      </c>
      <c r="AD52" s="632">
        <f t="shared" si="12"/>
        <v>4631.38</v>
      </c>
      <c r="AE52" s="633">
        <f t="shared" si="13"/>
        <v>18824.042000000001</v>
      </c>
      <c r="AF52" s="634">
        <f t="shared" si="14"/>
        <v>0.36549999999988358</v>
      </c>
    </row>
    <row r="53" spans="2:32" s="169" customFormat="1" ht="33.75" x14ac:dyDescent="0.25">
      <c r="B53" s="628" t="s">
        <v>127</v>
      </c>
      <c r="C53" s="635">
        <v>92771</v>
      </c>
      <c r="D53" s="637" t="s">
        <v>129</v>
      </c>
      <c r="E53" s="630" t="s">
        <v>62</v>
      </c>
      <c r="F53" s="630">
        <v>12.55</v>
      </c>
      <c r="G53" s="630">
        <v>406.9</v>
      </c>
      <c r="H53" s="343"/>
      <c r="I53" s="343"/>
      <c r="J53" s="338"/>
      <c r="K53" s="343"/>
      <c r="L53" s="343"/>
      <c r="M53" s="338">
        <f>'MEMORIAL DE CALCULO 06'!K405</f>
        <v>217.7</v>
      </c>
      <c r="N53" s="343"/>
      <c r="O53" s="343"/>
      <c r="P53" s="338">
        <f>'MEMORIAL DE CALCULO 09)'!K412</f>
        <v>94.6</v>
      </c>
      <c r="Q53" s="638">
        <v>94.599999999999966</v>
      </c>
      <c r="R53" s="630">
        <f t="shared" si="6"/>
        <v>406.89999999999992</v>
      </c>
      <c r="S53" s="630">
        <f t="shared" si="18"/>
        <v>0</v>
      </c>
      <c r="T53" s="630">
        <f t="shared" si="19"/>
        <v>5106.5950000000003</v>
      </c>
      <c r="U53" s="339">
        <f t="shared" si="20"/>
        <v>0</v>
      </c>
      <c r="V53" s="339">
        <f t="shared" si="21"/>
        <v>0</v>
      </c>
      <c r="W53" s="339">
        <f t="shared" si="17"/>
        <v>0</v>
      </c>
      <c r="X53" s="339">
        <f t="shared" si="22"/>
        <v>0</v>
      </c>
      <c r="Y53" s="339">
        <f t="shared" si="23"/>
        <v>0</v>
      </c>
      <c r="Z53" s="339">
        <f t="shared" si="5"/>
        <v>2732.1350000000002</v>
      </c>
      <c r="AA53" s="339">
        <f t="shared" si="24"/>
        <v>0</v>
      </c>
      <c r="AB53" s="339">
        <f t="shared" si="10"/>
        <v>0</v>
      </c>
      <c r="AC53" s="339">
        <f t="shared" si="11"/>
        <v>1187.23</v>
      </c>
      <c r="AD53" s="632">
        <f t="shared" si="12"/>
        <v>1187.23</v>
      </c>
      <c r="AE53" s="633">
        <f t="shared" si="13"/>
        <v>5106.5950000000003</v>
      </c>
      <c r="AF53" s="634">
        <f t="shared" si="14"/>
        <v>0</v>
      </c>
    </row>
    <row r="54" spans="2:32" s="167" customFormat="1" ht="33.75" hidden="1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>
        <f>'MEMORIAL DE CALCULO 06'!K407</f>
        <v>154.80000000000001</v>
      </c>
      <c r="N54" s="206"/>
      <c r="O54" s="206"/>
      <c r="P54" s="207"/>
      <c r="Q54" s="207"/>
      <c r="R54" s="206">
        <f t="shared" si="6"/>
        <v>154.80000000000001</v>
      </c>
      <c r="S54" s="206">
        <f t="shared" si="18"/>
        <v>0</v>
      </c>
      <c r="T54" s="206">
        <f t="shared" si="19"/>
        <v>1608.3720000000003</v>
      </c>
      <c r="U54" s="208">
        <f t="shared" si="20"/>
        <v>0</v>
      </c>
      <c r="V54" s="208">
        <f t="shared" si="21"/>
        <v>0</v>
      </c>
      <c r="W54" s="208">
        <f t="shared" si="17"/>
        <v>0</v>
      </c>
      <c r="X54" s="208">
        <f t="shared" si="22"/>
        <v>0</v>
      </c>
      <c r="Y54" s="208">
        <f t="shared" si="23"/>
        <v>0</v>
      </c>
      <c r="Z54" s="208">
        <f t="shared" si="5"/>
        <v>1608.3720000000003</v>
      </c>
      <c r="AA54" s="208">
        <f t="shared" si="24"/>
        <v>0</v>
      </c>
      <c r="AB54" s="208">
        <f t="shared" si="10"/>
        <v>0</v>
      </c>
      <c r="AC54" s="208">
        <f t="shared" si="11"/>
        <v>0</v>
      </c>
      <c r="AD54" s="208">
        <f t="shared" si="12"/>
        <v>0</v>
      </c>
      <c r="AE54" s="209">
        <f t="shared" si="13"/>
        <v>1608.3720000000003</v>
      </c>
      <c r="AF54" s="210">
        <f t="shared" si="14"/>
        <v>0</v>
      </c>
    </row>
    <row r="55" spans="2:32" s="167" customFormat="1" hidden="1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7"/>
      <c r="Q55" s="207"/>
      <c r="R55" s="206">
        <f t="shared" si="6"/>
        <v>0</v>
      </c>
      <c r="S55" s="206"/>
      <c r="T55" s="206"/>
      <c r="U55" s="208">
        <f t="shared" si="20"/>
        <v>0</v>
      </c>
      <c r="V55" s="208">
        <f t="shared" si="21"/>
        <v>0</v>
      </c>
      <c r="W55" s="208">
        <f t="shared" si="17"/>
        <v>0</v>
      </c>
      <c r="X55" s="208">
        <f t="shared" si="22"/>
        <v>0</v>
      </c>
      <c r="Y55" s="208">
        <f t="shared" si="23"/>
        <v>0</v>
      </c>
      <c r="Z55" s="208">
        <f t="shared" si="5"/>
        <v>0</v>
      </c>
      <c r="AA55" s="208">
        <f t="shared" si="24"/>
        <v>0</v>
      </c>
      <c r="AB55" s="208">
        <f t="shared" si="10"/>
        <v>0</v>
      </c>
      <c r="AC55" s="208">
        <f t="shared" si="11"/>
        <v>0</v>
      </c>
      <c r="AD55" s="208">
        <f t="shared" si="12"/>
        <v>0</v>
      </c>
      <c r="AE55" s="209">
        <f t="shared" si="13"/>
        <v>0</v>
      </c>
      <c r="AF55" s="210">
        <f t="shared" si="14"/>
        <v>0</v>
      </c>
    </row>
    <row r="56" spans="2:32" ht="45" x14ac:dyDescent="0.25">
      <c r="B56" s="628" t="s">
        <v>135</v>
      </c>
      <c r="C56" s="635">
        <v>103356</v>
      </c>
      <c r="D56" s="636" t="s">
        <v>137</v>
      </c>
      <c r="E56" s="630" t="s">
        <v>17</v>
      </c>
      <c r="F56" s="630">
        <v>46.86</v>
      </c>
      <c r="G56" s="630">
        <v>1242.6199999999999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7">
        <f>'MEMORIAL DE CALCULO 08'!K414</f>
        <v>238.84</v>
      </c>
      <c r="P56" s="337">
        <f>'MEMORIAL DE CALCULO 09)'!K418</f>
        <v>46.31</v>
      </c>
      <c r="Q56" s="631">
        <v>110.62549999999987</v>
      </c>
      <c r="R56" s="630">
        <f t="shared" si="6"/>
        <v>1242.6204999999998</v>
      </c>
      <c r="S56" s="630">
        <f>G56-R56</f>
        <v>-4.9999999987448973E-4</v>
      </c>
      <c r="T56" s="630">
        <f>F56*G56</f>
        <v>58229.173199999997</v>
      </c>
      <c r="U56" s="339">
        <f t="shared" si="20"/>
        <v>0</v>
      </c>
      <c r="V56" s="339">
        <f t="shared" si="21"/>
        <v>0</v>
      </c>
      <c r="W56" s="339">
        <f t="shared" si="17"/>
        <v>0</v>
      </c>
      <c r="X56" s="339">
        <f t="shared" si="22"/>
        <v>16620.53</v>
      </c>
      <c r="Y56" s="339">
        <f t="shared" si="23"/>
        <v>23062.61</v>
      </c>
      <c r="Z56" s="339">
        <f t="shared" si="5"/>
        <v>0</v>
      </c>
      <c r="AA56" s="339">
        <f t="shared" si="24"/>
        <v>0</v>
      </c>
      <c r="AB56" s="339">
        <f t="shared" si="10"/>
        <v>11192.04</v>
      </c>
      <c r="AC56" s="339">
        <f t="shared" si="11"/>
        <v>2170.08</v>
      </c>
      <c r="AD56" s="632">
        <f t="shared" si="12"/>
        <v>5183.91</v>
      </c>
      <c r="AE56" s="633">
        <f t="shared" si="13"/>
        <v>58229.17</v>
      </c>
      <c r="AF56" s="634">
        <f t="shared" si="14"/>
        <v>3.1999999991967343E-3</v>
      </c>
    </row>
    <row r="57" spans="2:32" s="167" customFormat="1" ht="22.5" hidden="1" x14ac:dyDescent="0.25">
      <c r="B57" s="203" t="s">
        <v>138</v>
      </c>
      <c r="C57" s="211">
        <v>93189</v>
      </c>
      <c r="D57" s="215" t="s">
        <v>140</v>
      </c>
      <c r="E57" s="206" t="s">
        <v>37</v>
      </c>
      <c r="F57" s="206">
        <v>99.36</v>
      </c>
      <c r="G57" s="206">
        <v>64.099999999999994</v>
      </c>
      <c r="H57" s="216"/>
      <c r="I57" s="29"/>
      <c r="J57" s="29"/>
      <c r="K57" s="29">
        <f>'MEMORIAL DE CALCULO 04'!K484</f>
        <v>10.199999999999999</v>
      </c>
      <c r="L57" s="29">
        <f>'MEMORIAL DE CALCULO 05'!K479</f>
        <v>53.900000000000006</v>
      </c>
      <c r="M57" s="216"/>
      <c r="N57" s="216"/>
      <c r="O57" s="216"/>
      <c r="P57" s="216"/>
      <c r="Q57" s="216"/>
      <c r="R57" s="206">
        <f t="shared" si="6"/>
        <v>64.100000000000009</v>
      </c>
      <c r="S57" s="206">
        <f>G57-R57</f>
        <v>0</v>
      </c>
      <c r="T57" s="206">
        <f>F57*G57</f>
        <v>6368.9759999999997</v>
      </c>
      <c r="U57" s="208">
        <f t="shared" si="20"/>
        <v>0</v>
      </c>
      <c r="V57" s="208">
        <f t="shared" si="21"/>
        <v>0</v>
      </c>
      <c r="W57" s="208">
        <f t="shared" si="17"/>
        <v>0</v>
      </c>
      <c r="X57" s="208">
        <f t="shared" si="22"/>
        <v>1013.47</v>
      </c>
      <c r="Y57" s="208">
        <f t="shared" si="23"/>
        <v>5355.5</v>
      </c>
      <c r="Z57" s="208">
        <f t="shared" si="5"/>
        <v>0</v>
      </c>
      <c r="AA57" s="208">
        <f t="shared" si="24"/>
        <v>0</v>
      </c>
      <c r="AB57" s="208">
        <f t="shared" si="10"/>
        <v>0</v>
      </c>
      <c r="AC57" s="208">
        <f t="shared" si="11"/>
        <v>0</v>
      </c>
      <c r="AD57" s="208">
        <f t="shared" si="12"/>
        <v>0</v>
      </c>
      <c r="AE57" s="209">
        <f t="shared" si="13"/>
        <v>6368.97</v>
      </c>
      <c r="AF57" s="210">
        <f t="shared" si="14"/>
        <v>5.9999999994033715E-3</v>
      </c>
    </row>
    <row r="58" spans="2:32" s="169" customFormat="1" ht="33.75" x14ac:dyDescent="0.25">
      <c r="B58" s="628" t="s">
        <v>141</v>
      </c>
      <c r="C58" s="635">
        <v>93191</v>
      </c>
      <c r="D58" s="636" t="s">
        <v>143</v>
      </c>
      <c r="E58" s="630" t="s">
        <v>37</v>
      </c>
      <c r="F58" s="630">
        <v>50.71</v>
      </c>
      <c r="G58" s="630">
        <v>73.3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/>
      <c r="P58" s="337"/>
      <c r="Q58" s="631">
        <v>1.0999999999999943</v>
      </c>
      <c r="R58" s="630">
        <f t="shared" si="6"/>
        <v>73.3</v>
      </c>
      <c r="S58" s="630">
        <f>G58-R58</f>
        <v>0</v>
      </c>
      <c r="T58" s="630">
        <f>F58*G58</f>
        <v>3717.0430000000001</v>
      </c>
      <c r="U58" s="339">
        <f t="shared" si="20"/>
        <v>0</v>
      </c>
      <c r="V58" s="339">
        <f t="shared" si="21"/>
        <v>0</v>
      </c>
      <c r="W58" s="339">
        <f t="shared" si="17"/>
        <v>0</v>
      </c>
      <c r="X58" s="339">
        <f t="shared" si="22"/>
        <v>588.23</v>
      </c>
      <c r="Y58" s="339">
        <f t="shared" si="23"/>
        <v>3073.02</v>
      </c>
      <c r="Z58" s="339">
        <f t="shared" si="5"/>
        <v>0</v>
      </c>
      <c r="AA58" s="339">
        <f t="shared" si="24"/>
        <v>0</v>
      </c>
      <c r="AB58" s="339">
        <f t="shared" si="10"/>
        <v>0</v>
      </c>
      <c r="AC58" s="339">
        <f t="shared" si="11"/>
        <v>0</v>
      </c>
      <c r="AD58" s="632">
        <f t="shared" si="12"/>
        <v>55.78</v>
      </c>
      <c r="AE58" s="633">
        <f t="shared" si="13"/>
        <v>3717.03</v>
      </c>
      <c r="AF58" s="634">
        <f t="shared" si="14"/>
        <v>1.2999999999919964E-2</v>
      </c>
    </row>
    <row r="59" spans="2:32" s="169" customFormat="1" ht="22.5" x14ac:dyDescent="0.25">
      <c r="B59" s="628" t="s">
        <v>144</v>
      </c>
      <c r="C59" s="635">
        <v>93197</v>
      </c>
      <c r="D59" s="636" t="s">
        <v>146</v>
      </c>
      <c r="E59" s="630" t="s">
        <v>37</v>
      </c>
      <c r="F59" s="630">
        <v>90.23</v>
      </c>
      <c r="G59" s="630">
        <v>73.3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/>
      <c r="P59" s="337"/>
      <c r="Q59" s="631">
        <v>1.0999999999999943</v>
      </c>
      <c r="R59" s="630">
        <f t="shared" si="6"/>
        <v>73.3</v>
      </c>
      <c r="S59" s="630">
        <f>G59-R59</f>
        <v>0</v>
      </c>
      <c r="T59" s="630">
        <f>F59*G59</f>
        <v>6613.8590000000004</v>
      </c>
      <c r="U59" s="339">
        <f t="shared" si="20"/>
        <v>0</v>
      </c>
      <c r="V59" s="339">
        <f t="shared" si="21"/>
        <v>0</v>
      </c>
      <c r="W59" s="339">
        <f t="shared" ref="W59:W90" si="25">F59*J59</f>
        <v>0</v>
      </c>
      <c r="X59" s="339">
        <f t="shared" si="22"/>
        <v>1046.6600000000001</v>
      </c>
      <c r="Y59" s="339">
        <f t="shared" si="23"/>
        <v>5467.93</v>
      </c>
      <c r="Z59" s="339">
        <f t="shared" si="5"/>
        <v>0</v>
      </c>
      <c r="AA59" s="339">
        <f t="shared" si="24"/>
        <v>0</v>
      </c>
      <c r="AB59" s="339">
        <f t="shared" si="10"/>
        <v>0</v>
      </c>
      <c r="AC59" s="339">
        <f t="shared" si="11"/>
        <v>0</v>
      </c>
      <c r="AD59" s="632">
        <f t="shared" si="12"/>
        <v>99.25</v>
      </c>
      <c r="AE59" s="633">
        <f t="shared" si="13"/>
        <v>6613.84</v>
      </c>
      <c r="AF59" s="634">
        <f t="shared" si="14"/>
        <v>1.9000000000232831E-2</v>
      </c>
    </row>
    <row r="60" spans="2:32" s="167" customFormat="1" ht="14.45" hidden="1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7"/>
      <c r="Q60" s="207"/>
      <c r="R60" s="206">
        <f t="shared" si="6"/>
        <v>0</v>
      </c>
      <c r="S60" s="206"/>
      <c r="T60" s="206"/>
      <c r="U60" s="208">
        <f t="shared" si="20"/>
        <v>0</v>
      </c>
      <c r="V60" s="208">
        <f t="shared" si="21"/>
        <v>0</v>
      </c>
      <c r="W60" s="208">
        <f t="shared" si="25"/>
        <v>0</v>
      </c>
      <c r="X60" s="208">
        <f t="shared" si="22"/>
        <v>0</v>
      </c>
      <c r="Y60" s="208">
        <f t="shared" si="23"/>
        <v>0</v>
      </c>
      <c r="Z60" s="208"/>
      <c r="AA60" s="208">
        <f t="shared" si="24"/>
        <v>0</v>
      </c>
      <c r="AB60" s="208">
        <f t="shared" si="10"/>
        <v>0</v>
      </c>
      <c r="AC60" s="208">
        <f t="shared" si="11"/>
        <v>0</v>
      </c>
      <c r="AD60" s="208">
        <f t="shared" si="12"/>
        <v>0</v>
      </c>
      <c r="AE60" s="209">
        <f t="shared" si="13"/>
        <v>0</v>
      </c>
      <c r="AF60" s="210"/>
    </row>
    <row r="61" spans="2:32" s="169" customFormat="1" ht="45" x14ac:dyDescent="0.25">
      <c r="B61" s="628" t="s">
        <v>149</v>
      </c>
      <c r="C61" s="635">
        <v>87893</v>
      </c>
      <c r="D61" s="636" t="s">
        <v>151</v>
      </c>
      <c r="E61" s="630" t="s">
        <v>17</v>
      </c>
      <c r="F61" s="630">
        <v>6.08</v>
      </c>
      <c r="G61" s="630">
        <v>2029.19</v>
      </c>
      <c r="H61" s="337"/>
      <c r="I61" s="338"/>
      <c r="J61" s="338"/>
      <c r="K61" s="337"/>
      <c r="L61" s="337">
        <v>1348.98</v>
      </c>
      <c r="M61" s="337"/>
      <c r="N61" s="336"/>
      <c r="O61" s="336"/>
      <c r="P61" s="337"/>
      <c r="Q61" s="631">
        <v>380</v>
      </c>
      <c r="R61" s="630">
        <f t="shared" si="6"/>
        <v>1728.98</v>
      </c>
      <c r="S61" s="630">
        <f>G61-R61</f>
        <v>300.21000000000004</v>
      </c>
      <c r="T61" s="630">
        <f>F61*G61</f>
        <v>12337.475200000001</v>
      </c>
      <c r="U61" s="339">
        <f t="shared" si="20"/>
        <v>0</v>
      </c>
      <c r="V61" s="339">
        <f t="shared" si="21"/>
        <v>0</v>
      </c>
      <c r="W61" s="339">
        <f t="shared" si="25"/>
        <v>0</v>
      </c>
      <c r="X61" s="339">
        <f t="shared" si="22"/>
        <v>0</v>
      </c>
      <c r="Y61" s="339">
        <f t="shared" si="23"/>
        <v>8201.7900000000009</v>
      </c>
      <c r="Z61" s="339">
        <f>M61*F61</f>
        <v>0</v>
      </c>
      <c r="AA61" s="339">
        <f t="shared" si="24"/>
        <v>0</v>
      </c>
      <c r="AB61" s="339">
        <f t="shared" si="10"/>
        <v>0</v>
      </c>
      <c r="AC61" s="339">
        <f t="shared" si="11"/>
        <v>0</v>
      </c>
      <c r="AD61" s="632">
        <f t="shared" si="12"/>
        <v>2310.4</v>
      </c>
      <c r="AE61" s="633">
        <f t="shared" si="13"/>
        <v>10512.19</v>
      </c>
      <c r="AF61" s="634">
        <f t="shared" si="14"/>
        <v>1825.2852000000003</v>
      </c>
    </row>
    <row r="62" spans="2:32" s="169" customFormat="1" ht="45" x14ac:dyDescent="0.25">
      <c r="B62" s="628" t="s">
        <v>152</v>
      </c>
      <c r="C62" s="635">
        <v>87548</v>
      </c>
      <c r="D62" s="636" t="s">
        <v>154</v>
      </c>
      <c r="E62" s="630" t="s">
        <v>17</v>
      </c>
      <c r="F62" s="630">
        <v>22.4</v>
      </c>
      <c r="G62" s="630">
        <v>1666.99</v>
      </c>
      <c r="H62" s="337"/>
      <c r="I62" s="338"/>
      <c r="J62" s="338"/>
      <c r="K62" s="337"/>
      <c r="L62" s="337"/>
      <c r="M62" s="337">
        <f>'MEMORIAL DE CALCULO 06'!K410</f>
        <v>299.13299999999998</v>
      </c>
      <c r="N62" s="337">
        <v>697.97678599999995</v>
      </c>
      <c r="O62" s="337"/>
      <c r="P62" s="337"/>
      <c r="Q62" s="631">
        <v>480</v>
      </c>
      <c r="R62" s="630">
        <f t="shared" si="6"/>
        <v>1477.109786</v>
      </c>
      <c r="S62" s="630">
        <f>G62-R62</f>
        <v>189.88021400000002</v>
      </c>
      <c r="T62" s="630">
        <f>F62*G62</f>
        <v>37340.576000000001</v>
      </c>
      <c r="U62" s="339">
        <f t="shared" si="20"/>
        <v>0</v>
      </c>
      <c r="V62" s="339">
        <f t="shared" si="21"/>
        <v>0</v>
      </c>
      <c r="W62" s="339">
        <f t="shared" si="25"/>
        <v>0</v>
      </c>
      <c r="X62" s="339">
        <f t="shared" si="22"/>
        <v>0</v>
      </c>
      <c r="Y62" s="339">
        <f t="shared" si="23"/>
        <v>0</v>
      </c>
      <c r="Z62" s="339">
        <f>M62*F62</f>
        <v>6700.5791999999992</v>
      </c>
      <c r="AA62" s="339">
        <f t="shared" si="24"/>
        <v>15634.680006399998</v>
      </c>
      <c r="AB62" s="339">
        <f t="shared" si="10"/>
        <v>0</v>
      </c>
      <c r="AC62" s="339">
        <f t="shared" si="11"/>
        <v>0</v>
      </c>
      <c r="AD62" s="632">
        <f t="shared" si="12"/>
        <v>10752</v>
      </c>
      <c r="AE62" s="633">
        <f t="shared" si="13"/>
        <v>33087.259206399998</v>
      </c>
      <c r="AF62" s="634">
        <f t="shared" si="14"/>
        <v>4253.3167936000027</v>
      </c>
    </row>
    <row r="63" spans="2:32" s="167" customFormat="1" ht="56.25" hidden="1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7">
        <f>'MEMORIAL DE CALCULO 07'!K417</f>
        <v>351.87</v>
      </c>
      <c r="O63" s="207"/>
      <c r="P63" s="207"/>
      <c r="Q63" s="207"/>
      <c r="R63" s="206">
        <f t="shared" si="6"/>
        <v>351.87</v>
      </c>
      <c r="S63" s="206">
        <f>G63-R63</f>
        <v>0</v>
      </c>
      <c r="T63" s="206">
        <f>F63*G63</f>
        <v>10999.456200000001</v>
      </c>
      <c r="U63" s="208">
        <f t="shared" si="20"/>
        <v>0</v>
      </c>
      <c r="V63" s="208">
        <f t="shared" si="21"/>
        <v>0</v>
      </c>
      <c r="W63" s="208">
        <f t="shared" si="25"/>
        <v>0</v>
      </c>
      <c r="X63" s="208">
        <f t="shared" si="22"/>
        <v>0</v>
      </c>
      <c r="Y63" s="208">
        <f t="shared" si="23"/>
        <v>0</v>
      </c>
      <c r="Z63" s="208">
        <f>M63*F63</f>
        <v>0</v>
      </c>
      <c r="AA63" s="208">
        <f t="shared" si="24"/>
        <v>10999.456200000001</v>
      </c>
      <c r="AB63" s="208">
        <f t="shared" si="10"/>
        <v>0</v>
      </c>
      <c r="AC63" s="208">
        <f t="shared" si="11"/>
        <v>0</v>
      </c>
      <c r="AD63" s="208">
        <f t="shared" si="12"/>
        <v>0</v>
      </c>
      <c r="AE63" s="209">
        <f t="shared" si="13"/>
        <v>10999.456200000001</v>
      </c>
      <c r="AF63" s="210">
        <f t="shared" si="14"/>
        <v>0</v>
      </c>
    </row>
    <row r="64" spans="2:32" s="167" customFormat="1" ht="33.75" hidden="1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/>
      <c r="P64" s="207"/>
      <c r="Q64" s="207"/>
      <c r="R64" s="206">
        <f t="shared" si="6"/>
        <v>0</v>
      </c>
      <c r="S64" s="206">
        <f>G64-R64</f>
        <v>351.87</v>
      </c>
      <c r="T64" s="206">
        <f>F64*G64</f>
        <v>26439.5118</v>
      </c>
      <c r="U64" s="208">
        <f t="shared" si="20"/>
        <v>0</v>
      </c>
      <c r="V64" s="208">
        <f t="shared" si="21"/>
        <v>0</v>
      </c>
      <c r="W64" s="208">
        <f t="shared" si="25"/>
        <v>0</v>
      </c>
      <c r="X64" s="208">
        <f t="shared" si="22"/>
        <v>0</v>
      </c>
      <c r="Y64" s="208">
        <f t="shared" si="23"/>
        <v>0</v>
      </c>
      <c r="Z64" s="208">
        <f>M64*F64</f>
        <v>0</v>
      </c>
      <c r="AA64" s="208">
        <f t="shared" si="24"/>
        <v>0</v>
      </c>
      <c r="AB64" s="208">
        <f t="shared" si="10"/>
        <v>0</v>
      </c>
      <c r="AC64" s="208">
        <f t="shared" si="11"/>
        <v>0</v>
      </c>
      <c r="AD64" s="208">
        <f t="shared" si="12"/>
        <v>0</v>
      </c>
      <c r="AE64" s="209">
        <f t="shared" si="13"/>
        <v>0</v>
      </c>
      <c r="AF64" s="210">
        <f t="shared" si="14"/>
        <v>26439.5118</v>
      </c>
    </row>
    <row r="65" spans="2:32" s="167" customFormat="1" hidden="1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7"/>
      <c r="Q65" s="207"/>
      <c r="R65" s="206">
        <f t="shared" si="6"/>
        <v>0</v>
      </c>
      <c r="S65" s="206"/>
      <c r="T65" s="206"/>
      <c r="U65" s="208">
        <f t="shared" si="20"/>
        <v>0</v>
      </c>
      <c r="V65" s="208">
        <f t="shared" si="21"/>
        <v>0</v>
      </c>
      <c r="W65" s="208">
        <f t="shared" si="25"/>
        <v>0</v>
      </c>
      <c r="X65" s="208">
        <f t="shared" si="22"/>
        <v>0</v>
      </c>
      <c r="Y65" s="208">
        <f t="shared" si="23"/>
        <v>0</v>
      </c>
      <c r="Z65" s="208"/>
      <c r="AA65" s="208">
        <f t="shared" si="24"/>
        <v>0</v>
      </c>
      <c r="AB65" s="208">
        <f t="shared" si="10"/>
        <v>0</v>
      </c>
      <c r="AC65" s="208">
        <f t="shared" si="11"/>
        <v>0</v>
      </c>
      <c r="AD65" s="208">
        <f t="shared" si="12"/>
        <v>0</v>
      </c>
      <c r="AE65" s="209">
        <f t="shared" si="13"/>
        <v>0</v>
      </c>
      <c r="AF65" s="210"/>
    </row>
    <row r="66" spans="2:32" s="167" customFormat="1" ht="56.25" hidden="1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16"/>
      <c r="P66" s="216"/>
      <c r="Q66" s="216"/>
      <c r="R66" s="206">
        <f t="shared" si="6"/>
        <v>0</v>
      </c>
      <c r="S66" s="206">
        <f t="shared" ref="S66:S73" si="26">G66-R66</f>
        <v>18</v>
      </c>
      <c r="T66" s="206">
        <f t="shared" ref="T66:T73" si="27">F66*G66</f>
        <v>16542.18</v>
      </c>
      <c r="U66" s="208">
        <f t="shared" si="20"/>
        <v>0</v>
      </c>
      <c r="V66" s="208">
        <f t="shared" si="21"/>
        <v>0</v>
      </c>
      <c r="W66" s="208">
        <f t="shared" si="25"/>
        <v>0</v>
      </c>
      <c r="X66" s="208">
        <f t="shared" si="22"/>
        <v>0</v>
      </c>
      <c r="Y66" s="208">
        <f t="shared" si="23"/>
        <v>0</v>
      </c>
      <c r="Z66" s="208">
        <f t="shared" ref="Z66:Z97" si="28">M66*F66</f>
        <v>0</v>
      </c>
      <c r="AA66" s="208">
        <f t="shared" si="24"/>
        <v>0</v>
      </c>
      <c r="AB66" s="208">
        <f t="shared" si="10"/>
        <v>0</v>
      </c>
      <c r="AC66" s="208">
        <f t="shared" si="11"/>
        <v>0</v>
      </c>
      <c r="AD66" s="208">
        <f t="shared" si="12"/>
        <v>0</v>
      </c>
      <c r="AE66" s="209">
        <f t="shared" si="13"/>
        <v>0</v>
      </c>
      <c r="AF66" s="210">
        <f t="shared" si="14"/>
        <v>16542.18</v>
      </c>
    </row>
    <row r="67" spans="2:32" s="167" customFormat="1" ht="45" hidden="1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50.8</v>
      </c>
      <c r="H67" s="207"/>
      <c r="I67" s="29"/>
      <c r="J67" s="29"/>
      <c r="K67" s="207"/>
      <c r="L67" s="207"/>
      <c r="M67" s="207"/>
      <c r="N67" s="206"/>
      <c r="O67" s="206"/>
      <c r="P67" s="207"/>
      <c r="Q67" s="207"/>
      <c r="R67" s="206">
        <f t="shared" si="6"/>
        <v>0</v>
      </c>
      <c r="S67" s="206">
        <f t="shared" si="26"/>
        <v>50.8</v>
      </c>
      <c r="T67" s="206">
        <f t="shared" si="27"/>
        <v>48784.256000000001</v>
      </c>
      <c r="U67" s="208">
        <f t="shared" si="20"/>
        <v>0</v>
      </c>
      <c r="V67" s="208">
        <f t="shared" si="21"/>
        <v>0</v>
      </c>
      <c r="W67" s="208">
        <f t="shared" si="25"/>
        <v>0</v>
      </c>
      <c r="X67" s="208">
        <f t="shared" si="22"/>
        <v>0</v>
      </c>
      <c r="Y67" s="208">
        <f t="shared" si="23"/>
        <v>0</v>
      </c>
      <c r="Z67" s="208">
        <f t="shared" si="28"/>
        <v>0</v>
      </c>
      <c r="AA67" s="208">
        <f t="shared" si="24"/>
        <v>0</v>
      </c>
      <c r="AB67" s="208">
        <f t="shared" si="10"/>
        <v>0</v>
      </c>
      <c r="AC67" s="208">
        <f t="shared" si="11"/>
        <v>0</v>
      </c>
      <c r="AD67" s="208">
        <f t="shared" si="12"/>
        <v>0</v>
      </c>
      <c r="AE67" s="209">
        <f t="shared" si="13"/>
        <v>0</v>
      </c>
      <c r="AF67" s="210">
        <f t="shared" si="14"/>
        <v>48784.256000000001</v>
      </c>
    </row>
    <row r="68" spans="2:32" s="167" customFormat="1" ht="56.25" hidden="1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/>
      <c r="P68" s="207"/>
      <c r="Q68" s="207"/>
      <c r="R68" s="206">
        <f t="shared" si="6"/>
        <v>0</v>
      </c>
      <c r="S68" s="206">
        <f t="shared" si="26"/>
        <v>5</v>
      </c>
      <c r="T68" s="206">
        <f t="shared" si="27"/>
        <v>5348.7</v>
      </c>
      <c r="U68" s="208">
        <f t="shared" si="20"/>
        <v>0</v>
      </c>
      <c r="V68" s="208">
        <f t="shared" si="21"/>
        <v>0</v>
      </c>
      <c r="W68" s="208">
        <f t="shared" si="25"/>
        <v>0</v>
      </c>
      <c r="X68" s="208">
        <f t="shared" si="22"/>
        <v>0</v>
      </c>
      <c r="Y68" s="208">
        <f t="shared" si="23"/>
        <v>0</v>
      </c>
      <c r="Z68" s="208">
        <f t="shared" si="28"/>
        <v>0</v>
      </c>
      <c r="AA68" s="208">
        <f t="shared" si="24"/>
        <v>0</v>
      </c>
      <c r="AB68" s="208">
        <f t="shared" si="10"/>
        <v>0</v>
      </c>
      <c r="AC68" s="208">
        <f t="shared" si="11"/>
        <v>0</v>
      </c>
      <c r="AD68" s="208">
        <f t="shared" si="12"/>
        <v>0</v>
      </c>
      <c r="AE68" s="209">
        <f t="shared" si="13"/>
        <v>0</v>
      </c>
      <c r="AF68" s="210">
        <f t="shared" si="14"/>
        <v>5348.7</v>
      </c>
    </row>
    <row r="69" spans="2:32" s="167" customFormat="1" ht="33.75" hidden="1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/>
      <c r="P69" s="207"/>
      <c r="Q69" s="207"/>
      <c r="R69" s="206">
        <f t="shared" si="6"/>
        <v>0</v>
      </c>
      <c r="S69" s="206">
        <f t="shared" si="26"/>
        <v>1</v>
      </c>
      <c r="T69" s="206">
        <f t="shared" si="27"/>
        <v>2030.34</v>
      </c>
      <c r="U69" s="208">
        <f t="shared" si="20"/>
        <v>0</v>
      </c>
      <c r="V69" s="208">
        <f t="shared" si="21"/>
        <v>0</v>
      </c>
      <c r="W69" s="208">
        <f t="shared" si="25"/>
        <v>0</v>
      </c>
      <c r="X69" s="208">
        <f t="shared" si="22"/>
        <v>0</v>
      </c>
      <c r="Y69" s="208">
        <f t="shared" si="23"/>
        <v>0</v>
      </c>
      <c r="Z69" s="208">
        <f t="shared" si="28"/>
        <v>0</v>
      </c>
      <c r="AA69" s="208">
        <f t="shared" si="24"/>
        <v>0</v>
      </c>
      <c r="AB69" s="208">
        <f t="shared" si="10"/>
        <v>0</v>
      </c>
      <c r="AC69" s="208">
        <f t="shared" si="11"/>
        <v>0</v>
      </c>
      <c r="AD69" s="208">
        <f t="shared" si="12"/>
        <v>0</v>
      </c>
      <c r="AE69" s="209">
        <f t="shared" si="13"/>
        <v>0</v>
      </c>
      <c r="AF69" s="210">
        <f t="shared" si="14"/>
        <v>2030.34</v>
      </c>
    </row>
    <row r="70" spans="2:32" s="167" customFormat="1" ht="33.75" hidden="1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/>
      <c r="P70" s="207"/>
      <c r="Q70" s="207"/>
      <c r="R70" s="206">
        <f t="shared" si="6"/>
        <v>0</v>
      </c>
      <c r="S70" s="206">
        <f t="shared" si="26"/>
        <v>3</v>
      </c>
      <c r="T70" s="206">
        <f t="shared" si="27"/>
        <v>14092.349999999999</v>
      </c>
      <c r="U70" s="208">
        <f t="shared" si="20"/>
        <v>0</v>
      </c>
      <c r="V70" s="208">
        <f t="shared" si="21"/>
        <v>0</v>
      </c>
      <c r="W70" s="208">
        <f t="shared" si="25"/>
        <v>0</v>
      </c>
      <c r="X70" s="208">
        <f t="shared" si="22"/>
        <v>0</v>
      </c>
      <c r="Y70" s="208">
        <f t="shared" si="23"/>
        <v>0</v>
      </c>
      <c r="Z70" s="208">
        <f t="shared" si="28"/>
        <v>0</v>
      </c>
      <c r="AA70" s="208">
        <f t="shared" si="24"/>
        <v>0</v>
      </c>
      <c r="AB70" s="208">
        <f t="shared" si="10"/>
        <v>0</v>
      </c>
      <c r="AC70" s="208">
        <f t="shared" si="11"/>
        <v>0</v>
      </c>
      <c r="AD70" s="208">
        <f t="shared" si="12"/>
        <v>0</v>
      </c>
      <c r="AE70" s="209">
        <f t="shared" si="13"/>
        <v>0</v>
      </c>
      <c r="AF70" s="210">
        <f t="shared" si="14"/>
        <v>14092.349999999999</v>
      </c>
    </row>
    <row r="71" spans="2:32" s="167" customFormat="1" ht="33.75" hidden="1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/>
      <c r="P71" s="207"/>
      <c r="Q71" s="207"/>
      <c r="R71" s="206">
        <f t="shared" si="6"/>
        <v>0</v>
      </c>
      <c r="S71" s="206">
        <f t="shared" si="26"/>
        <v>12.96</v>
      </c>
      <c r="T71" s="206">
        <f t="shared" si="27"/>
        <v>12653.755200000001</v>
      </c>
      <c r="U71" s="208">
        <f t="shared" si="20"/>
        <v>0</v>
      </c>
      <c r="V71" s="208">
        <f t="shared" si="21"/>
        <v>0</v>
      </c>
      <c r="W71" s="208">
        <f t="shared" si="25"/>
        <v>0</v>
      </c>
      <c r="X71" s="208">
        <f t="shared" si="22"/>
        <v>0</v>
      </c>
      <c r="Y71" s="208">
        <f t="shared" si="23"/>
        <v>0</v>
      </c>
      <c r="Z71" s="208">
        <f t="shared" si="28"/>
        <v>0</v>
      </c>
      <c r="AA71" s="208">
        <f t="shared" si="24"/>
        <v>0</v>
      </c>
      <c r="AB71" s="208">
        <f t="shared" si="10"/>
        <v>0</v>
      </c>
      <c r="AC71" s="208">
        <f t="shared" si="11"/>
        <v>0</v>
      </c>
      <c r="AD71" s="208">
        <f t="shared" si="12"/>
        <v>0</v>
      </c>
      <c r="AE71" s="209">
        <f t="shared" si="13"/>
        <v>0</v>
      </c>
      <c r="AF71" s="210">
        <f t="shared" si="14"/>
        <v>12653.755200000001</v>
      </c>
    </row>
    <row r="72" spans="2:32" s="167" customFormat="1" ht="33.75" hidden="1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/>
      <c r="P72" s="207"/>
      <c r="Q72" s="207"/>
      <c r="R72" s="206">
        <f t="shared" si="6"/>
        <v>0</v>
      </c>
      <c r="S72" s="206">
        <f t="shared" si="26"/>
        <v>19.96</v>
      </c>
      <c r="T72" s="206">
        <f t="shared" si="27"/>
        <v>11574.804</v>
      </c>
      <c r="U72" s="208">
        <f t="shared" si="20"/>
        <v>0</v>
      </c>
      <c r="V72" s="208">
        <f t="shared" si="21"/>
        <v>0</v>
      </c>
      <c r="W72" s="208">
        <f t="shared" si="25"/>
        <v>0</v>
      </c>
      <c r="X72" s="208">
        <f t="shared" si="22"/>
        <v>0</v>
      </c>
      <c r="Y72" s="208">
        <f t="shared" si="23"/>
        <v>0</v>
      </c>
      <c r="Z72" s="208">
        <f t="shared" si="28"/>
        <v>0</v>
      </c>
      <c r="AA72" s="208">
        <f t="shared" si="24"/>
        <v>0</v>
      </c>
      <c r="AB72" s="208">
        <f t="shared" si="10"/>
        <v>0</v>
      </c>
      <c r="AC72" s="208">
        <f t="shared" si="11"/>
        <v>0</v>
      </c>
      <c r="AD72" s="208">
        <f t="shared" si="12"/>
        <v>0</v>
      </c>
      <c r="AE72" s="209">
        <f t="shared" si="13"/>
        <v>0</v>
      </c>
      <c r="AF72" s="210">
        <f t="shared" si="14"/>
        <v>11574.804</v>
      </c>
    </row>
    <row r="73" spans="2:32" s="167" customFormat="1" ht="45" hidden="1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/>
      <c r="P73" s="207"/>
      <c r="Q73" s="207"/>
      <c r="R73" s="206">
        <f t="shared" si="6"/>
        <v>0</v>
      </c>
      <c r="S73" s="206">
        <f t="shared" si="26"/>
        <v>8</v>
      </c>
      <c r="T73" s="206">
        <f t="shared" si="27"/>
        <v>1098.4000000000001</v>
      </c>
      <c r="U73" s="208">
        <f t="shared" si="20"/>
        <v>0</v>
      </c>
      <c r="V73" s="208">
        <f t="shared" si="21"/>
        <v>0</v>
      </c>
      <c r="W73" s="208">
        <f t="shared" si="25"/>
        <v>0</v>
      </c>
      <c r="X73" s="208">
        <f t="shared" si="22"/>
        <v>0</v>
      </c>
      <c r="Y73" s="208">
        <f t="shared" si="23"/>
        <v>0</v>
      </c>
      <c r="Z73" s="208">
        <f t="shared" si="28"/>
        <v>0</v>
      </c>
      <c r="AA73" s="208">
        <f t="shared" si="24"/>
        <v>0</v>
      </c>
      <c r="AB73" s="208">
        <f t="shared" si="10"/>
        <v>0</v>
      </c>
      <c r="AC73" s="208">
        <f t="shared" si="11"/>
        <v>0</v>
      </c>
      <c r="AD73" s="208">
        <f t="shared" si="12"/>
        <v>0</v>
      </c>
      <c r="AE73" s="209">
        <f t="shared" si="13"/>
        <v>0</v>
      </c>
      <c r="AF73" s="210">
        <f t="shared" si="14"/>
        <v>1098.4000000000001</v>
      </c>
    </row>
    <row r="74" spans="2:32" s="167" customFormat="1" hidden="1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7"/>
      <c r="Q74" s="207"/>
      <c r="R74" s="206">
        <f t="shared" si="6"/>
        <v>0</v>
      </c>
      <c r="S74" s="206"/>
      <c r="T74" s="206"/>
      <c r="U74" s="208">
        <f t="shared" si="20"/>
        <v>0</v>
      </c>
      <c r="V74" s="208">
        <f t="shared" si="21"/>
        <v>0</v>
      </c>
      <c r="W74" s="208">
        <f t="shared" si="25"/>
        <v>0</v>
      </c>
      <c r="X74" s="208">
        <f t="shared" si="22"/>
        <v>0</v>
      </c>
      <c r="Y74" s="208">
        <f t="shared" si="23"/>
        <v>0</v>
      </c>
      <c r="Z74" s="208">
        <f t="shared" si="28"/>
        <v>0</v>
      </c>
      <c r="AA74" s="208">
        <f t="shared" si="24"/>
        <v>0</v>
      </c>
      <c r="AB74" s="208">
        <f t="shared" si="10"/>
        <v>0</v>
      </c>
      <c r="AC74" s="208">
        <f t="shared" si="11"/>
        <v>0</v>
      </c>
      <c r="AD74" s="208">
        <f t="shared" si="12"/>
        <v>0</v>
      </c>
      <c r="AE74" s="209">
        <f t="shared" si="13"/>
        <v>0</v>
      </c>
      <c r="AF74" s="210">
        <f t="shared" si="14"/>
        <v>0</v>
      </c>
    </row>
    <row r="75" spans="2:32" s="167" customFormat="1" ht="22.5" hidden="1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1666.99</v>
      </c>
      <c r="H75" s="207"/>
      <c r="I75" s="29"/>
      <c r="J75" s="29"/>
      <c r="K75" s="207"/>
      <c r="L75" s="207"/>
      <c r="M75" s="207"/>
      <c r="N75" s="206"/>
      <c r="O75" s="206"/>
      <c r="P75" s="207"/>
      <c r="Q75" s="207"/>
      <c r="R75" s="206">
        <f t="shared" si="6"/>
        <v>0</v>
      </c>
      <c r="S75" s="206">
        <f t="shared" ref="S75:S80" si="29">G75-R75</f>
        <v>1666.99</v>
      </c>
      <c r="T75" s="206">
        <f t="shared" ref="T75:T80" si="30">F75*G75</f>
        <v>4567.5526</v>
      </c>
      <c r="U75" s="208">
        <f t="shared" si="20"/>
        <v>0</v>
      </c>
      <c r="V75" s="208">
        <f t="shared" si="21"/>
        <v>0</v>
      </c>
      <c r="W75" s="208">
        <f t="shared" si="25"/>
        <v>0</v>
      </c>
      <c r="X75" s="208">
        <f t="shared" si="22"/>
        <v>0</v>
      </c>
      <c r="Y75" s="208">
        <f t="shared" si="23"/>
        <v>0</v>
      </c>
      <c r="Z75" s="208">
        <f t="shared" si="28"/>
        <v>0</v>
      </c>
      <c r="AA75" s="208">
        <f t="shared" si="24"/>
        <v>0</v>
      </c>
      <c r="AB75" s="208">
        <f t="shared" si="10"/>
        <v>0</v>
      </c>
      <c r="AC75" s="208">
        <f t="shared" si="11"/>
        <v>0</v>
      </c>
      <c r="AD75" s="208">
        <f t="shared" si="12"/>
        <v>0</v>
      </c>
      <c r="AE75" s="209">
        <f t="shared" si="13"/>
        <v>0</v>
      </c>
      <c r="AF75" s="210">
        <f t="shared" si="14"/>
        <v>4567.5526</v>
      </c>
    </row>
    <row r="76" spans="2:32" s="167" customFormat="1" ht="22.5" hidden="1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1666.99</v>
      </c>
      <c r="H76" s="207"/>
      <c r="I76" s="29"/>
      <c r="J76" s="29"/>
      <c r="K76" s="207"/>
      <c r="L76" s="207"/>
      <c r="M76" s="207"/>
      <c r="N76" s="206"/>
      <c r="O76" s="206"/>
      <c r="P76" s="207"/>
      <c r="Q76" s="207"/>
      <c r="R76" s="206">
        <f t="shared" si="6"/>
        <v>0</v>
      </c>
      <c r="S76" s="206">
        <f t="shared" si="29"/>
        <v>1666.99</v>
      </c>
      <c r="T76" s="206">
        <f t="shared" si="30"/>
        <v>16436.521399999998</v>
      </c>
      <c r="U76" s="208">
        <f t="shared" si="20"/>
        <v>0</v>
      </c>
      <c r="V76" s="208">
        <f t="shared" si="21"/>
        <v>0</v>
      </c>
      <c r="W76" s="208">
        <f t="shared" si="25"/>
        <v>0</v>
      </c>
      <c r="X76" s="208">
        <f t="shared" si="22"/>
        <v>0</v>
      </c>
      <c r="Y76" s="208">
        <f t="shared" si="23"/>
        <v>0</v>
      </c>
      <c r="Z76" s="208">
        <f t="shared" si="28"/>
        <v>0</v>
      </c>
      <c r="AA76" s="208">
        <f t="shared" si="24"/>
        <v>0</v>
      </c>
      <c r="AB76" s="208">
        <f t="shared" si="10"/>
        <v>0</v>
      </c>
      <c r="AC76" s="208">
        <f t="shared" si="11"/>
        <v>0</v>
      </c>
      <c r="AD76" s="208">
        <f t="shared" si="12"/>
        <v>0</v>
      </c>
      <c r="AE76" s="209">
        <f t="shared" si="13"/>
        <v>0</v>
      </c>
      <c r="AF76" s="210">
        <f t="shared" si="14"/>
        <v>16436.521399999998</v>
      </c>
    </row>
    <row r="77" spans="2:32" s="167" customFormat="1" ht="22.5" hidden="1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1666.99</v>
      </c>
      <c r="H77" s="207"/>
      <c r="I77" s="29"/>
      <c r="J77" s="29"/>
      <c r="K77" s="207"/>
      <c r="L77" s="207"/>
      <c r="M77" s="207"/>
      <c r="N77" s="206"/>
      <c r="O77" s="206"/>
      <c r="P77" s="207"/>
      <c r="Q77" s="207"/>
      <c r="R77" s="206">
        <f t="shared" si="6"/>
        <v>0</v>
      </c>
      <c r="S77" s="206">
        <f t="shared" si="29"/>
        <v>1666.99</v>
      </c>
      <c r="T77" s="206">
        <f t="shared" si="30"/>
        <v>20270.598399999999</v>
      </c>
      <c r="U77" s="208">
        <f t="shared" si="20"/>
        <v>0</v>
      </c>
      <c r="V77" s="208">
        <f t="shared" si="21"/>
        <v>0</v>
      </c>
      <c r="W77" s="208">
        <f t="shared" si="25"/>
        <v>0</v>
      </c>
      <c r="X77" s="208">
        <f t="shared" si="22"/>
        <v>0</v>
      </c>
      <c r="Y77" s="208">
        <f t="shared" si="23"/>
        <v>0</v>
      </c>
      <c r="Z77" s="208">
        <f t="shared" si="28"/>
        <v>0</v>
      </c>
      <c r="AA77" s="208">
        <f t="shared" si="24"/>
        <v>0</v>
      </c>
      <c r="AB77" s="208">
        <f t="shared" si="10"/>
        <v>0</v>
      </c>
      <c r="AC77" s="208">
        <f t="shared" si="11"/>
        <v>0</v>
      </c>
      <c r="AD77" s="208">
        <f t="shared" si="12"/>
        <v>0</v>
      </c>
      <c r="AE77" s="209">
        <f t="shared" si="13"/>
        <v>0</v>
      </c>
      <c r="AF77" s="210">
        <f t="shared" si="14"/>
        <v>20270.598399999999</v>
      </c>
    </row>
    <row r="78" spans="2:32" s="167" customFormat="1" ht="22.5" hidden="1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/>
      <c r="P78" s="207"/>
      <c r="Q78" s="207"/>
      <c r="R78" s="206">
        <f t="shared" si="6"/>
        <v>0</v>
      </c>
      <c r="S78" s="206">
        <f t="shared" si="29"/>
        <v>634.5</v>
      </c>
      <c r="T78" s="206">
        <f t="shared" si="30"/>
        <v>1966.95</v>
      </c>
      <c r="U78" s="208">
        <f t="shared" ref="U78:U109" si="31">F78*H78</f>
        <v>0</v>
      </c>
      <c r="V78" s="208">
        <f t="shared" ref="V78:V109" si="32">F78*I78</f>
        <v>0</v>
      </c>
      <c r="W78" s="208">
        <f t="shared" si="25"/>
        <v>0</v>
      </c>
      <c r="X78" s="208">
        <f t="shared" ref="X78:X109" si="33">TRUNC(F78*K78,2)</f>
        <v>0</v>
      </c>
      <c r="Y78" s="208">
        <f t="shared" ref="Y78:Y109" si="34">TRUNC(F78*L78,2)</f>
        <v>0</v>
      </c>
      <c r="Z78" s="208">
        <f t="shared" si="28"/>
        <v>0</v>
      </c>
      <c r="AA78" s="208">
        <f t="shared" si="24"/>
        <v>0</v>
      </c>
      <c r="AB78" s="208">
        <f t="shared" si="10"/>
        <v>0</v>
      </c>
      <c r="AC78" s="208">
        <f t="shared" si="11"/>
        <v>0</v>
      </c>
      <c r="AD78" s="208">
        <f t="shared" si="12"/>
        <v>0</v>
      </c>
      <c r="AE78" s="209">
        <f t="shared" si="13"/>
        <v>0</v>
      </c>
      <c r="AF78" s="210">
        <f t="shared" si="14"/>
        <v>1966.95</v>
      </c>
    </row>
    <row r="79" spans="2:32" s="167" customFormat="1" ht="22.5" hidden="1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/>
      <c r="P79" s="207"/>
      <c r="Q79" s="207"/>
      <c r="R79" s="206">
        <f t="shared" ref="R79:R142" si="35">H79+I79+J79+K79+L79+M79+N79+O79+P79+Q79</f>
        <v>0</v>
      </c>
      <c r="S79" s="206">
        <f t="shared" si="29"/>
        <v>634.5</v>
      </c>
      <c r="T79" s="206">
        <f t="shared" si="30"/>
        <v>11059.334999999999</v>
      </c>
      <c r="U79" s="208">
        <f t="shared" si="31"/>
        <v>0</v>
      </c>
      <c r="V79" s="208">
        <f t="shared" si="32"/>
        <v>0</v>
      </c>
      <c r="W79" s="208">
        <f t="shared" si="25"/>
        <v>0</v>
      </c>
      <c r="X79" s="208">
        <f t="shared" si="33"/>
        <v>0</v>
      </c>
      <c r="Y79" s="208">
        <f t="shared" si="34"/>
        <v>0</v>
      </c>
      <c r="Z79" s="208">
        <f t="shared" si="28"/>
        <v>0</v>
      </c>
      <c r="AA79" s="208">
        <f t="shared" ref="AA79:AA110" si="36">F79*N79</f>
        <v>0</v>
      </c>
      <c r="AB79" s="208">
        <f t="shared" ref="AB79:AB142" si="37">TRUNC(F79*O79,2)</f>
        <v>0</v>
      </c>
      <c r="AC79" s="208">
        <f t="shared" ref="AC79:AC142" si="38">TRUNC(F79*P79,2)</f>
        <v>0</v>
      </c>
      <c r="AD79" s="208">
        <f t="shared" ref="AD79:AD142" si="39">TRUNC(F79*Q79,2)</f>
        <v>0</v>
      </c>
      <c r="AE79" s="209">
        <f t="shared" ref="AE79:AE142" si="40">U79+V79+W79+X79+Y79+Z79+AA79+AB79+AC79+AD79</f>
        <v>0</v>
      </c>
      <c r="AF79" s="210">
        <f t="shared" ref="AF79:AF142" si="41">T79-AE79</f>
        <v>11059.334999999999</v>
      </c>
    </row>
    <row r="80" spans="2:32" s="167" customFormat="1" ht="22.5" hidden="1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/>
      <c r="P80" s="207"/>
      <c r="Q80" s="207"/>
      <c r="R80" s="206">
        <f t="shared" si="35"/>
        <v>0</v>
      </c>
      <c r="S80" s="206">
        <f t="shared" si="29"/>
        <v>634.5</v>
      </c>
      <c r="T80" s="206">
        <f t="shared" si="30"/>
        <v>8718.0300000000007</v>
      </c>
      <c r="U80" s="208">
        <f t="shared" si="31"/>
        <v>0</v>
      </c>
      <c r="V80" s="208">
        <f t="shared" si="32"/>
        <v>0</v>
      </c>
      <c r="W80" s="208">
        <f t="shared" si="25"/>
        <v>0</v>
      </c>
      <c r="X80" s="208">
        <f t="shared" si="33"/>
        <v>0</v>
      </c>
      <c r="Y80" s="208">
        <f t="shared" si="34"/>
        <v>0</v>
      </c>
      <c r="Z80" s="208">
        <f t="shared" si="28"/>
        <v>0</v>
      </c>
      <c r="AA80" s="208">
        <f t="shared" si="36"/>
        <v>0</v>
      </c>
      <c r="AB80" s="208">
        <f t="shared" si="37"/>
        <v>0</v>
      </c>
      <c r="AC80" s="208">
        <f t="shared" si="38"/>
        <v>0</v>
      </c>
      <c r="AD80" s="208">
        <f t="shared" si="39"/>
        <v>0</v>
      </c>
      <c r="AE80" s="209">
        <f t="shared" si="40"/>
        <v>0</v>
      </c>
      <c r="AF80" s="210">
        <f t="shared" si="41"/>
        <v>8718.0300000000007</v>
      </c>
    </row>
    <row r="81" spans="2:32" s="167" customFormat="1" ht="14.45" hidden="1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7"/>
      <c r="Q81" s="207"/>
      <c r="R81" s="206">
        <f t="shared" si="35"/>
        <v>0</v>
      </c>
      <c r="S81" s="206"/>
      <c r="T81" s="206"/>
      <c r="U81" s="208">
        <f t="shared" si="31"/>
        <v>0</v>
      </c>
      <c r="V81" s="208">
        <f t="shared" si="32"/>
        <v>0</v>
      </c>
      <c r="W81" s="208">
        <f t="shared" si="25"/>
        <v>0</v>
      </c>
      <c r="X81" s="208">
        <f t="shared" si="33"/>
        <v>0</v>
      </c>
      <c r="Y81" s="208">
        <f t="shared" si="34"/>
        <v>0</v>
      </c>
      <c r="Z81" s="208">
        <f t="shared" si="28"/>
        <v>0</v>
      </c>
      <c r="AA81" s="208">
        <f t="shared" si="36"/>
        <v>0</v>
      </c>
      <c r="AB81" s="208">
        <f t="shared" si="37"/>
        <v>0</v>
      </c>
      <c r="AC81" s="208">
        <f t="shared" si="38"/>
        <v>0</v>
      </c>
      <c r="AD81" s="208">
        <f t="shared" si="39"/>
        <v>0</v>
      </c>
      <c r="AE81" s="209">
        <f t="shared" si="40"/>
        <v>0</v>
      </c>
      <c r="AF81" s="210">
        <f t="shared" si="41"/>
        <v>0</v>
      </c>
    </row>
    <row r="82" spans="2:32" s="167" customFormat="1" ht="45" hidden="1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495.11</v>
      </c>
      <c r="H82" s="207"/>
      <c r="I82" s="29"/>
      <c r="J82" s="29"/>
      <c r="K82" s="207"/>
      <c r="L82" s="207"/>
      <c r="M82" s="207"/>
      <c r="N82" s="207">
        <f>'MEMORIAL DE CALCULO 07'!K421</f>
        <v>320.44</v>
      </c>
      <c r="O82" s="207">
        <f>'MEMORIAL DE CALCULO 08'!K424</f>
        <v>100</v>
      </c>
      <c r="P82" s="207">
        <f>'MEMORIAL DE CALCULO 09)'!K428</f>
        <v>45.930999999999997</v>
      </c>
      <c r="Q82" s="207"/>
      <c r="R82" s="206">
        <f t="shared" si="35"/>
        <v>466.37099999999998</v>
      </c>
      <c r="S82" s="206">
        <f t="shared" ref="S82:S88" si="42">G82-R82</f>
        <v>28.739000000000033</v>
      </c>
      <c r="T82" s="206">
        <f t="shared" ref="T82:T88" si="43">F82*G82</f>
        <v>2832.0291999999999</v>
      </c>
      <c r="U82" s="208">
        <f t="shared" si="31"/>
        <v>0</v>
      </c>
      <c r="V82" s="208">
        <f t="shared" si="32"/>
        <v>0</v>
      </c>
      <c r="W82" s="208">
        <f t="shared" si="25"/>
        <v>0</v>
      </c>
      <c r="X82" s="208">
        <f t="shared" si="33"/>
        <v>0</v>
      </c>
      <c r="Y82" s="208">
        <f t="shared" si="34"/>
        <v>0</v>
      </c>
      <c r="Z82" s="208">
        <f t="shared" si="28"/>
        <v>0</v>
      </c>
      <c r="AA82" s="208">
        <f t="shared" si="36"/>
        <v>1832.9168</v>
      </c>
      <c r="AB82" s="208">
        <f t="shared" si="37"/>
        <v>572</v>
      </c>
      <c r="AC82" s="208">
        <f t="shared" si="38"/>
        <v>262.72000000000003</v>
      </c>
      <c r="AD82" s="208">
        <f t="shared" si="39"/>
        <v>0</v>
      </c>
      <c r="AE82" s="209">
        <f t="shared" si="40"/>
        <v>2667.6368000000002</v>
      </c>
      <c r="AF82" s="210">
        <f t="shared" si="41"/>
        <v>164.39239999999972</v>
      </c>
    </row>
    <row r="83" spans="2:32" s="167" customFormat="1" ht="56.25" hidden="1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7"/>
      <c r="O83" s="207">
        <f>'MEMORIAL DE CALCULO 08'!K427</f>
        <v>278.39999999999998</v>
      </c>
      <c r="P83" s="207">
        <f>'MEMORIAL DE CALCULO 09)'!K430</f>
        <v>187.97049999999999</v>
      </c>
      <c r="Q83" s="207"/>
      <c r="R83" s="206">
        <f t="shared" si="35"/>
        <v>466.37049999999999</v>
      </c>
      <c r="S83" s="206">
        <f t="shared" si="42"/>
        <v>-4.9999999998817657E-4</v>
      </c>
      <c r="T83" s="206">
        <f t="shared" si="43"/>
        <v>14704.6461</v>
      </c>
      <c r="U83" s="208">
        <f t="shared" si="31"/>
        <v>0</v>
      </c>
      <c r="V83" s="208">
        <f t="shared" si="32"/>
        <v>0</v>
      </c>
      <c r="W83" s="208">
        <f t="shared" si="25"/>
        <v>0</v>
      </c>
      <c r="X83" s="208">
        <f t="shared" si="33"/>
        <v>0</v>
      </c>
      <c r="Y83" s="208">
        <f t="shared" si="34"/>
        <v>0</v>
      </c>
      <c r="Z83" s="208">
        <f t="shared" si="28"/>
        <v>0</v>
      </c>
      <c r="AA83" s="208">
        <f t="shared" si="36"/>
        <v>0</v>
      </c>
      <c r="AB83" s="208">
        <f t="shared" si="37"/>
        <v>8777.9500000000007</v>
      </c>
      <c r="AC83" s="208">
        <f t="shared" si="38"/>
        <v>5926.7</v>
      </c>
      <c r="AD83" s="208">
        <f t="shared" si="39"/>
        <v>0</v>
      </c>
      <c r="AE83" s="209">
        <f t="shared" si="40"/>
        <v>14704.650000000001</v>
      </c>
      <c r="AF83" s="210">
        <f t="shared" si="41"/>
        <v>-3.9000000015221303E-3</v>
      </c>
    </row>
    <row r="84" spans="2:32" s="167" customFormat="1" ht="33.75" hidden="1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07"/>
      <c r="O84" s="207"/>
      <c r="P84" s="207"/>
      <c r="Q84" s="207"/>
      <c r="R84" s="206">
        <f t="shared" si="35"/>
        <v>0</v>
      </c>
      <c r="S84" s="206">
        <f t="shared" si="42"/>
        <v>32.5</v>
      </c>
      <c r="T84" s="206">
        <f t="shared" si="43"/>
        <v>5029.375</v>
      </c>
      <c r="U84" s="208">
        <f t="shared" si="31"/>
        <v>0</v>
      </c>
      <c r="V84" s="208">
        <f t="shared" si="32"/>
        <v>0</v>
      </c>
      <c r="W84" s="208">
        <f t="shared" si="25"/>
        <v>0</v>
      </c>
      <c r="X84" s="208">
        <f t="shared" si="33"/>
        <v>0</v>
      </c>
      <c r="Y84" s="208">
        <f t="shared" si="34"/>
        <v>0</v>
      </c>
      <c r="Z84" s="208">
        <f t="shared" si="28"/>
        <v>0</v>
      </c>
      <c r="AA84" s="208">
        <f t="shared" si="36"/>
        <v>0</v>
      </c>
      <c r="AB84" s="208">
        <f t="shared" si="37"/>
        <v>0</v>
      </c>
      <c r="AC84" s="208">
        <f t="shared" si="38"/>
        <v>0</v>
      </c>
      <c r="AD84" s="208">
        <f t="shared" si="39"/>
        <v>0</v>
      </c>
      <c r="AE84" s="209">
        <f t="shared" si="40"/>
        <v>0</v>
      </c>
      <c r="AF84" s="210">
        <f t="shared" si="41"/>
        <v>5029.375</v>
      </c>
    </row>
    <row r="85" spans="2:32" s="167" customFormat="1" ht="33.75" hidden="1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/>
      <c r="P85" s="207"/>
      <c r="Q85" s="207"/>
      <c r="R85" s="206">
        <f t="shared" si="35"/>
        <v>0</v>
      </c>
      <c r="S85" s="206">
        <f t="shared" si="42"/>
        <v>29.5</v>
      </c>
      <c r="T85" s="206">
        <f t="shared" si="43"/>
        <v>6743.7</v>
      </c>
      <c r="U85" s="208">
        <f t="shared" si="31"/>
        <v>0</v>
      </c>
      <c r="V85" s="208">
        <f t="shared" si="32"/>
        <v>0</v>
      </c>
      <c r="W85" s="208">
        <f t="shared" si="25"/>
        <v>0</v>
      </c>
      <c r="X85" s="208">
        <f t="shared" si="33"/>
        <v>0</v>
      </c>
      <c r="Y85" s="208">
        <f t="shared" si="34"/>
        <v>0</v>
      </c>
      <c r="Z85" s="208">
        <f t="shared" si="28"/>
        <v>0</v>
      </c>
      <c r="AA85" s="208">
        <f t="shared" si="36"/>
        <v>0</v>
      </c>
      <c r="AB85" s="208">
        <f t="shared" si="37"/>
        <v>0</v>
      </c>
      <c r="AC85" s="208">
        <f t="shared" si="38"/>
        <v>0</v>
      </c>
      <c r="AD85" s="208">
        <f t="shared" si="39"/>
        <v>0</v>
      </c>
      <c r="AE85" s="209">
        <f t="shared" si="40"/>
        <v>0</v>
      </c>
      <c r="AF85" s="210">
        <f t="shared" si="41"/>
        <v>6743.7</v>
      </c>
    </row>
    <row r="86" spans="2:32" s="167" customFormat="1" ht="22.5" hidden="1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/>
      <c r="P86" s="207"/>
      <c r="Q86" s="207"/>
      <c r="R86" s="206">
        <f t="shared" si="35"/>
        <v>0</v>
      </c>
      <c r="S86" s="206">
        <f t="shared" si="42"/>
        <v>404.37</v>
      </c>
      <c r="T86" s="206">
        <f t="shared" si="43"/>
        <v>1107.9738000000002</v>
      </c>
      <c r="U86" s="208">
        <f t="shared" si="31"/>
        <v>0</v>
      </c>
      <c r="V86" s="208">
        <f t="shared" si="32"/>
        <v>0</v>
      </c>
      <c r="W86" s="208">
        <f t="shared" si="25"/>
        <v>0</v>
      </c>
      <c r="X86" s="208">
        <f t="shared" si="33"/>
        <v>0</v>
      </c>
      <c r="Y86" s="208">
        <f t="shared" si="34"/>
        <v>0</v>
      </c>
      <c r="Z86" s="208">
        <f t="shared" si="28"/>
        <v>0</v>
      </c>
      <c r="AA86" s="208">
        <f t="shared" si="36"/>
        <v>0</v>
      </c>
      <c r="AB86" s="208">
        <f t="shared" si="37"/>
        <v>0</v>
      </c>
      <c r="AC86" s="208">
        <f t="shared" si="38"/>
        <v>0</v>
      </c>
      <c r="AD86" s="208">
        <f t="shared" si="39"/>
        <v>0</v>
      </c>
      <c r="AE86" s="209">
        <f t="shared" si="40"/>
        <v>0</v>
      </c>
      <c r="AF86" s="210">
        <f t="shared" si="41"/>
        <v>1107.9738000000002</v>
      </c>
    </row>
    <row r="87" spans="2:32" s="167" customFormat="1" ht="22.5" hidden="1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/>
      <c r="P87" s="207"/>
      <c r="Q87" s="207"/>
      <c r="R87" s="206">
        <f t="shared" si="35"/>
        <v>0</v>
      </c>
      <c r="S87" s="206">
        <f t="shared" si="42"/>
        <v>404.37</v>
      </c>
      <c r="T87" s="206">
        <f t="shared" si="43"/>
        <v>6918.7707</v>
      </c>
      <c r="U87" s="208">
        <f t="shared" si="31"/>
        <v>0</v>
      </c>
      <c r="V87" s="208">
        <f t="shared" si="32"/>
        <v>0</v>
      </c>
      <c r="W87" s="208">
        <f t="shared" si="25"/>
        <v>0</v>
      </c>
      <c r="X87" s="208">
        <f t="shared" si="33"/>
        <v>0</v>
      </c>
      <c r="Y87" s="208">
        <f t="shared" si="34"/>
        <v>0</v>
      </c>
      <c r="Z87" s="208">
        <f t="shared" si="28"/>
        <v>0</v>
      </c>
      <c r="AA87" s="208">
        <f t="shared" si="36"/>
        <v>0</v>
      </c>
      <c r="AB87" s="208">
        <f t="shared" si="37"/>
        <v>0</v>
      </c>
      <c r="AC87" s="208">
        <f t="shared" si="38"/>
        <v>0</v>
      </c>
      <c r="AD87" s="208">
        <f t="shared" si="39"/>
        <v>0</v>
      </c>
      <c r="AE87" s="209">
        <f t="shared" si="40"/>
        <v>0</v>
      </c>
      <c r="AF87" s="210">
        <f t="shared" si="41"/>
        <v>6918.7707</v>
      </c>
    </row>
    <row r="88" spans="2:32" s="167" customFormat="1" ht="22.5" hidden="1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/>
      <c r="P88" s="207"/>
      <c r="Q88" s="207"/>
      <c r="R88" s="206">
        <f t="shared" si="35"/>
        <v>0</v>
      </c>
      <c r="S88" s="206">
        <f t="shared" si="42"/>
        <v>404.37</v>
      </c>
      <c r="T88" s="206">
        <f t="shared" si="43"/>
        <v>4917.1392000000005</v>
      </c>
      <c r="U88" s="208">
        <f t="shared" si="31"/>
        <v>0</v>
      </c>
      <c r="V88" s="208">
        <f t="shared" si="32"/>
        <v>0</v>
      </c>
      <c r="W88" s="208">
        <f t="shared" si="25"/>
        <v>0</v>
      </c>
      <c r="X88" s="208">
        <f t="shared" si="33"/>
        <v>0</v>
      </c>
      <c r="Y88" s="208">
        <f t="shared" si="34"/>
        <v>0</v>
      </c>
      <c r="Z88" s="208">
        <f t="shared" si="28"/>
        <v>0</v>
      </c>
      <c r="AA88" s="208">
        <f t="shared" si="36"/>
        <v>0</v>
      </c>
      <c r="AB88" s="208">
        <f t="shared" si="37"/>
        <v>0</v>
      </c>
      <c r="AC88" s="208">
        <f t="shared" si="38"/>
        <v>0</v>
      </c>
      <c r="AD88" s="208">
        <f t="shared" si="39"/>
        <v>0</v>
      </c>
      <c r="AE88" s="209">
        <f t="shared" si="40"/>
        <v>0</v>
      </c>
      <c r="AF88" s="210">
        <f t="shared" si="41"/>
        <v>4917.1392000000005</v>
      </c>
    </row>
    <row r="89" spans="2:32" s="167" customFormat="1" ht="14.45" hidden="1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7"/>
      <c r="Q89" s="207"/>
      <c r="R89" s="206">
        <f t="shared" si="35"/>
        <v>0</v>
      </c>
      <c r="S89" s="206"/>
      <c r="T89" s="206"/>
      <c r="U89" s="208">
        <f t="shared" si="31"/>
        <v>0</v>
      </c>
      <c r="V89" s="208">
        <f t="shared" si="32"/>
        <v>0</v>
      </c>
      <c r="W89" s="208">
        <f t="shared" si="25"/>
        <v>0</v>
      </c>
      <c r="X89" s="208">
        <f t="shared" si="33"/>
        <v>0</v>
      </c>
      <c r="Y89" s="208">
        <f t="shared" si="34"/>
        <v>0</v>
      </c>
      <c r="Z89" s="208">
        <f t="shared" si="28"/>
        <v>0</v>
      </c>
      <c r="AA89" s="208">
        <f t="shared" si="36"/>
        <v>0</v>
      </c>
      <c r="AB89" s="208">
        <f t="shared" si="37"/>
        <v>0</v>
      </c>
      <c r="AC89" s="208">
        <f t="shared" si="38"/>
        <v>0</v>
      </c>
      <c r="AD89" s="208">
        <f t="shared" si="39"/>
        <v>0</v>
      </c>
      <c r="AE89" s="209">
        <f t="shared" si="40"/>
        <v>0</v>
      </c>
      <c r="AF89" s="210">
        <f t="shared" si="41"/>
        <v>0</v>
      </c>
    </row>
    <row r="90" spans="2:32" s="169" customFormat="1" ht="33.75" x14ac:dyDescent="0.25">
      <c r="B90" s="628" t="s">
        <v>230</v>
      </c>
      <c r="C90" s="635">
        <v>92868</v>
      </c>
      <c r="D90" s="636" t="s">
        <v>232</v>
      </c>
      <c r="E90" s="639" t="s">
        <v>166</v>
      </c>
      <c r="F90" s="639">
        <v>13.45</v>
      </c>
      <c r="G90" s="630">
        <v>121</v>
      </c>
      <c r="H90" s="337"/>
      <c r="I90" s="337"/>
      <c r="J90" s="338"/>
      <c r="K90" s="337"/>
      <c r="L90" s="337"/>
      <c r="M90" s="337"/>
      <c r="N90" s="336"/>
      <c r="O90" s="336"/>
      <c r="P90" s="337"/>
      <c r="Q90" s="631">
        <v>121</v>
      </c>
      <c r="R90" s="630">
        <f t="shared" si="35"/>
        <v>121</v>
      </c>
      <c r="S90" s="630">
        <f t="shared" ref="S90:S117" si="44">G90-R90</f>
        <v>0</v>
      </c>
      <c r="T90" s="630">
        <f t="shared" ref="T90:T117" si="45">F90*G90</f>
        <v>1627.4499999999998</v>
      </c>
      <c r="U90" s="339">
        <f t="shared" si="31"/>
        <v>0</v>
      </c>
      <c r="V90" s="339">
        <f t="shared" si="32"/>
        <v>0</v>
      </c>
      <c r="W90" s="339">
        <f t="shared" si="25"/>
        <v>0</v>
      </c>
      <c r="X90" s="339">
        <f t="shared" si="33"/>
        <v>0</v>
      </c>
      <c r="Y90" s="339">
        <f t="shared" si="34"/>
        <v>0</v>
      </c>
      <c r="Z90" s="339">
        <f t="shared" si="28"/>
        <v>0</v>
      </c>
      <c r="AA90" s="339">
        <f t="shared" si="36"/>
        <v>0</v>
      </c>
      <c r="AB90" s="339">
        <f t="shared" si="37"/>
        <v>0</v>
      </c>
      <c r="AC90" s="339">
        <f t="shared" si="38"/>
        <v>0</v>
      </c>
      <c r="AD90" s="632">
        <f t="shared" si="39"/>
        <v>1627.45</v>
      </c>
      <c r="AE90" s="633">
        <f t="shared" si="40"/>
        <v>1627.45</v>
      </c>
      <c r="AF90" s="634">
        <f t="shared" si="41"/>
        <v>0</v>
      </c>
    </row>
    <row r="91" spans="2:32" s="167" customFormat="1" ht="22.5" hidden="1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/>
      <c r="P91" s="207"/>
      <c r="Q91" s="207"/>
      <c r="R91" s="206">
        <f t="shared" si="35"/>
        <v>0</v>
      </c>
      <c r="S91" s="206">
        <f t="shared" si="44"/>
        <v>76</v>
      </c>
      <c r="T91" s="206">
        <f t="shared" si="45"/>
        <v>846.6400000000001</v>
      </c>
      <c r="U91" s="208">
        <f t="shared" si="31"/>
        <v>0</v>
      </c>
      <c r="V91" s="208">
        <f t="shared" si="32"/>
        <v>0</v>
      </c>
      <c r="W91" s="208">
        <f t="shared" ref="W91:W122" si="46">F91*J91</f>
        <v>0</v>
      </c>
      <c r="X91" s="208">
        <f t="shared" si="33"/>
        <v>0</v>
      </c>
      <c r="Y91" s="208">
        <f t="shared" si="34"/>
        <v>0</v>
      </c>
      <c r="Z91" s="208">
        <f t="shared" si="28"/>
        <v>0</v>
      </c>
      <c r="AA91" s="208">
        <f t="shared" si="36"/>
        <v>0</v>
      </c>
      <c r="AB91" s="208">
        <f t="shared" si="37"/>
        <v>0</v>
      </c>
      <c r="AC91" s="208">
        <f t="shared" si="38"/>
        <v>0</v>
      </c>
      <c r="AD91" s="208">
        <f t="shared" si="39"/>
        <v>0</v>
      </c>
      <c r="AE91" s="209">
        <f t="shared" si="40"/>
        <v>0</v>
      </c>
      <c r="AF91" s="210">
        <f t="shared" si="41"/>
        <v>846.6400000000001</v>
      </c>
    </row>
    <row r="92" spans="2:32" s="167" customFormat="1" ht="33.75" hidden="1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/>
      <c r="P92" s="207"/>
      <c r="Q92" s="207"/>
      <c r="R92" s="206">
        <f t="shared" si="35"/>
        <v>0</v>
      </c>
      <c r="S92" s="206">
        <f t="shared" si="44"/>
        <v>1253.8</v>
      </c>
      <c r="T92" s="206">
        <f t="shared" si="45"/>
        <v>3385.26</v>
      </c>
      <c r="U92" s="208">
        <f t="shared" si="31"/>
        <v>0</v>
      </c>
      <c r="V92" s="208">
        <f t="shared" si="32"/>
        <v>0</v>
      </c>
      <c r="W92" s="208">
        <f t="shared" si="46"/>
        <v>0</v>
      </c>
      <c r="X92" s="208">
        <f t="shared" si="33"/>
        <v>0</v>
      </c>
      <c r="Y92" s="208">
        <f t="shared" si="34"/>
        <v>0</v>
      </c>
      <c r="Z92" s="208">
        <f t="shared" si="28"/>
        <v>0</v>
      </c>
      <c r="AA92" s="208">
        <f t="shared" si="36"/>
        <v>0</v>
      </c>
      <c r="AB92" s="208">
        <f t="shared" si="37"/>
        <v>0</v>
      </c>
      <c r="AC92" s="208">
        <f t="shared" si="38"/>
        <v>0</v>
      </c>
      <c r="AD92" s="208">
        <f t="shared" si="39"/>
        <v>0</v>
      </c>
      <c r="AE92" s="209">
        <f t="shared" si="40"/>
        <v>0</v>
      </c>
      <c r="AF92" s="210">
        <f t="shared" si="41"/>
        <v>3385.26</v>
      </c>
    </row>
    <row r="93" spans="2:32" s="167" customFormat="1" ht="33.75" hidden="1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/>
      <c r="P93" s="207"/>
      <c r="Q93" s="207"/>
      <c r="R93" s="206">
        <f t="shared" si="35"/>
        <v>0</v>
      </c>
      <c r="S93" s="206">
        <f t="shared" si="44"/>
        <v>1496.3</v>
      </c>
      <c r="T93" s="206">
        <f t="shared" si="45"/>
        <v>5955.2739999999994</v>
      </c>
      <c r="U93" s="208">
        <f t="shared" si="31"/>
        <v>0</v>
      </c>
      <c r="V93" s="208">
        <f t="shared" si="32"/>
        <v>0</v>
      </c>
      <c r="W93" s="208">
        <f t="shared" si="46"/>
        <v>0</v>
      </c>
      <c r="X93" s="208">
        <f t="shared" si="33"/>
        <v>0</v>
      </c>
      <c r="Y93" s="208">
        <f t="shared" si="34"/>
        <v>0</v>
      </c>
      <c r="Z93" s="208">
        <f t="shared" si="28"/>
        <v>0</v>
      </c>
      <c r="AA93" s="208">
        <f t="shared" si="36"/>
        <v>0</v>
      </c>
      <c r="AB93" s="208">
        <f t="shared" si="37"/>
        <v>0</v>
      </c>
      <c r="AC93" s="208">
        <f t="shared" si="38"/>
        <v>0</v>
      </c>
      <c r="AD93" s="208">
        <f t="shared" si="39"/>
        <v>0</v>
      </c>
      <c r="AE93" s="209">
        <f t="shared" si="40"/>
        <v>0</v>
      </c>
      <c r="AF93" s="210">
        <f t="shared" si="41"/>
        <v>5955.2739999999994</v>
      </c>
    </row>
    <row r="94" spans="2:32" s="167" customFormat="1" ht="33.75" hidden="1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16"/>
      <c r="P94" s="216"/>
      <c r="Q94" s="216"/>
      <c r="R94" s="206">
        <f t="shared" si="35"/>
        <v>0</v>
      </c>
      <c r="S94" s="206">
        <f t="shared" si="44"/>
        <v>284.60000000000002</v>
      </c>
      <c r="T94" s="206">
        <f t="shared" si="45"/>
        <v>1773.0580000000002</v>
      </c>
      <c r="U94" s="208">
        <f t="shared" si="31"/>
        <v>0</v>
      </c>
      <c r="V94" s="208">
        <f t="shared" si="32"/>
        <v>0</v>
      </c>
      <c r="W94" s="208">
        <f t="shared" si="46"/>
        <v>0</v>
      </c>
      <c r="X94" s="208">
        <f t="shared" si="33"/>
        <v>0</v>
      </c>
      <c r="Y94" s="208">
        <f t="shared" si="34"/>
        <v>0</v>
      </c>
      <c r="Z94" s="208">
        <f t="shared" si="28"/>
        <v>0</v>
      </c>
      <c r="AA94" s="208">
        <f t="shared" si="36"/>
        <v>0</v>
      </c>
      <c r="AB94" s="208">
        <f t="shared" si="37"/>
        <v>0</v>
      </c>
      <c r="AC94" s="208">
        <f t="shared" si="38"/>
        <v>0</v>
      </c>
      <c r="AD94" s="208">
        <f t="shared" si="39"/>
        <v>0</v>
      </c>
      <c r="AE94" s="209">
        <f t="shared" si="40"/>
        <v>0</v>
      </c>
      <c r="AF94" s="210">
        <f t="shared" si="41"/>
        <v>1773.0580000000002</v>
      </c>
    </row>
    <row r="95" spans="2:32" s="167" customFormat="1" ht="33.75" hidden="1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/>
      <c r="P95" s="207"/>
      <c r="Q95" s="207"/>
      <c r="R95" s="206">
        <f t="shared" si="35"/>
        <v>0</v>
      </c>
      <c r="S95" s="206">
        <f t="shared" si="44"/>
        <v>224</v>
      </c>
      <c r="T95" s="206">
        <f t="shared" si="45"/>
        <v>2130.2399999999998</v>
      </c>
      <c r="U95" s="208">
        <f t="shared" si="31"/>
        <v>0</v>
      </c>
      <c r="V95" s="208">
        <f t="shared" si="32"/>
        <v>0</v>
      </c>
      <c r="W95" s="208">
        <f t="shared" si="46"/>
        <v>0</v>
      </c>
      <c r="X95" s="208">
        <f t="shared" si="33"/>
        <v>0</v>
      </c>
      <c r="Y95" s="208">
        <f t="shared" si="34"/>
        <v>0</v>
      </c>
      <c r="Z95" s="208">
        <f t="shared" si="28"/>
        <v>0</v>
      </c>
      <c r="AA95" s="208">
        <f t="shared" si="36"/>
        <v>0</v>
      </c>
      <c r="AB95" s="208">
        <f t="shared" si="37"/>
        <v>0</v>
      </c>
      <c r="AC95" s="208">
        <f t="shared" si="38"/>
        <v>0</v>
      </c>
      <c r="AD95" s="208">
        <f t="shared" si="39"/>
        <v>0</v>
      </c>
      <c r="AE95" s="209">
        <f t="shared" si="40"/>
        <v>0</v>
      </c>
      <c r="AF95" s="210">
        <f t="shared" si="41"/>
        <v>2130.2399999999998</v>
      </c>
    </row>
    <row r="96" spans="2:32" s="167" customFormat="1" ht="22.5" hidden="1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/>
      <c r="P96" s="207"/>
      <c r="Q96" s="207"/>
      <c r="R96" s="206">
        <f t="shared" si="35"/>
        <v>0</v>
      </c>
      <c r="S96" s="206">
        <f t="shared" si="44"/>
        <v>2</v>
      </c>
      <c r="T96" s="206">
        <f t="shared" si="45"/>
        <v>202.34</v>
      </c>
      <c r="U96" s="208">
        <f t="shared" si="31"/>
        <v>0</v>
      </c>
      <c r="V96" s="208">
        <f t="shared" si="32"/>
        <v>0</v>
      </c>
      <c r="W96" s="208">
        <f t="shared" si="46"/>
        <v>0</v>
      </c>
      <c r="X96" s="208">
        <f t="shared" si="33"/>
        <v>0</v>
      </c>
      <c r="Y96" s="208">
        <f t="shared" si="34"/>
        <v>0</v>
      </c>
      <c r="Z96" s="208">
        <f t="shared" si="28"/>
        <v>0</v>
      </c>
      <c r="AA96" s="208">
        <f t="shared" si="36"/>
        <v>0</v>
      </c>
      <c r="AB96" s="208">
        <f t="shared" si="37"/>
        <v>0</v>
      </c>
      <c r="AC96" s="208">
        <f t="shared" si="38"/>
        <v>0</v>
      </c>
      <c r="AD96" s="208">
        <f t="shared" si="39"/>
        <v>0</v>
      </c>
      <c r="AE96" s="209">
        <f t="shared" si="40"/>
        <v>0</v>
      </c>
      <c r="AF96" s="210">
        <f t="shared" si="41"/>
        <v>202.34</v>
      </c>
    </row>
    <row r="97" spans="2:32" s="167" customFormat="1" ht="22.5" hidden="1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/>
      <c r="P97" s="207"/>
      <c r="Q97" s="207"/>
      <c r="R97" s="206">
        <f t="shared" si="35"/>
        <v>0</v>
      </c>
      <c r="S97" s="206">
        <f t="shared" si="44"/>
        <v>19</v>
      </c>
      <c r="T97" s="206">
        <f t="shared" si="45"/>
        <v>291.64999999999998</v>
      </c>
      <c r="U97" s="208">
        <f t="shared" si="31"/>
        <v>0</v>
      </c>
      <c r="V97" s="208">
        <f t="shared" si="32"/>
        <v>0</v>
      </c>
      <c r="W97" s="208">
        <f t="shared" si="46"/>
        <v>0</v>
      </c>
      <c r="X97" s="208">
        <f t="shared" si="33"/>
        <v>0</v>
      </c>
      <c r="Y97" s="208">
        <f t="shared" si="34"/>
        <v>0</v>
      </c>
      <c r="Z97" s="208">
        <f t="shared" si="28"/>
        <v>0</v>
      </c>
      <c r="AA97" s="208">
        <f t="shared" si="36"/>
        <v>0</v>
      </c>
      <c r="AB97" s="208">
        <f t="shared" si="37"/>
        <v>0</v>
      </c>
      <c r="AC97" s="208">
        <f t="shared" si="38"/>
        <v>0</v>
      </c>
      <c r="AD97" s="208">
        <f t="shared" si="39"/>
        <v>0</v>
      </c>
      <c r="AE97" s="209">
        <f t="shared" si="40"/>
        <v>0</v>
      </c>
      <c r="AF97" s="210">
        <f t="shared" si="41"/>
        <v>291.64999999999998</v>
      </c>
    </row>
    <row r="98" spans="2:32" s="167" customFormat="1" ht="22.5" hidden="1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/>
      <c r="P98" s="207"/>
      <c r="Q98" s="207"/>
      <c r="R98" s="206">
        <f t="shared" si="35"/>
        <v>0</v>
      </c>
      <c r="S98" s="206">
        <f t="shared" si="44"/>
        <v>1</v>
      </c>
      <c r="T98" s="206">
        <f t="shared" si="45"/>
        <v>73.97</v>
      </c>
      <c r="U98" s="208">
        <f t="shared" si="31"/>
        <v>0</v>
      </c>
      <c r="V98" s="208">
        <f t="shared" si="32"/>
        <v>0</v>
      </c>
      <c r="W98" s="208">
        <f t="shared" si="46"/>
        <v>0</v>
      </c>
      <c r="X98" s="208">
        <f t="shared" si="33"/>
        <v>0</v>
      </c>
      <c r="Y98" s="208">
        <f t="shared" si="34"/>
        <v>0</v>
      </c>
      <c r="Z98" s="208">
        <f t="shared" ref="Z98:Z129" si="47">M98*F98</f>
        <v>0</v>
      </c>
      <c r="AA98" s="208">
        <f t="shared" si="36"/>
        <v>0</v>
      </c>
      <c r="AB98" s="208">
        <f t="shared" si="37"/>
        <v>0</v>
      </c>
      <c r="AC98" s="208">
        <f t="shared" si="38"/>
        <v>0</v>
      </c>
      <c r="AD98" s="208">
        <f t="shared" si="39"/>
        <v>0</v>
      </c>
      <c r="AE98" s="209">
        <f t="shared" si="40"/>
        <v>0</v>
      </c>
      <c r="AF98" s="210">
        <f t="shared" si="41"/>
        <v>73.97</v>
      </c>
    </row>
    <row r="99" spans="2:32" s="167" customFormat="1" ht="22.5" hidden="1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/>
      <c r="P99" s="207"/>
      <c r="Q99" s="207"/>
      <c r="R99" s="206">
        <f t="shared" si="35"/>
        <v>0</v>
      </c>
      <c r="S99" s="206">
        <f t="shared" si="44"/>
        <v>1</v>
      </c>
      <c r="T99" s="206">
        <f t="shared" si="45"/>
        <v>77.569999999999993</v>
      </c>
      <c r="U99" s="208">
        <f t="shared" si="31"/>
        <v>0</v>
      </c>
      <c r="V99" s="208">
        <f t="shared" si="32"/>
        <v>0</v>
      </c>
      <c r="W99" s="208">
        <f t="shared" si="46"/>
        <v>0</v>
      </c>
      <c r="X99" s="208">
        <f t="shared" si="33"/>
        <v>0</v>
      </c>
      <c r="Y99" s="208">
        <f t="shared" si="34"/>
        <v>0</v>
      </c>
      <c r="Z99" s="208">
        <f t="shared" si="47"/>
        <v>0</v>
      </c>
      <c r="AA99" s="208">
        <f t="shared" si="36"/>
        <v>0</v>
      </c>
      <c r="AB99" s="208">
        <f t="shared" si="37"/>
        <v>0</v>
      </c>
      <c r="AC99" s="208">
        <f t="shared" si="38"/>
        <v>0</v>
      </c>
      <c r="AD99" s="208">
        <f t="shared" si="39"/>
        <v>0</v>
      </c>
      <c r="AE99" s="209">
        <f t="shared" si="40"/>
        <v>0</v>
      </c>
      <c r="AF99" s="210">
        <f t="shared" si="41"/>
        <v>77.569999999999993</v>
      </c>
    </row>
    <row r="100" spans="2:32" s="167" customFormat="1" ht="22.5" hidden="1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/>
      <c r="P100" s="207"/>
      <c r="Q100" s="207"/>
      <c r="R100" s="206">
        <f t="shared" si="35"/>
        <v>0</v>
      </c>
      <c r="S100" s="206">
        <f t="shared" si="44"/>
        <v>6</v>
      </c>
      <c r="T100" s="206">
        <f t="shared" si="45"/>
        <v>448.86</v>
      </c>
      <c r="U100" s="208">
        <f t="shared" si="31"/>
        <v>0</v>
      </c>
      <c r="V100" s="208">
        <f t="shared" si="32"/>
        <v>0</v>
      </c>
      <c r="W100" s="208">
        <f t="shared" si="46"/>
        <v>0</v>
      </c>
      <c r="X100" s="208">
        <f t="shared" si="33"/>
        <v>0</v>
      </c>
      <c r="Y100" s="208">
        <f t="shared" si="34"/>
        <v>0</v>
      </c>
      <c r="Z100" s="208">
        <f t="shared" si="47"/>
        <v>0</v>
      </c>
      <c r="AA100" s="208">
        <f t="shared" si="36"/>
        <v>0</v>
      </c>
      <c r="AB100" s="208">
        <f t="shared" si="37"/>
        <v>0</v>
      </c>
      <c r="AC100" s="208">
        <f t="shared" si="38"/>
        <v>0</v>
      </c>
      <c r="AD100" s="208">
        <f t="shared" si="39"/>
        <v>0</v>
      </c>
      <c r="AE100" s="209">
        <f t="shared" si="40"/>
        <v>0</v>
      </c>
      <c r="AF100" s="210">
        <f t="shared" si="41"/>
        <v>448.86</v>
      </c>
    </row>
    <row r="101" spans="2:32" s="167" customFormat="1" ht="22.5" hidden="1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/>
      <c r="P101" s="207"/>
      <c r="Q101" s="207"/>
      <c r="R101" s="206">
        <f t="shared" si="35"/>
        <v>0</v>
      </c>
      <c r="S101" s="206">
        <f t="shared" si="44"/>
        <v>1</v>
      </c>
      <c r="T101" s="206">
        <f t="shared" si="45"/>
        <v>136.80000000000001</v>
      </c>
      <c r="U101" s="208">
        <f t="shared" si="31"/>
        <v>0</v>
      </c>
      <c r="V101" s="208">
        <f t="shared" si="32"/>
        <v>0</v>
      </c>
      <c r="W101" s="208">
        <f t="shared" si="46"/>
        <v>0</v>
      </c>
      <c r="X101" s="208">
        <f t="shared" si="33"/>
        <v>0</v>
      </c>
      <c r="Y101" s="208">
        <f t="shared" si="34"/>
        <v>0</v>
      </c>
      <c r="Z101" s="208">
        <f t="shared" si="47"/>
        <v>0</v>
      </c>
      <c r="AA101" s="208">
        <f t="shared" si="36"/>
        <v>0</v>
      </c>
      <c r="AB101" s="208">
        <f t="shared" si="37"/>
        <v>0</v>
      </c>
      <c r="AC101" s="208">
        <f t="shared" si="38"/>
        <v>0</v>
      </c>
      <c r="AD101" s="208">
        <f t="shared" si="39"/>
        <v>0</v>
      </c>
      <c r="AE101" s="209">
        <f t="shared" si="40"/>
        <v>0</v>
      </c>
      <c r="AF101" s="210">
        <f t="shared" si="41"/>
        <v>136.80000000000001</v>
      </c>
    </row>
    <row r="102" spans="2:32" s="167" customFormat="1" ht="22.5" hidden="1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/>
      <c r="P102" s="207"/>
      <c r="Q102" s="207"/>
      <c r="R102" s="206">
        <f t="shared" si="35"/>
        <v>0</v>
      </c>
      <c r="S102" s="206">
        <f t="shared" si="44"/>
        <v>1</v>
      </c>
      <c r="T102" s="206">
        <f t="shared" si="45"/>
        <v>139.25</v>
      </c>
      <c r="U102" s="208">
        <f t="shared" si="31"/>
        <v>0</v>
      </c>
      <c r="V102" s="208">
        <f t="shared" si="32"/>
        <v>0</v>
      </c>
      <c r="W102" s="208">
        <f t="shared" si="46"/>
        <v>0</v>
      </c>
      <c r="X102" s="208">
        <f t="shared" si="33"/>
        <v>0</v>
      </c>
      <c r="Y102" s="208">
        <f t="shared" si="34"/>
        <v>0</v>
      </c>
      <c r="Z102" s="208">
        <f t="shared" si="47"/>
        <v>0</v>
      </c>
      <c r="AA102" s="208">
        <f t="shared" si="36"/>
        <v>0</v>
      </c>
      <c r="AB102" s="208">
        <f t="shared" si="37"/>
        <v>0</v>
      </c>
      <c r="AC102" s="208">
        <f t="shared" si="38"/>
        <v>0</v>
      </c>
      <c r="AD102" s="208">
        <f t="shared" si="39"/>
        <v>0</v>
      </c>
      <c r="AE102" s="209">
        <f t="shared" si="40"/>
        <v>0</v>
      </c>
      <c r="AF102" s="210">
        <f t="shared" si="41"/>
        <v>139.25</v>
      </c>
    </row>
    <row r="103" spans="2:32" s="167" customFormat="1" ht="33.75" hidden="1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24</v>
      </c>
      <c r="H103" s="207"/>
      <c r="I103" s="207"/>
      <c r="J103" s="29"/>
      <c r="K103" s="207"/>
      <c r="L103" s="207"/>
      <c r="M103" s="207"/>
      <c r="N103" s="206"/>
      <c r="O103" s="206"/>
      <c r="P103" s="207"/>
      <c r="Q103" s="207"/>
      <c r="R103" s="206">
        <f t="shared" si="35"/>
        <v>0</v>
      </c>
      <c r="S103" s="206">
        <f t="shared" si="44"/>
        <v>24</v>
      </c>
      <c r="T103" s="206">
        <f t="shared" si="45"/>
        <v>619.20000000000005</v>
      </c>
      <c r="U103" s="208">
        <f t="shared" si="31"/>
        <v>0</v>
      </c>
      <c r="V103" s="208">
        <f t="shared" si="32"/>
        <v>0</v>
      </c>
      <c r="W103" s="208">
        <f t="shared" si="46"/>
        <v>0</v>
      </c>
      <c r="X103" s="208">
        <f t="shared" si="33"/>
        <v>0</v>
      </c>
      <c r="Y103" s="208">
        <f t="shared" si="34"/>
        <v>0</v>
      </c>
      <c r="Z103" s="208">
        <f t="shared" si="47"/>
        <v>0</v>
      </c>
      <c r="AA103" s="208">
        <f t="shared" si="36"/>
        <v>0</v>
      </c>
      <c r="AB103" s="208">
        <f t="shared" si="37"/>
        <v>0</v>
      </c>
      <c r="AC103" s="208">
        <f t="shared" si="38"/>
        <v>0</v>
      </c>
      <c r="AD103" s="208">
        <f t="shared" si="39"/>
        <v>0</v>
      </c>
      <c r="AE103" s="209">
        <f t="shared" si="40"/>
        <v>0</v>
      </c>
      <c r="AF103" s="210">
        <f t="shared" si="41"/>
        <v>619.20000000000005</v>
      </c>
    </row>
    <row r="104" spans="2:32" s="167" customFormat="1" ht="33.75" hidden="1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/>
      <c r="P104" s="207"/>
      <c r="Q104" s="207"/>
      <c r="R104" s="206">
        <f t="shared" si="35"/>
        <v>0</v>
      </c>
      <c r="S104" s="206">
        <f t="shared" si="44"/>
        <v>1</v>
      </c>
      <c r="T104" s="206">
        <f t="shared" si="45"/>
        <v>53.44</v>
      </c>
      <c r="U104" s="208">
        <f t="shared" si="31"/>
        <v>0</v>
      </c>
      <c r="V104" s="208">
        <f t="shared" si="32"/>
        <v>0</v>
      </c>
      <c r="W104" s="208">
        <f t="shared" si="46"/>
        <v>0</v>
      </c>
      <c r="X104" s="208">
        <f t="shared" si="33"/>
        <v>0</v>
      </c>
      <c r="Y104" s="208">
        <f t="shared" si="34"/>
        <v>0</v>
      </c>
      <c r="Z104" s="208">
        <f t="shared" si="47"/>
        <v>0</v>
      </c>
      <c r="AA104" s="208">
        <f t="shared" si="36"/>
        <v>0</v>
      </c>
      <c r="AB104" s="208">
        <f t="shared" si="37"/>
        <v>0</v>
      </c>
      <c r="AC104" s="208">
        <f t="shared" si="38"/>
        <v>0</v>
      </c>
      <c r="AD104" s="208">
        <f t="shared" si="39"/>
        <v>0</v>
      </c>
      <c r="AE104" s="209">
        <f t="shared" si="40"/>
        <v>0</v>
      </c>
      <c r="AF104" s="210">
        <f t="shared" si="41"/>
        <v>53.44</v>
      </c>
    </row>
    <row r="105" spans="2:32" s="167" customFormat="1" ht="33.75" hidden="1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/>
      <c r="P105" s="207"/>
      <c r="Q105" s="207"/>
      <c r="R105" s="206">
        <f t="shared" si="35"/>
        <v>0</v>
      </c>
      <c r="S105" s="206">
        <f t="shared" si="44"/>
        <v>54</v>
      </c>
      <c r="T105" s="206">
        <f t="shared" si="45"/>
        <v>1468.26</v>
      </c>
      <c r="U105" s="208">
        <f t="shared" si="31"/>
        <v>0</v>
      </c>
      <c r="V105" s="208">
        <f t="shared" si="32"/>
        <v>0</v>
      </c>
      <c r="W105" s="208">
        <f t="shared" si="46"/>
        <v>0</v>
      </c>
      <c r="X105" s="208">
        <f t="shared" si="33"/>
        <v>0</v>
      </c>
      <c r="Y105" s="208">
        <f t="shared" si="34"/>
        <v>0</v>
      </c>
      <c r="Z105" s="208">
        <f t="shared" si="47"/>
        <v>0</v>
      </c>
      <c r="AA105" s="208">
        <f t="shared" si="36"/>
        <v>0</v>
      </c>
      <c r="AB105" s="208">
        <f t="shared" si="37"/>
        <v>0</v>
      </c>
      <c r="AC105" s="208">
        <f t="shared" si="38"/>
        <v>0</v>
      </c>
      <c r="AD105" s="208">
        <f t="shared" si="39"/>
        <v>0</v>
      </c>
      <c r="AE105" s="209">
        <f t="shared" si="40"/>
        <v>0</v>
      </c>
      <c r="AF105" s="210">
        <f t="shared" si="41"/>
        <v>1468.26</v>
      </c>
    </row>
    <row r="106" spans="2:32" s="167" customFormat="1" ht="33.75" hidden="1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11</v>
      </c>
      <c r="H106" s="207"/>
      <c r="I106" s="207"/>
      <c r="J106" s="29"/>
      <c r="K106" s="207"/>
      <c r="L106" s="207"/>
      <c r="M106" s="207"/>
      <c r="N106" s="206"/>
      <c r="O106" s="206"/>
      <c r="P106" s="207"/>
      <c r="Q106" s="207"/>
      <c r="R106" s="206">
        <f t="shared" si="35"/>
        <v>0</v>
      </c>
      <c r="S106" s="206">
        <f t="shared" si="44"/>
        <v>11</v>
      </c>
      <c r="T106" s="206">
        <f t="shared" si="45"/>
        <v>465.85</v>
      </c>
      <c r="U106" s="208">
        <f t="shared" si="31"/>
        <v>0</v>
      </c>
      <c r="V106" s="208">
        <f t="shared" si="32"/>
        <v>0</v>
      </c>
      <c r="W106" s="208">
        <f t="shared" si="46"/>
        <v>0</v>
      </c>
      <c r="X106" s="208">
        <f t="shared" si="33"/>
        <v>0</v>
      </c>
      <c r="Y106" s="208">
        <f t="shared" si="34"/>
        <v>0</v>
      </c>
      <c r="Z106" s="208">
        <f t="shared" si="47"/>
        <v>0</v>
      </c>
      <c r="AA106" s="208">
        <f t="shared" si="36"/>
        <v>0</v>
      </c>
      <c r="AB106" s="208">
        <f t="shared" si="37"/>
        <v>0</v>
      </c>
      <c r="AC106" s="208">
        <f t="shared" si="38"/>
        <v>0</v>
      </c>
      <c r="AD106" s="208">
        <f t="shared" si="39"/>
        <v>0</v>
      </c>
      <c r="AE106" s="209">
        <f t="shared" si="40"/>
        <v>0</v>
      </c>
      <c r="AF106" s="210">
        <f t="shared" si="41"/>
        <v>465.85</v>
      </c>
    </row>
    <row r="107" spans="2:32" s="167" customFormat="1" ht="33.75" hidden="1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16"/>
      <c r="P107" s="216"/>
      <c r="Q107" s="216"/>
      <c r="R107" s="206">
        <f t="shared" si="35"/>
        <v>0</v>
      </c>
      <c r="S107" s="206">
        <f t="shared" si="44"/>
        <v>2</v>
      </c>
      <c r="T107" s="206">
        <f t="shared" si="45"/>
        <v>79.239999999999995</v>
      </c>
      <c r="U107" s="208">
        <f t="shared" si="31"/>
        <v>0</v>
      </c>
      <c r="V107" s="208">
        <f t="shared" si="32"/>
        <v>0</v>
      </c>
      <c r="W107" s="208">
        <f t="shared" si="46"/>
        <v>0</v>
      </c>
      <c r="X107" s="208">
        <f t="shared" si="33"/>
        <v>0</v>
      </c>
      <c r="Y107" s="208">
        <f t="shared" si="34"/>
        <v>0</v>
      </c>
      <c r="Z107" s="208">
        <f t="shared" si="47"/>
        <v>0</v>
      </c>
      <c r="AA107" s="208">
        <f t="shared" si="36"/>
        <v>0</v>
      </c>
      <c r="AB107" s="208">
        <f t="shared" si="37"/>
        <v>0</v>
      </c>
      <c r="AC107" s="208">
        <f t="shared" si="38"/>
        <v>0</v>
      </c>
      <c r="AD107" s="208">
        <f t="shared" si="39"/>
        <v>0</v>
      </c>
      <c r="AE107" s="209">
        <f t="shared" si="40"/>
        <v>0</v>
      </c>
      <c r="AF107" s="210">
        <f t="shared" si="41"/>
        <v>79.239999999999995</v>
      </c>
    </row>
    <row r="108" spans="2:32" s="167" customFormat="1" ht="33.75" hidden="1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9">
        <f>'MEMORIAL DE CALCULO 06'!K413</f>
        <v>150</v>
      </c>
      <c r="N108" s="216"/>
      <c r="O108" s="29">
        <f>'MEMORIAL DE CALCULO 08'!K434</f>
        <v>200</v>
      </c>
      <c r="P108" s="216"/>
      <c r="Q108" s="216"/>
      <c r="R108" s="206">
        <f t="shared" si="35"/>
        <v>350</v>
      </c>
      <c r="S108" s="206">
        <f t="shared" si="44"/>
        <v>480.48</v>
      </c>
      <c r="T108" s="206">
        <f>F108*G108</f>
        <v>8113.7896000000001</v>
      </c>
      <c r="U108" s="208">
        <f t="shared" si="31"/>
        <v>0</v>
      </c>
      <c r="V108" s="208">
        <f t="shared" si="32"/>
        <v>0</v>
      </c>
      <c r="W108" s="208">
        <f t="shared" si="46"/>
        <v>0</v>
      </c>
      <c r="X108" s="208">
        <f t="shared" si="33"/>
        <v>0</v>
      </c>
      <c r="Y108" s="208">
        <f t="shared" si="34"/>
        <v>0</v>
      </c>
      <c r="Z108" s="208">
        <f t="shared" si="47"/>
        <v>1465.5</v>
      </c>
      <c r="AA108" s="208">
        <f t="shared" si="36"/>
        <v>0</v>
      </c>
      <c r="AB108" s="208">
        <f t="shared" si="37"/>
        <v>1954</v>
      </c>
      <c r="AC108" s="208">
        <f t="shared" si="38"/>
        <v>0</v>
      </c>
      <c r="AD108" s="208">
        <f t="shared" si="39"/>
        <v>0</v>
      </c>
      <c r="AE108" s="209">
        <f t="shared" si="40"/>
        <v>3419.5</v>
      </c>
      <c r="AF108" s="210">
        <f t="shared" si="41"/>
        <v>4694.2896000000001</v>
      </c>
    </row>
    <row r="109" spans="2:32" s="167" customFormat="1" ht="33.75" hidden="1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7">
        <f>'MEMORIAL DE CALCULO 08'!K436</f>
        <v>55.97</v>
      </c>
      <c r="P109" s="207"/>
      <c r="Q109" s="207"/>
      <c r="R109" s="206">
        <f t="shared" si="35"/>
        <v>55.97</v>
      </c>
      <c r="S109" s="206">
        <f t="shared" si="44"/>
        <v>0</v>
      </c>
      <c r="T109" s="206">
        <f t="shared" si="45"/>
        <v>730.4085</v>
      </c>
      <c r="U109" s="208">
        <f t="shared" si="31"/>
        <v>0</v>
      </c>
      <c r="V109" s="208">
        <f t="shared" si="32"/>
        <v>0</v>
      </c>
      <c r="W109" s="208">
        <f t="shared" si="46"/>
        <v>0</v>
      </c>
      <c r="X109" s="208">
        <f t="shared" si="33"/>
        <v>0</v>
      </c>
      <c r="Y109" s="208">
        <f t="shared" si="34"/>
        <v>0</v>
      </c>
      <c r="Z109" s="208">
        <f t="shared" si="47"/>
        <v>0</v>
      </c>
      <c r="AA109" s="208">
        <f t="shared" si="36"/>
        <v>0</v>
      </c>
      <c r="AB109" s="208">
        <f t="shared" si="37"/>
        <v>730.4</v>
      </c>
      <c r="AC109" s="208">
        <f t="shared" si="38"/>
        <v>0</v>
      </c>
      <c r="AD109" s="208">
        <f t="shared" si="39"/>
        <v>0</v>
      </c>
      <c r="AE109" s="209">
        <f t="shared" si="40"/>
        <v>730.4</v>
      </c>
      <c r="AF109" s="210">
        <f t="shared" si="41"/>
        <v>8.5000000000263753E-3</v>
      </c>
    </row>
    <row r="110" spans="2:32" s="167" customFormat="1" ht="33.75" hidden="1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7">
        <f>'MEMORIAL DE CALCULO 08'!K438</f>
        <v>36.19</v>
      </c>
      <c r="P110" s="207"/>
      <c r="Q110" s="207"/>
      <c r="R110" s="206">
        <f t="shared" si="35"/>
        <v>36.19</v>
      </c>
      <c r="S110" s="206">
        <f t="shared" si="44"/>
        <v>0</v>
      </c>
      <c r="T110" s="206">
        <f t="shared" si="45"/>
        <v>332.2242</v>
      </c>
      <c r="U110" s="208">
        <f t="shared" ref="U110:U141" si="48">F110*H110</f>
        <v>0</v>
      </c>
      <c r="V110" s="208">
        <f t="shared" ref="V110:V141" si="49">F110*I110</f>
        <v>0</v>
      </c>
      <c r="W110" s="208">
        <f t="shared" si="46"/>
        <v>0</v>
      </c>
      <c r="X110" s="208">
        <f t="shared" ref="X110:X141" si="50">TRUNC(F110*K110,2)</f>
        <v>0</v>
      </c>
      <c r="Y110" s="208">
        <f t="shared" ref="Y110:Y141" si="51">TRUNC(F110*L110,2)</f>
        <v>0</v>
      </c>
      <c r="Z110" s="208">
        <f t="shared" si="47"/>
        <v>0</v>
      </c>
      <c r="AA110" s="208">
        <f t="shared" si="36"/>
        <v>0</v>
      </c>
      <c r="AB110" s="208">
        <f t="shared" si="37"/>
        <v>332.22</v>
      </c>
      <c r="AC110" s="208">
        <f t="shared" si="38"/>
        <v>0</v>
      </c>
      <c r="AD110" s="208">
        <f t="shared" si="39"/>
        <v>0</v>
      </c>
      <c r="AE110" s="209">
        <f t="shared" si="40"/>
        <v>332.22</v>
      </c>
      <c r="AF110" s="210">
        <f t="shared" si="41"/>
        <v>4.1999999999688953E-3</v>
      </c>
    </row>
    <row r="111" spans="2:32" s="167" customFormat="1" ht="22.5" hidden="1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/>
      <c r="P111" s="207"/>
      <c r="Q111" s="207"/>
      <c r="R111" s="206">
        <f t="shared" si="35"/>
        <v>0</v>
      </c>
      <c r="S111" s="206">
        <f t="shared" si="44"/>
        <v>15</v>
      </c>
      <c r="T111" s="206">
        <f t="shared" si="45"/>
        <v>4348.95</v>
      </c>
      <c r="U111" s="208">
        <f t="shared" si="48"/>
        <v>0</v>
      </c>
      <c r="V111" s="208">
        <f t="shared" si="49"/>
        <v>0</v>
      </c>
      <c r="W111" s="208">
        <f t="shared" si="46"/>
        <v>0</v>
      </c>
      <c r="X111" s="208">
        <f t="shared" si="50"/>
        <v>0</v>
      </c>
      <c r="Y111" s="208">
        <f t="shared" si="51"/>
        <v>0</v>
      </c>
      <c r="Z111" s="208">
        <f t="shared" si="47"/>
        <v>0</v>
      </c>
      <c r="AA111" s="208">
        <f t="shared" ref="AA111:AA142" si="52">F111*N111</f>
        <v>0</v>
      </c>
      <c r="AB111" s="208">
        <f t="shared" si="37"/>
        <v>0</v>
      </c>
      <c r="AC111" s="208">
        <f t="shared" si="38"/>
        <v>0</v>
      </c>
      <c r="AD111" s="208">
        <f t="shared" si="39"/>
        <v>0</v>
      </c>
      <c r="AE111" s="209">
        <f t="shared" si="40"/>
        <v>0</v>
      </c>
      <c r="AF111" s="210">
        <f t="shared" si="41"/>
        <v>4348.95</v>
      </c>
    </row>
    <row r="112" spans="2:32" s="167" customFormat="1" ht="22.5" hidden="1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/>
      <c r="P112" s="207"/>
      <c r="Q112" s="207"/>
      <c r="R112" s="206">
        <f t="shared" si="35"/>
        <v>0</v>
      </c>
      <c r="S112" s="206">
        <f t="shared" si="44"/>
        <v>76</v>
      </c>
      <c r="T112" s="206">
        <f t="shared" si="45"/>
        <v>2536.88</v>
      </c>
      <c r="U112" s="208">
        <f t="shared" si="48"/>
        <v>0</v>
      </c>
      <c r="V112" s="208">
        <f t="shared" si="49"/>
        <v>0</v>
      </c>
      <c r="W112" s="208">
        <f t="shared" si="46"/>
        <v>0</v>
      </c>
      <c r="X112" s="208">
        <f t="shared" si="50"/>
        <v>0</v>
      </c>
      <c r="Y112" s="208">
        <f t="shared" si="51"/>
        <v>0</v>
      </c>
      <c r="Z112" s="208">
        <f t="shared" si="47"/>
        <v>0</v>
      </c>
      <c r="AA112" s="208">
        <f t="shared" si="52"/>
        <v>0</v>
      </c>
      <c r="AB112" s="208">
        <f t="shared" si="37"/>
        <v>0</v>
      </c>
      <c r="AC112" s="208">
        <f t="shared" si="38"/>
        <v>0</v>
      </c>
      <c r="AD112" s="208">
        <f t="shared" si="39"/>
        <v>0</v>
      </c>
      <c r="AE112" s="209">
        <f t="shared" si="40"/>
        <v>0</v>
      </c>
      <c r="AF112" s="210">
        <f t="shared" si="41"/>
        <v>2536.88</v>
      </c>
    </row>
    <row r="113" spans="2:32" s="167" customFormat="1" ht="33.75" hidden="1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/>
      <c r="P113" s="207"/>
      <c r="Q113" s="207"/>
      <c r="R113" s="206">
        <f t="shared" si="35"/>
        <v>0</v>
      </c>
      <c r="S113" s="206">
        <f t="shared" si="44"/>
        <v>1</v>
      </c>
      <c r="T113" s="206">
        <f t="shared" si="45"/>
        <v>1759.39</v>
      </c>
      <c r="U113" s="208">
        <f t="shared" si="48"/>
        <v>0</v>
      </c>
      <c r="V113" s="208">
        <f t="shared" si="49"/>
        <v>0</v>
      </c>
      <c r="W113" s="208">
        <f t="shared" si="46"/>
        <v>0</v>
      </c>
      <c r="X113" s="208">
        <f t="shared" si="50"/>
        <v>0</v>
      </c>
      <c r="Y113" s="208">
        <f t="shared" si="51"/>
        <v>0</v>
      </c>
      <c r="Z113" s="208">
        <f t="shared" si="47"/>
        <v>0</v>
      </c>
      <c r="AA113" s="208">
        <f t="shared" si="52"/>
        <v>0</v>
      </c>
      <c r="AB113" s="208">
        <f t="shared" si="37"/>
        <v>0</v>
      </c>
      <c r="AC113" s="208">
        <f t="shared" si="38"/>
        <v>0</v>
      </c>
      <c r="AD113" s="208">
        <f t="shared" si="39"/>
        <v>0</v>
      </c>
      <c r="AE113" s="209">
        <f t="shared" si="40"/>
        <v>0</v>
      </c>
      <c r="AF113" s="210">
        <f t="shared" si="41"/>
        <v>1759.39</v>
      </c>
    </row>
    <row r="114" spans="2:32" s="167" customFormat="1" ht="33.75" hidden="1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/>
      <c r="P114" s="207"/>
      <c r="Q114" s="207"/>
      <c r="R114" s="206">
        <f t="shared" si="35"/>
        <v>0</v>
      </c>
      <c r="S114" s="206">
        <f t="shared" si="44"/>
        <v>1</v>
      </c>
      <c r="T114" s="206">
        <f t="shared" si="45"/>
        <v>924.88</v>
      </c>
      <c r="U114" s="208">
        <f t="shared" si="48"/>
        <v>0</v>
      </c>
      <c r="V114" s="208">
        <f t="shared" si="49"/>
        <v>0</v>
      </c>
      <c r="W114" s="208">
        <f t="shared" si="46"/>
        <v>0</v>
      </c>
      <c r="X114" s="208">
        <f t="shared" si="50"/>
        <v>0</v>
      </c>
      <c r="Y114" s="208">
        <f t="shared" si="51"/>
        <v>0</v>
      </c>
      <c r="Z114" s="208">
        <f t="shared" si="47"/>
        <v>0</v>
      </c>
      <c r="AA114" s="208">
        <f t="shared" si="52"/>
        <v>0</v>
      </c>
      <c r="AB114" s="208">
        <f t="shared" si="37"/>
        <v>0</v>
      </c>
      <c r="AC114" s="208">
        <f t="shared" si="38"/>
        <v>0</v>
      </c>
      <c r="AD114" s="208">
        <f t="shared" si="39"/>
        <v>0</v>
      </c>
      <c r="AE114" s="209">
        <f t="shared" si="40"/>
        <v>0</v>
      </c>
      <c r="AF114" s="210">
        <f t="shared" si="41"/>
        <v>924.88</v>
      </c>
    </row>
    <row r="115" spans="2:32" s="167" customFormat="1" ht="45" hidden="1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2</v>
      </c>
      <c r="H115" s="207"/>
      <c r="I115" s="207"/>
      <c r="J115" s="29"/>
      <c r="K115" s="207"/>
      <c r="L115" s="207"/>
      <c r="M115" s="207"/>
      <c r="N115" s="206"/>
      <c r="O115" s="206"/>
      <c r="P115" s="207"/>
      <c r="Q115" s="207"/>
      <c r="R115" s="206">
        <f t="shared" si="35"/>
        <v>0</v>
      </c>
      <c r="S115" s="206">
        <f t="shared" si="44"/>
        <v>2</v>
      </c>
      <c r="T115" s="206">
        <f t="shared" si="45"/>
        <v>1111.02</v>
      </c>
      <c r="U115" s="208">
        <f t="shared" si="48"/>
        <v>0</v>
      </c>
      <c r="V115" s="208">
        <f t="shared" si="49"/>
        <v>0</v>
      </c>
      <c r="W115" s="208">
        <f t="shared" si="46"/>
        <v>0</v>
      </c>
      <c r="X115" s="208">
        <f t="shared" si="50"/>
        <v>0</v>
      </c>
      <c r="Y115" s="208">
        <f t="shared" si="51"/>
        <v>0</v>
      </c>
      <c r="Z115" s="208">
        <f t="shared" si="47"/>
        <v>0</v>
      </c>
      <c r="AA115" s="208">
        <f t="shared" si="52"/>
        <v>0</v>
      </c>
      <c r="AB115" s="208">
        <f t="shared" si="37"/>
        <v>0</v>
      </c>
      <c r="AC115" s="208">
        <f t="shared" si="38"/>
        <v>0</v>
      </c>
      <c r="AD115" s="208">
        <f t="shared" si="39"/>
        <v>0</v>
      </c>
      <c r="AE115" s="209">
        <f t="shared" si="40"/>
        <v>0</v>
      </c>
      <c r="AF115" s="210">
        <f t="shared" si="41"/>
        <v>1111.02</v>
      </c>
    </row>
    <row r="116" spans="2:32" s="167" customFormat="1" ht="33.75" hidden="1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/>
      <c r="P116" s="207"/>
      <c r="Q116" s="207"/>
      <c r="R116" s="206">
        <f t="shared" si="35"/>
        <v>0</v>
      </c>
      <c r="S116" s="206">
        <f t="shared" si="44"/>
        <v>1</v>
      </c>
      <c r="T116" s="206">
        <f t="shared" si="45"/>
        <v>924.88</v>
      </c>
      <c r="U116" s="208">
        <f t="shared" si="48"/>
        <v>0</v>
      </c>
      <c r="V116" s="208">
        <f t="shared" si="49"/>
        <v>0</v>
      </c>
      <c r="W116" s="208">
        <f t="shared" si="46"/>
        <v>0</v>
      </c>
      <c r="X116" s="208">
        <f t="shared" si="50"/>
        <v>0</v>
      </c>
      <c r="Y116" s="208">
        <f t="shared" si="51"/>
        <v>0</v>
      </c>
      <c r="Z116" s="208">
        <f t="shared" si="47"/>
        <v>0</v>
      </c>
      <c r="AA116" s="208">
        <f t="shared" si="52"/>
        <v>0</v>
      </c>
      <c r="AB116" s="208">
        <f t="shared" si="37"/>
        <v>0</v>
      </c>
      <c r="AC116" s="208">
        <f t="shared" si="38"/>
        <v>0</v>
      </c>
      <c r="AD116" s="208">
        <f t="shared" si="39"/>
        <v>0</v>
      </c>
      <c r="AE116" s="209">
        <f t="shared" si="40"/>
        <v>0</v>
      </c>
      <c r="AF116" s="210">
        <f t="shared" si="41"/>
        <v>924.88</v>
      </c>
    </row>
    <row r="117" spans="2:32" s="167" customFormat="1" ht="33.75" hidden="1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/>
      <c r="P117" s="207"/>
      <c r="Q117" s="207"/>
      <c r="R117" s="206">
        <f t="shared" si="35"/>
        <v>0</v>
      </c>
      <c r="S117" s="206">
        <f t="shared" si="44"/>
        <v>5</v>
      </c>
      <c r="T117" s="206">
        <f t="shared" si="45"/>
        <v>219.4</v>
      </c>
      <c r="U117" s="208">
        <f t="shared" si="48"/>
        <v>0</v>
      </c>
      <c r="V117" s="208">
        <f t="shared" si="49"/>
        <v>0</v>
      </c>
      <c r="W117" s="208">
        <f t="shared" si="46"/>
        <v>0</v>
      </c>
      <c r="X117" s="208">
        <f t="shared" si="50"/>
        <v>0</v>
      </c>
      <c r="Y117" s="208">
        <f t="shared" si="51"/>
        <v>0</v>
      </c>
      <c r="Z117" s="208">
        <f t="shared" si="47"/>
        <v>0</v>
      </c>
      <c r="AA117" s="208">
        <f t="shared" si="52"/>
        <v>0</v>
      </c>
      <c r="AB117" s="208">
        <f t="shared" si="37"/>
        <v>0</v>
      </c>
      <c r="AC117" s="208">
        <f t="shared" si="38"/>
        <v>0</v>
      </c>
      <c r="AD117" s="208">
        <f t="shared" si="39"/>
        <v>0</v>
      </c>
      <c r="AE117" s="209">
        <f t="shared" si="40"/>
        <v>0</v>
      </c>
      <c r="AF117" s="210">
        <f t="shared" si="41"/>
        <v>219.4</v>
      </c>
    </row>
    <row r="118" spans="2:32" s="167" customFormat="1" hidden="1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7"/>
      <c r="Q118" s="207"/>
      <c r="R118" s="206">
        <f t="shared" si="35"/>
        <v>0</v>
      </c>
      <c r="S118" s="206"/>
      <c r="T118" s="206"/>
      <c r="U118" s="208">
        <f t="shared" si="48"/>
        <v>0</v>
      </c>
      <c r="V118" s="208">
        <f t="shared" si="49"/>
        <v>0</v>
      </c>
      <c r="W118" s="208">
        <f t="shared" si="46"/>
        <v>0</v>
      </c>
      <c r="X118" s="208">
        <f t="shared" si="50"/>
        <v>0</v>
      </c>
      <c r="Y118" s="208">
        <f t="shared" si="51"/>
        <v>0</v>
      </c>
      <c r="Z118" s="208">
        <f t="shared" si="47"/>
        <v>0</v>
      </c>
      <c r="AA118" s="208">
        <f t="shared" si="52"/>
        <v>0</v>
      </c>
      <c r="AB118" s="208">
        <f t="shared" si="37"/>
        <v>0</v>
      </c>
      <c r="AC118" s="208">
        <f t="shared" si="38"/>
        <v>0</v>
      </c>
      <c r="AD118" s="208">
        <f t="shared" si="39"/>
        <v>0</v>
      </c>
      <c r="AE118" s="209">
        <f t="shared" si="40"/>
        <v>0</v>
      </c>
      <c r="AF118" s="210">
        <f t="shared" si="41"/>
        <v>0</v>
      </c>
    </row>
    <row r="119" spans="2:32" s="167" customFormat="1" ht="22.5" hidden="1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35.340000000000003</v>
      </c>
      <c r="H119" s="207"/>
      <c r="I119" s="207"/>
      <c r="J119" s="29"/>
      <c r="K119" s="207"/>
      <c r="L119" s="207"/>
      <c r="M119" s="207"/>
      <c r="N119" s="207">
        <v>10.199999999999999</v>
      </c>
      <c r="O119" s="207">
        <f>'MEMORIAL DE CALCULO 08'!K441</f>
        <v>21.53</v>
      </c>
      <c r="P119" s="207"/>
      <c r="Q119" s="207"/>
      <c r="R119" s="206">
        <f t="shared" si="35"/>
        <v>31.73</v>
      </c>
      <c r="S119" s="206">
        <f t="shared" ref="S119:S126" si="53">G119-R119</f>
        <v>3.610000000000003</v>
      </c>
      <c r="T119" s="206">
        <f t="shared" ref="T119:T126" si="54">F119*G119</f>
        <v>20972.169600000005</v>
      </c>
      <c r="U119" s="208">
        <f t="shared" si="48"/>
        <v>0</v>
      </c>
      <c r="V119" s="208">
        <f t="shared" si="49"/>
        <v>0</v>
      </c>
      <c r="W119" s="208">
        <f t="shared" si="46"/>
        <v>0</v>
      </c>
      <c r="X119" s="208">
        <f t="shared" si="50"/>
        <v>0</v>
      </c>
      <c r="Y119" s="208">
        <f t="shared" si="51"/>
        <v>0</v>
      </c>
      <c r="Z119" s="208">
        <f t="shared" si="47"/>
        <v>0</v>
      </c>
      <c r="AA119" s="208">
        <f t="shared" si="52"/>
        <v>6053.0879999999997</v>
      </c>
      <c r="AB119" s="208">
        <f t="shared" si="37"/>
        <v>12776.76</v>
      </c>
      <c r="AC119" s="208">
        <f t="shared" si="38"/>
        <v>0</v>
      </c>
      <c r="AD119" s="208">
        <f t="shared" si="39"/>
        <v>0</v>
      </c>
      <c r="AE119" s="209">
        <f t="shared" si="40"/>
        <v>18829.847999999998</v>
      </c>
      <c r="AF119" s="210">
        <f t="shared" si="41"/>
        <v>2142.3216000000066</v>
      </c>
    </row>
    <row r="120" spans="2:32" s="167" customFormat="1" ht="67.5" hidden="1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722.78</v>
      </c>
      <c r="H120" s="207"/>
      <c r="I120" s="207"/>
      <c r="J120" s="29"/>
      <c r="K120" s="207"/>
      <c r="L120" s="207"/>
      <c r="M120" s="207"/>
      <c r="N120" s="206"/>
      <c r="O120" s="207">
        <f>'MEMORIAL DE CALCULO 08'!K443</f>
        <v>116.27</v>
      </c>
      <c r="P120" s="207"/>
      <c r="Q120" s="207"/>
      <c r="R120" s="206">
        <f t="shared" si="35"/>
        <v>116.27</v>
      </c>
      <c r="S120" s="206">
        <f t="shared" si="53"/>
        <v>606.51</v>
      </c>
      <c r="T120" s="206">
        <f t="shared" si="54"/>
        <v>33305.702399999995</v>
      </c>
      <c r="U120" s="208">
        <f t="shared" si="48"/>
        <v>0</v>
      </c>
      <c r="V120" s="208">
        <f t="shared" si="49"/>
        <v>0</v>
      </c>
      <c r="W120" s="208">
        <f t="shared" si="46"/>
        <v>0</v>
      </c>
      <c r="X120" s="208">
        <f t="shared" si="50"/>
        <v>0</v>
      </c>
      <c r="Y120" s="208">
        <f t="shared" si="51"/>
        <v>0</v>
      </c>
      <c r="Z120" s="208">
        <f t="shared" si="47"/>
        <v>0</v>
      </c>
      <c r="AA120" s="208">
        <f t="shared" si="52"/>
        <v>0</v>
      </c>
      <c r="AB120" s="208">
        <f t="shared" si="37"/>
        <v>5357.72</v>
      </c>
      <c r="AC120" s="208">
        <f t="shared" si="38"/>
        <v>0</v>
      </c>
      <c r="AD120" s="208">
        <f t="shared" si="39"/>
        <v>0</v>
      </c>
      <c r="AE120" s="209">
        <f t="shared" si="40"/>
        <v>5357.72</v>
      </c>
      <c r="AF120" s="210">
        <f t="shared" si="41"/>
        <v>27947.982399999994</v>
      </c>
    </row>
    <row r="121" spans="2:32" s="167" customFormat="1" ht="33.75" hidden="1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/>
      <c r="P121" s="207"/>
      <c r="Q121" s="207"/>
      <c r="R121" s="206">
        <f t="shared" si="35"/>
        <v>0</v>
      </c>
      <c r="S121" s="206">
        <f t="shared" si="53"/>
        <v>634.5</v>
      </c>
      <c r="T121" s="206">
        <f t="shared" si="54"/>
        <v>60366.33</v>
      </c>
      <c r="U121" s="208">
        <f t="shared" si="48"/>
        <v>0</v>
      </c>
      <c r="V121" s="208">
        <f t="shared" si="49"/>
        <v>0</v>
      </c>
      <c r="W121" s="208">
        <f t="shared" si="46"/>
        <v>0</v>
      </c>
      <c r="X121" s="208">
        <f t="shared" si="50"/>
        <v>0</v>
      </c>
      <c r="Y121" s="208">
        <f t="shared" si="51"/>
        <v>0</v>
      </c>
      <c r="Z121" s="208">
        <f t="shared" si="47"/>
        <v>0</v>
      </c>
      <c r="AA121" s="208">
        <f t="shared" si="52"/>
        <v>0</v>
      </c>
      <c r="AB121" s="208">
        <f t="shared" si="37"/>
        <v>0</v>
      </c>
      <c r="AC121" s="208">
        <f t="shared" si="38"/>
        <v>0</v>
      </c>
      <c r="AD121" s="208">
        <f t="shared" si="39"/>
        <v>0</v>
      </c>
      <c r="AE121" s="209">
        <f t="shared" si="40"/>
        <v>0</v>
      </c>
      <c r="AF121" s="210">
        <f t="shared" si="41"/>
        <v>60366.33</v>
      </c>
    </row>
    <row r="122" spans="2:32" s="167" customFormat="1" ht="33.75" hidden="1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371.39499999999902</v>
      </c>
      <c r="H122" s="207"/>
      <c r="I122" s="207"/>
      <c r="J122" s="29"/>
      <c r="K122" s="207"/>
      <c r="L122" s="207"/>
      <c r="M122" s="207"/>
      <c r="N122" s="206"/>
      <c r="O122" s="206"/>
      <c r="P122" s="207"/>
      <c r="Q122" s="207"/>
      <c r="R122" s="206">
        <f t="shared" si="35"/>
        <v>0</v>
      </c>
      <c r="S122" s="206">
        <f t="shared" si="53"/>
        <v>371.39499999999902</v>
      </c>
      <c r="T122" s="206">
        <f t="shared" si="54"/>
        <v>18985.712399999949</v>
      </c>
      <c r="U122" s="208">
        <f t="shared" si="48"/>
        <v>0</v>
      </c>
      <c r="V122" s="208">
        <f t="shared" si="49"/>
        <v>0</v>
      </c>
      <c r="W122" s="208">
        <f t="shared" si="46"/>
        <v>0</v>
      </c>
      <c r="X122" s="208">
        <f t="shared" si="50"/>
        <v>0</v>
      </c>
      <c r="Y122" s="208">
        <f t="shared" si="51"/>
        <v>0</v>
      </c>
      <c r="Z122" s="208">
        <f t="shared" si="47"/>
        <v>0</v>
      </c>
      <c r="AA122" s="208">
        <f t="shared" si="52"/>
        <v>0</v>
      </c>
      <c r="AB122" s="208">
        <f t="shared" si="37"/>
        <v>0</v>
      </c>
      <c r="AC122" s="208">
        <f t="shared" si="38"/>
        <v>0</v>
      </c>
      <c r="AD122" s="208">
        <f t="shared" si="39"/>
        <v>0</v>
      </c>
      <c r="AE122" s="209">
        <f t="shared" si="40"/>
        <v>0</v>
      </c>
      <c r="AF122" s="210">
        <f t="shared" si="41"/>
        <v>18985.712399999949</v>
      </c>
    </row>
    <row r="123" spans="2:32" s="167" customFormat="1" ht="56.25" hidden="1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/>
      <c r="P123" s="207"/>
      <c r="Q123" s="207"/>
      <c r="R123" s="206">
        <f t="shared" si="35"/>
        <v>0</v>
      </c>
      <c r="S123" s="206">
        <f t="shared" si="53"/>
        <v>126.37</v>
      </c>
      <c r="T123" s="206">
        <f t="shared" si="54"/>
        <v>5970.9825000000001</v>
      </c>
      <c r="U123" s="208">
        <f t="shared" si="48"/>
        <v>0</v>
      </c>
      <c r="V123" s="208">
        <f t="shared" si="49"/>
        <v>0</v>
      </c>
      <c r="W123" s="208">
        <f t="shared" ref="W123:W154" si="55">F123*J123</f>
        <v>0</v>
      </c>
      <c r="X123" s="208">
        <f t="shared" si="50"/>
        <v>0</v>
      </c>
      <c r="Y123" s="208">
        <f t="shared" si="51"/>
        <v>0</v>
      </c>
      <c r="Z123" s="208">
        <f t="shared" si="47"/>
        <v>0</v>
      </c>
      <c r="AA123" s="208">
        <f t="shared" si="52"/>
        <v>0</v>
      </c>
      <c r="AB123" s="208">
        <f t="shared" si="37"/>
        <v>0</v>
      </c>
      <c r="AC123" s="208">
        <f t="shared" si="38"/>
        <v>0</v>
      </c>
      <c r="AD123" s="208">
        <f t="shared" si="39"/>
        <v>0</v>
      </c>
      <c r="AE123" s="209">
        <f t="shared" si="40"/>
        <v>0</v>
      </c>
      <c r="AF123" s="210">
        <f t="shared" si="41"/>
        <v>5970.9825000000001</v>
      </c>
    </row>
    <row r="124" spans="2:32" s="167" customFormat="1" ht="22.5" hidden="1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/>
      <c r="P124" s="207"/>
      <c r="Q124" s="207"/>
      <c r="R124" s="206">
        <f t="shared" si="35"/>
        <v>0</v>
      </c>
      <c r="S124" s="206">
        <f t="shared" si="53"/>
        <v>7.46</v>
      </c>
      <c r="T124" s="206">
        <f t="shared" si="54"/>
        <v>527.94420000000002</v>
      </c>
      <c r="U124" s="208">
        <f t="shared" si="48"/>
        <v>0</v>
      </c>
      <c r="V124" s="208">
        <f t="shared" si="49"/>
        <v>0</v>
      </c>
      <c r="W124" s="208">
        <f t="shared" si="55"/>
        <v>0</v>
      </c>
      <c r="X124" s="208">
        <f t="shared" si="50"/>
        <v>0</v>
      </c>
      <c r="Y124" s="208">
        <f t="shared" si="51"/>
        <v>0</v>
      </c>
      <c r="Z124" s="208">
        <f t="shared" si="47"/>
        <v>0</v>
      </c>
      <c r="AA124" s="208">
        <f t="shared" si="52"/>
        <v>0</v>
      </c>
      <c r="AB124" s="208">
        <f t="shared" si="37"/>
        <v>0</v>
      </c>
      <c r="AC124" s="208">
        <f t="shared" si="38"/>
        <v>0</v>
      </c>
      <c r="AD124" s="208">
        <f t="shared" si="39"/>
        <v>0</v>
      </c>
      <c r="AE124" s="209">
        <f t="shared" si="40"/>
        <v>0</v>
      </c>
      <c r="AF124" s="210">
        <f t="shared" si="41"/>
        <v>527.94420000000002</v>
      </c>
    </row>
    <row r="125" spans="2:32" s="167" customFormat="1" hidden="1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/>
      <c r="P125" s="207"/>
      <c r="Q125" s="207"/>
      <c r="R125" s="206">
        <f t="shared" si="35"/>
        <v>0</v>
      </c>
      <c r="S125" s="206">
        <f t="shared" si="53"/>
        <v>25.6</v>
      </c>
      <c r="T125" s="206">
        <f t="shared" si="54"/>
        <v>406.27199999999999</v>
      </c>
      <c r="U125" s="208">
        <f t="shared" si="48"/>
        <v>0</v>
      </c>
      <c r="V125" s="208">
        <f t="shared" si="49"/>
        <v>0</v>
      </c>
      <c r="W125" s="208">
        <f t="shared" si="55"/>
        <v>0</v>
      </c>
      <c r="X125" s="208">
        <f t="shared" si="50"/>
        <v>0</v>
      </c>
      <c r="Y125" s="208">
        <f t="shared" si="51"/>
        <v>0</v>
      </c>
      <c r="Z125" s="208">
        <f t="shared" si="47"/>
        <v>0</v>
      </c>
      <c r="AA125" s="208">
        <f t="shared" si="52"/>
        <v>0</v>
      </c>
      <c r="AB125" s="208">
        <f t="shared" si="37"/>
        <v>0</v>
      </c>
      <c r="AC125" s="208">
        <f t="shared" si="38"/>
        <v>0</v>
      </c>
      <c r="AD125" s="208">
        <f t="shared" si="39"/>
        <v>0</v>
      </c>
      <c r="AE125" s="209">
        <f t="shared" si="40"/>
        <v>0</v>
      </c>
      <c r="AF125" s="210">
        <f t="shared" si="41"/>
        <v>406.27199999999999</v>
      </c>
    </row>
    <row r="126" spans="2:32" s="167" customFormat="1" ht="22.5" hidden="1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/>
      <c r="P126" s="207"/>
      <c r="Q126" s="207"/>
      <c r="R126" s="206">
        <f t="shared" si="35"/>
        <v>0</v>
      </c>
      <c r="S126" s="206">
        <f t="shared" si="53"/>
        <v>39.6</v>
      </c>
      <c r="T126" s="206">
        <f t="shared" si="54"/>
        <v>4671.2160000000003</v>
      </c>
      <c r="U126" s="208">
        <f t="shared" si="48"/>
        <v>0</v>
      </c>
      <c r="V126" s="208">
        <f t="shared" si="49"/>
        <v>0</v>
      </c>
      <c r="W126" s="208">
        <f t="shared" si="55"/>
        <v>0</v>
      </c>
      <c r="X126" s="208">
        <f t="shared" si="50"/>
        <v>0</v>
      </c>
      <c r="Y126" s="208">
        <f t="shared" si="51"/>
        <v>0</v>
      </c>
      <c r="Z126" s="208">
        <f t="shared" si="47"/>
        <v>0</v>
      </c>
      <c r="AA126" s="208">
        <f t="shared" si="52"/>
        <v>0</v>
      </c>
      <c r="AB126" s="208">
        <f t="shared" si="37"/>
        <v>0</v>
      </c>
      <c r="AC126" s="208">
        <f t="shared" si="38"/>
        <v>0</v>
      </c>
      <c r="AD126" s="208">
        <f t="shared" si="39"/>
        <v>0</v>
      </c>
      <c r="AE126" s="209">
        <f t="shared" si="40"/>
        <v>0</v>
      </c>
      <c r="AF126" s="210">
        <f t="shared" si="41"/>
        <v>4671.2160000000003</v>
      </c>
    </row>
    <row r="127" spans="2:32" s="167" customFormat="1" hidden="1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7"/>
      <c r="Q127" s="207"/>
      <c r="R127" s="206">
        <f t="shared" si="35"/>
        <v>0</v>
      </c>
      <c r="S127" s="206"/>
      <c r="T127" s="206"/>
      <c r="U127" s="208">
        <f t="shared" si="48"/>
        <v>0</v>
      </c>
      <c r="V127" s="208">
        <f t="shared" si="49"/>
        <v>0</v>
      </c>
      <c r="W127" s="208">
        <f t="shared" si="55"/>
        <v>0</v>
      </c>
      <c r="X127" s="208">
        <f t="shared" si="50"/>
        <v>0</v>
      </c>
      <c r="Y127" s="208">
        <f t="shared" si="51"/>
        <v>0</v>
      </c>
      <c r="Z127" s="208">
        <f t="shared" si="47"/>
        <v>0</v>
      </c>
      <c r="AA127" s="208">
        <f t="shared" si="52"/>
        <v>0</v>
      </c>
      <c r="AB127" s="208">
        <f t="shared" si="37"/>
        <v>0</v>
      </c>
      <c r="AC127" s="208">
        <f t="shared" si="38"/>
        <v>0</v>
      </c>
      <c r="AD127" s="208">
        <f t="shared" si="39"/>
        <v>0</v>
      </c>
      <c r="AE127" s="209">
        <f t="shared" si="40"/>
        <v>0</v>
      </c>
      <c r="AF127" s="210">
        <f t="shared" si="41"/>
        <v>0</v>
      </c>
    </row>
    <row r="128" spans="2:32" s="167" customFormat="1" ht="45" hidden="1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629.87310000000002</v>
      </c>
      <c r="H128" s="207"/>
      <c r="I128" s="207"/>
      <c r="J128" s="29"/>
      <c r="K128" s="207"/>
      <c r="L128" s="207"/>
      <c r="M128" s="207"/>
      <c r="N128" s="206"/>
      <c r="O128" s="206"/>
      <c r="P128" s="207"/>
      <c r="Q128" s="207"/>
      <c r="R128" s="206">
        <f t="shared" si="35"/>
        <v>0</v>
      </c>
      <c r="S128" s="206">
        <f t="shared" ref="S128:S136" si="56">G128-R128</f>
        <v>629.87310000000002</v>
      </c>
      <c r="T128" s="206">
        <f t="shared" ref="T128:T136" si="57">F128*G128</f>
        <v>43574.621058000004</v>
      </c>
      <c r="U128" s="208">
        <f t="shared" si="48"/>
        <v>0</v>
      </c>
      <c r="V128" s="208">
        <f t="shared" si="49"/>
        <v>0</v>
      </c>
      <c r="W128" s="208">
        <f t="shared" si="55"/>
        <v>0</v>
      </c>
      <c r="X128" s="208">
        <f t="shared" si="50"/>
        <v>0</v>
      </c>
      <c r="Y128" s="208">
        <f t="shared" si="51"/>
        <v>0</v>
      </c>
      <c r="Z128" s="208">
        <f t="shared" si="47"/>
        <v>0</v>
      </c>
      <c r="AA128" s="208">
        <f t="shared" si="52"/>
        <v>0</v>
      </c>
      <c r="AB128" s="208">
        <f t="shared" si="37"/>
        <v>0</v>
      </c>
      <c r="AC128" s="208">
        <f t="shared" si="38"/>
        <v>0</v>
      </c>
      <c r="AD128" s="208">
        <f t="shared" si="39"/>
        <v>0</v>
      </c>
      <c r="AE128" s="209">
        <f t="shared" si="40"/>
        <v>0</v>
      </c>
      <c r="AF128" s="210">
        <f t="shared" si="41"/>
        <v>43574.621058000004</v>
      </c>
    </row>
    <row r="129" spans="2:32" s="167" customFormat="1" ht="33.75" hidden="1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201.28</v>
      </c>
      <c r="H129" s="207"/>
      <c r="I129" s="207"/>
      <c r="J129" s="29"/>
      <c r="K129" s="207"/>
      <c r="L129" s="207"/>
      <c r="M129" s="207"/>
      <c r="N129" s="206"/>
      <c r="O129" s="206"/>
      <c r="P129" s="207"/>
      <c r="Q129" s="207"/>
      <c r="R129" s="206">
        <f t="shared" si="35"/>
        <v>0</v>
      </c>
      <c r="S129" s="206">
        <f t="shared" si="56"/>
        <v>201.28</v>
      </c>
      <c r="T129" s="206">
        <f t="shared" si="57"/>
        <v>21961.660800000001</v>
      </c>
      <c r="U129" s="208">
        <f t="shared" si="48"/>
        <v>0</v>
      </c>
      <c r="V129" s="208">
        <f t="shared" si="49"/>
        <v>0</v>
      </c>
      <c r="W129" s="208">
        <f t="shared" si="55"/>
        <v>0</v>
      </c>
      <c r="X129" s="208">
        <f t="shared" si="50"/>
        <v>0</v>
      </c>
      <c r="Y129" s="208">
        <f t="shared" si="51"/>
        <v>0</v>
      </c>
      <c r="Z129" s="208">
        <f t="shared" si="47"/>
        <v>0</v>
      </c>
      <c r="AA129" s="208">
        <f t="shared" si="52"/>
        <v>0</v>
      </c>
      <c r="AB129" s="208">
        <f t="shared" si="37"/>
        <v>0</v>
      </c>
      <c r="AC129" s="208">
        <f t="shared" si="38"/>
        <v>0</v>
      </c>
      <c r="AD129" s="208">
        <f t="shared" si="39"/>
        <v>0</v>
      </c>
      <c r="AE129" s="209">
        <f t="shared" si="40"/>
        <v>0</v>
      </c>
      <c r="AF129" s="210">
        <f t="shared" si="41"/>
        <v>21961.660800000001</v>
      </c>
    </row>
    <row r="130" spans="2:32" s="167" customFormat="1" ht="33.75" hidden="1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402.57</v>
      </c>
      <c r="H130" s="207"/>
      <c r="I130" s="207"/>
      <c r="J130" s="29"/>
      <c r="K130" s="207"/>
      <c r="L130" s="207"/>
      <c r="M130" s="207"/>
      <c r="N130" s="206"/>
      <c r="O130" s="206"/>
      <c r="P130" s="207"/>
      <c r="Q130" s="207"/>
      <c r="R130" s="206">
        <f t="shared" si="35"/>
        <v>0</v>
      </c>
      <c r="S130" s="206">
        <f t="shared" si="56"/>
        <v>402.57</v>
      </c>
      <c r="T130" s="206">
        <f t="shared" si="57"/>
        <v>18566.528399999999</v>
      </c>
      <c r="U130" s="208">
        <f t="shared" si="48"/>
        <v>0</v>
      </c>
      <c r="V130" s="208">
        <f t="shared" si="49"/>
        <v>0</v>
      </c>
      <c r="W130" s="208">
        <f t="shared" si="55"/>
        <v>0</v>
      </c>
      <c r="X130" s="208">
        <f t="shared" si="50"/>
        <v>0</v>
      </c>
      <c r="Y130" s="208">
        <f t="shared" si="51"/>
        <v>0</v>
      </c>
      <c r="Z130" s="208">
        <f t="shared" ref="Z130:Z161" si="58">M130*F130</f>
        <v>0</v>
      </c>
      <c r="AA130" s="208">
        <f t="shared" si="52"/>
        <v>0</v>
      </c>
      <c r="AB130" s="208">
        <f t="shared" si="37"/>
        <v>0</v>
      </c>
      <c r="AC130" s="208">
        <f t="shared" si="38"/>
        <v>0</v>
      </c>
      <c r="AD130" s="208">
        <f t="shared" si="39"/>
        <v>0</v>
      </c>
      <c r="AE130" s="209">
        <f t="shared" si="40"/>
        <v>0</v>
      </c>
      <c r="AF130" s="210">
        <f t="shared" si="41"/>
        <v>18566.528399999999</v>
      </c>
    </row>
    <row r="131" spans="2:32" s="167" customFormat="1" ht="45" hidden="1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/>
      <c r="P131" s="207"/>
      <c r="Q131" s="207"/>
      <c r="R131" s="206">
        <f t="shared" si="35"/>
        <v>0</v>
      </c>
      <c r="S131" s="206">
        <f t="shared" si="56"/>
        <v>10</v>
      </c>
      <c r="T131" s="206">
        <f t="shared" si="57"/>
        <v>24720.7</v>
      </c>
      <c r="U131" s="208">
        <f t="shared" si="48"/>
        <v>0</v>
      </c>
      <c r="V131" s="208">
        <f t="shared" si="49"/>
        <v>0</v>
      </c>
      <c r="W131" s="208">
        <f t="shared" si="55"/>
        <v>0</v>
      </c>
      <c r="X131" s="208">
        <f t="shared" si="50"/>
        <v>0</v>
      </c>
      <c r="Y131" s="208">
        <f t="shared" si="51"/>
        <v>0</v>
      </c>
      <c r="Z131" s="208">
        <f t="shared" si="58"/>
        <v>0</v>
      </c>
      <c r="AA131" s="208">
        <f t="shared" si="52"/>
        <v>0</v>
      </c>
      <c r="AB131" s="208">
        <f t="shared" si="37"/>
        <v>0</v>
      </c>
      <c r="AC131" s="208">
        <f t="shared" si="38"/>
        <v>0</v>
      </c>
      <c r="AD131" s="208">
        <f t="shared" si="39"/>
        <v>0</v>
      </c>
      <c r="AE131" s="209">
        <f t="shared" si="40"/>
        <v>0</v>
      </c>
      <c r="AF131" s="210">
        <f t="shared" si="41"/>
        <v>24720.7</v>
      </c>
    </row>
    <row r="132" spans="2:32" s="167" customFormat="1" ht="45" hidden="1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/>
      <c r="P132" s="207"/>
      <c r="Q132" s="207"/>
      <c r="R132" s="206">
        <f t="shared" si="35"/>
        <v>0</v>
      </c>
      <c r="S132" s="206">
        <f t="shared" si="56"/>
        <v>10</v>
      </c>
      <c r="T132" s="206">
        <f t="shared" si="57"/>
        <v>27661.399999999998</v>
      </c>
      <c r="U132" s="208">
        <f t="shared" si="48"/>
        <v>0</v>
      </c>
      <c r="V132" s="208">
        <f t="shared" si="49"/>
        <v>0</v>
      </c>
      <c r="W132" s="208">
        <f t="shared" si="55"/>
        <v>0</v>
      </c>
      <c r="X132" s="208">
        <f t="shared" si="50"/>
        <v>0</v>
      </c>
      <c r="Y132" s="208">
        <f t="shared" si="51"/>
        <v>0</v>
      </c>
      <c r="Z132" s="208">
        <f t="shared" si="58"/>
        <v>0</v>
      </c>
      <c r="AA132" s="208">
        <f t="shared" si="52"/>
        <v>0</v>
      </c>
      <c r="AB132" s="208">
        <f t="shared" si="37"/>
        <v>0</v>
      </c>
      <c r="AC132" s="208">
        <f t="shared" si="38"/>
        <v>0</v>
      </c>
      <c r="AD132" s="208">
        <f t="shared" si="39"/>
        <v>0</v>
      </c>
      <c r="AE132" s="209">
        <f t="shared" si="40"/>
        <v>0</v>
      </c>
      <c r="AF132" s="210">
        <f t="shared" si="41"/>
        <v>27661.399999999998</v>
      </c>
    </row>
    <row r="133" spans="2:32" s="167" customFormat="1" ht="33.75" hidden="1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629.87</v>
      </c>
      <c r="H133" s="207"/>
      <c r="I133" s="207"/>
      <c r="J133" s="29"/>
      <c r="K133" s="207"/>
      <c r="L133" s="207"/>
      <c r="M133" s="207"/>
      <c r="N133" s="206"/>
      <c r="O133" s="206"/>
      <c r="P133" s="207"/>
      <c r="Q133" s="207"/>
      <c r="R133" s="206">
        <f t="shared" si="35"/>
        <v>0</v>
      </c>
      <c r="S133" s="206">
        <f t="shared" si="56"/>
        <v>629.87</v>
      </c>
      <c r="T133" s="206">
        <f t="shared" si="57"/>
        <v>9637.0110000000004</v>
      </c>
      <c r="U133" s="208">
        <f t="shared" si="48"/>
        <v>0</v>
      </c>
      <c r="V133" s="208">
        <f t="shared" si="49"/>
        <v>0</v>
      </c>
      <c r="W133" s="208">
        <f t="shared" si="55"/>
        <v>0</v>
      </c>
      <c r="X133" s="208">
        <f t="shared" si="50"/>
        <v>0</v>
      </c>
      <c r="Y133" s="208">
        <f t="shared" si="51"/>
        <v>0</v>
      </c>
      <c r="Z133" s="208">
        <f t="shared" si="58"/>
        <v>0</v>
      </c>
      <c r="AA133" s="208">
        <f t="shared" si="52"/>
        <v>0</v>
      </c>
      <c r="AB133" s="208">
        <f t="shared" si="37"/>
        <v>0</v>
      </c>
      <c r="AC133" s="208">
        <f t="shared" si="38"/>
        <v>0</v>
      </c>
      <c r="AD133" s="208">
        <f t="shared" si="39"/>
        <v>0</v>
      </c>
      <c r="AE133" s="209">
        <f t="shared" si="40"/>
        <v>0</v>
      </c>
      <c r="AF133" s="210">
        <f t="shared" si="41"/>
        <v>9637.0110000000004</v>
      </c>
    </row>
    <row r="134" spans="2:32" s="167" customFormat="1" ht="33.75" hidden="1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/>
      <c r="P134" s="207"/>
      <c r="Q134" s="207"/>
      <c r="R134" s="206">
        <f t="shared" si="35"/>
        <v>0</v>
      </c>
      <c r="S134" s="206">
        <f t="shared" si="56"/>
        <v>113.1</v>
      </c>
      <c r="T134" s="206">
        <f t="shared" si="57"/>
        <v>9567.128999999999</v>
      </c>
      <c r="U134" s="208">
        <f t="shared" si="48"/>
        <v>0</v>
      </c>
      <c r="V134" s="208">
        <f t="shared" si="49"/>
        <v>0</v>
      </c>
      <c r="W134" s="208">
        <f t="shared" si="55"/>
        <v>0</v>
      </c>
      <c r="X134" s="208">
        <f t="shared" si="50"/>
        <v>0</v>
      </c>
      <c r="Y134" s="208">
        <f t="shared" si="51"/>
        <v>0</v>
      </c>
      <c r="Z134" s="208">
        <f t="shared" si="58"/>
        <v>0</v>
      </c>
      <c r="AA134" s="208">
        <f t="shared" si="52"/>
        <v>0</v>
      </c>
      <c r="AB134" s="208">
        <f t="shared" si="37"/>
        <v>0</v>
      </c>
      <c r="AC134" s="208">
        <f t="shared" si="38"/>
        <v>0</v>
      </c>
      <c r="AD134" s="208">
        <f t="shared" si="39"/>
        <v>0</v>
      </c>
      <c r="AE134" s="209">
        <f t="shared" si="40"/>
        <v>0</v>
      </c>
      <c r="AF134" s="210">
        <f t="shared" si="41"/>
        <v>9567.128999999999</v>
      </c>
    </row>
    <row r="135" spans="2:32" s="167" customFormat="1" ht="33.75" hidden="1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106.23</v>
      </c>
      <c r="H135" s="207"/>
      <c r="I135" s="207"/>
      <c r="J135" s="29"/>
      <c r="K135" s="207"/>
      <c r="L135" s="207"/>
      <c r="M135" s="207"/>
      <c r="N135" s="206"/>
      <c r="O135" s="206"/>
      <c r="P135" s="207"/>
      <c r="Q135" s="207"/>
      <c r="R135" s="206">
        <f t="shared" si="35"/>
        <v>0</v>
      </c>
      <c r="S135" s="206">
        <f t="shared" si="56"/>
        <v>106.23</v>
      </c>
      <c r="T135" s="206">
        <f t="shared" si="57"/>
        <v>17532.199199999999</v>
      </c>
      <c r="U135" s="208">
        <f t="shared" si="48"/>
        <v>0</v>
      </c>
      <c r="V135" s="208">
        <f t="shared" si="49"/>
        <v>0</v>
      </c>
      <c r="W135" s="208">
        <f t="shared" si="55"/>
        <v>0</v>
      </c>
      <c r="X135" s="208">
        <f t="shared" si="50"/>
        <v>0</v>
      </c>
      <c r="Y135" s="208">
        <f t="shared" si="51"/>
        <v>0</v>
      </c>
      <c r="Z135" s="208">
        <f t="shared" si="58"/>
        <v>0</v>
      </c>
      <c r="AA135" s="208">
        <f t="shared" si="52"/>
        <v>0</v>
      </c>
      <c r="AB135" s="208">
        <f t="shared" si="37"/>
        <v>0</v>
      </c>
      <c r="AC135" s="208">
        <f t="shared" si="38"/>
        <v>0</v>
      </c>
      <c r="AD135" s="208">
        <f t="shared" si="39"/>
        <v>0</v>
      </c>
      <c r="AE135" s="209">
        <f t="shared" si="40"/>
        <v>0</v>
      </c>
      <c r="AF135" s="210">
        <f t="shared" si="41"/>
        <v>17532.199199999999</v>
      </c>
    </row>
    <row r="136" spans="2:32" s="167" customFormat="1" ht="22.5" hidden="1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/>
      <c r="P136" s="207"/>
      <c r="Q136" s="207"/>
      <c r="R136" s="206">
        <f t="shared" si="35"/>
        <v>0</v>
      </c>
      <c r="S136" s="206">
        <f t="shared" si="56"/>
        <v>634.5</v>
      </c>
      <c r="T136" s="206">
        <f t="shared" si="57"/>
        <v>21731.625</v>
      </c>
      <c r="U136" s="208">
        <f t="shared" si="48"/>
        <v>0</v>
      </c>
      <c r="V136" s="208">
        <f t="shared" si="49"/>
        <v>0</v>
      </c>
      <c r="W136" s="208">
        <f t="shared" si="55"/>
        <v>0</v>
      </c>
      <c r="X136" s="208">
        <f t="shared" si="50"/>
        <v>0</v>
      </c>
      <c r="Y136" s="208">
        <f t="shared" si="51"/>
        <v>0</v>
      </c>
      <c r="Z136" s="208">
        <f t="shared" si="58"/>
        <v>0</v>
      </c>
      <c r="AA136" s="208">
        <f t="shared" si="52"/>
        <v>0</v>
      </c>
      <c r="AB136" s="208">
        <f t="shared" si="37"/>
        <v>0</v>
      </c>
      <c r="AC136" s="208">
        <f t="shared" si="38"/>
        <v>0</v>
      </c>
      <c r="AD136" s="208">
        <f t="shared" si="39"/>
        <v>0</v>
      </c>
      <c r="AE136" s="209">
        <f t="shared" si="40"/>
        <v>0</v>
      </c>
      <c r="AF136" s="210">
        <f t="shared" si="41"/>
        <v>21731.625</v>
      </c>
    </row>
    <row r="137" spans="2:32" s="167" customFormat="1" ht="14.45" hidden="1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7"/>
      <c r="Q137" s="207"/>
      <c r="R137" s="206">
        <f t="shared" si="35"/>
        <v>0</v>
      </c>
      <c r="S137" s="206"/>
      <c r="T137" s="206"/>
      <c r="U137" s="208">
        <f t="shared" si="48"/>
        <v>0</v>
      </c>
      <c r="V137" s="208">
        <f t="shared" si="49"/>
        <v>0</v>
      </c>
      <c r="W137" s="208">
        <f t="shared" si="55"/>
        <v>0</v>
      </c>
      <c r="X137" s="208">
        <f t="shared" si="50"/>
        <v>0</v>
      </c>
      <c r="Y137" s="208">
        <f t="shared" si="51"/>
        <v>0</v>
      </c>
      <c r="Z137" s="208">
        <f t="shared" si="58"/>
        <v>0</v>
      </c>
      <c r="AA137" s="208">
        <f t="shared" si="52"/>
        <v>0</v>
      </c>
      <c r="AB137" s="208">
        <f t="shared" si="37"/>
        <v>0</v>
      </c>
      <c r="AC137" s="208">
        <f t="shared" si="38"/>
        <v>0</v>
      </c>
      <c r="AD137" s="208">
        <f t="shared" si="39"/>
        <v>0</v>
      </c>
      <c r="AE137" s="209">
        <f t="shared" si="40"/>
        <v>0</v>
      </c>
      <c r="AF137" s="210">
        <f t="shared" si="41"/>
        <v>0</v>
      </c>
    </row>
    <row r="138" spans="2:32" s="167" customFormat="1" ht="56.25" hidden="1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7"/>
      <c r="O138" s="207">
        <v>98.77</v>
      </c>
      <c r="P138" s="207"/>
      <c r="Q138" s="207"/>
      <c r="R138" s="206">
        <f t="shared" si="35"/>
        <v>98.77</v>
      </c>
      <c r="S138" s="206">
        <f t="shared" ref="S138:S159" si="59">G138-R138</f>
        <v>0</v>
      </c>
      <c r="T138" s="206">
        <f t="shared" ref="T138:T159" si="60">F138*G138</f>
        <v>3866.8454999999999</v>
      </c>
      <c r="U138" s="208">
        <f t="shared" si="48"/>
        <v>0</v>
      </c>
      <c r="V138" s="208">
        <f t="shared" si="49"/>
        <v>0</v>
      </c>
      <c r="W138" s="208">
        <f t="shared" si="55"/>
        <v>0</v>
      </c>
      <c r="X138" s="208">
        <f t="shared" si="50"/>
        <v>0</v>
      </c>
      <c r="Y138" s="208">
        <f t="shared" si="51"/>
        <v>0</v>
      </c>
      <c r="Z138" s="208">
        <f t="shared" si="58"/>
        <v>0</v>
      </c>
      <c r="AA138" s="208">
        <f t="shared" si="52"/>
        <v>0</v>
      </c>
      <c r="AB138" s="208">
        <f t="shared" si="37"/>
        <v>3866.84</v>
      </c>
      <c r="AC138" s="208">
        <f t="shared" si="38"/>
        <v>0</v>
      </c>
      <c r="AD138" s="208">
        <f t="shared" si="39"/>
        <v>0</v>
      </c>
      <c r="AE138" s="209">
        <f t="shared" si="40"/>
        <v>3866.84</v>
      </c>
      <c r="AF138" s="210">
        <f t="shared" si="41"/>
        <v>5.4999999997562554E-3</v>
      </c>
    </row>
    <row r="139" spans="2:32" s="167" customFormat="1" ht="56.25" hidden="1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7"/>
      <c r="O139" s="207">
        <v>62.17</v>
      </c>
      <c r="P139" s="207"/>
      <c r="Q139" s="207"/>
      <c r="R139" s="206">
        <f t="shared" si="35"/>
        <v>62.17</v>
      </c>
      <c r="S139" s="206">
        <f t="shared" si="59"/>
        <v>0</v>
      </c>
      <c r="T139" s="206">
        <f t="shared" si="60"/>
        <v>2497.3689000000004</v>
      </c>
      <c r="U139" s="208">
        <f t="shared" si="48"/>
        <v>0</v>
      </c>
      <c r="V139" s="208">
        <f t="shared" si="49"/>
        <v>0</v>
      </c>
      <c r="W139" s="208">
        <f t="shared" si="55"/>
        <v>0</v>
      </c>
      <c r="X139" s="208">
        <f t="shared" si="50"/>
        <v>0</v>
      </c>
      <c r="Y139" s="208">
        <f t="shared" si="51"/>
        <v>0</v>
      </c>
      <c r="Z139" s="208">
        <f t="shared" si="58"/>
        <v>0</v>
      </c>
      <c r="AA139" s="208">
        <f t="shared" si="52"/>
        <v>0</v>
      </c>
      <c r="AB139" s="208">
        <f t="shared" si="37"/>
        <v>2497.36</v>
      </c>
      <c r="AC139" s="208">
        <f t="shared" si="38"/>
        <v>0</v>
      </c>
      <c r="AD139" s="208">
        <f t="shared" si="39"/>
        <v>0</v>
      </c>
      <c r="AE139" s="209">
        <f t="shared" si="40"/>
        <v>2497.36</v>
      </c>
      <c r="AF139" s="210">
        <f t="shared" si="41"/>
        <v>8.9000000002670276E-3</v>
      </c>
    </row>
    <row r="140" spans="2:32" s="167" customFormat="1" ht="56.25" hidden="1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7"/>
      <c r="O140" s="207"/>
      <c r="P140" s="207"/>
      <c r="Q140" s="207"/>
      <c r="R140" s="206">
        <f t="shared" si="35"/>
        <v>0</v>
      </c>
      <c r="S140" s="206">
        <f t="shared" si="59"/>
        <v>24.75</v>
      </c>
      <c r="T140" s="206">
        <f t="shared" si="60"/>
        <v>752.64750000000004</v>
      </c>
      <c r="U140" s="208">
        <f t="shared" si="48"/>
        <v>0</v>
      </c>
      <c r="V140" s="208">
        <f t="shared" si="49"/>
        <v>0</v>
      </c>
      <c r="W140" s="208">
        <f t="shared" si="55"/>
        <v>0</v>
      </c>
      <c r="X140" s="208">
        <f t="shared" si="50"/>
        <v>0</v>
      </c>
      <c r="Y140" s="208">
        <f t="shared" si="51"/>
        <v>0</v>
      </c>
      <c r="Z140" s="208">
        <f t="shared" si="58"/>
        <v>0</v>
      </c>
      <c r="AA140" s="208">
        <f t="shared" si="52"/>
        <v>0</v>
      </c>
      <c r="AB140" s="208">
        <f t="shared" si="37"/>
        <v>0</v>
      </c>
      <c r="AC140" s="208">
        <f t="shared" si="38"/>
        <v>0</v>
      </c>
      <c r="AD140" s="208">
        <f t="shared" si="39"/>
        <v>0</v>
      </c>
      <c r="AE140" s="209">
        <f t="shared" si="40"/>
        <v>0</v>
      </c>
      <c r="AF140" s="210">
        <f t="shared" si="41"/>
        <v>752.64750000000004</v>
      </c>
    </row>
    <row r="141" spans="2:32" s="167" customFormat="1" ht="45" hidden="1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7"/>
      <c r="O141" s="207"/>
      <c r="P141" s="207"/>
      <c r="Q141" s="207"/>
      <c r="R141" s="206">
        <f t="shared" si="35"/>
        <v>0</v>
      </c>
      <c r="S141" s="206">
        <f t="shared" si="59"/>
        <v>25.92</v>
      </c>
      <c r="T141" s="206">
        <f t="shared" si="60"/>
        <v>955.41120000000001</v>
      </c>
      <c r="U141" s="208">
        <f t="shared" si="48"/>
        <v>0</v>
      </c>
      <c r="V141" s="208">
        <f t="shared" si="49"/>
        <v>0</v>
      </c>
      <c r="W141" s="208">
        <f t="shared" si="55"/>
        <v>0</v>
      </c>
      <c r="X141" s="208">
        <f t="shared" si="50"/>
        <v>0</v>
      </c>
      <c r="Y141" s="208">
        <f t="shared" si="51"/>
        <v>0</v>
      </c>
      <c r="Z141" s="208">
        <f t="shared" si="58"/>
        <v>0</v>
      </c>
      <c r="AA141" s="208">
        <f t="shared" si="52"/>
        <v>0</v>
      </c>
      <c r="AB141" s="208">
        <f t="shared" si="37"/>
        <v>0</v>
      </c>
      <c r="AC141" s="208">
        <f t="shared" si="38"/>
        <v>0</v>
      </c>
      <c r="AD141" s="208">
        <f t="shared" si="39"/>
        <v>0</v>
      </c>
      <c r="AE141" s="209">
        <f t="shared" si="40"/>
        <v>0</v>
      </c>
      <c r="AF141" s="210">
        <f t="shared" si="41"/>
        <v>955.41120000000001</v>
      </c>
    </row>
    <row r="142" spans="2:32" s="167" customFormat="1" ht="33.75" hidden="1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7"/>
      <c r="O142" s="207"/>
      <c r="P142" s="207"/>
      <c r="Q142" s="207"/>
      <c r="R142" s="206">
        <f t="shared" si="35"/>
        <v>0</v>
      </c>
      <c r="S142" s="206">
        <f t="shared" si="59"/>
        <v>10</v>
      </c>
      <c r="T142" s="206">
        <f t="shared" si="60"/>
        <v>1027.3</v>
      </c>
      <c r="U142" s="208">
        <f t="shared" ref="U142:U173" si="61">F142*H142</f>
        <v>0</v>
      </c>
      <c r="V142" s="208">
        <f t="shared" ref="V142:V173" si="62">F142*I142</f>
        <v>0</v>
      </c>
      <c r="W142" s="208">
        <f t="shared" si="55"/>
        <v>0</v>
      </c>
      <c r="X142" s="208">
        <f t="shared" ref="X142:X173" si="63">TRUNC(F142*K142,2)</f>
        <v>0</v>
      </c>
      <c r="Y142" s="208">
        <f t="shared" ref="Y142:Y173" si="64">TRUNC(F142*L142,2)</f>
        <v>0</v>
      </c>
      <c r="Z142" s="208">
        <f t="shared" si="58"/>
        <v>0</v>
      </c>
      <c r="AA142" s="208">
        <f t="shared" si="52"/>
        <v>0</v>
      </c>
      <c r="AB142" s="208">
        <f t="shared" si="37"/>
        <v>0</v>
      </c>
      <c r="AC142" s="208">
        <f t="shared" si="38"/>
        <v>0</v>
      </c>
      <c r="AD142" s="208">
        <f t="shared" si="39"/>
        <v>0</v>
      </c>
      <c r="AE142" s="209">
        <f t="shared" si="40"/>
        <v>0</v>
      </c>
      <c r="AF142" s="210">
        <f t="shared" si="41"/>
        <v>1027.3</v>
      </c>
    </row>
    <row r="143" spans="2:32" s="167" customFormat="1" ht="22.5" hidden="1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7"/>
      <c r="O143" s="207"/>
      <c r="P143" s="207"/>
      <c r="Q143" s="207"/>
      <c r="R143" s="206">
        <f t="shared" ref="R143:R195" si="65">H143+I143+J143+K143+L143+M143+N143+O143+P143+Q143</f>
        <v>0</v>
      </c>
      <c r="S143" s="206">
        <f t="shared" si="59"/>
        <v>2</v>
      </c>
      <c r="T143" s="206">
        <f t="shared" si="60"/>
        <v>59.92</v>
      </c>
      <c r="U143" s="208">
        <f t="shared" si="61"/>
        <v>0</v>
      </c>
      <c r="V143" s="208">
        <f t="shared" si="62"/>
        <v>0</v>
      </c>
      <c r="W143" s="208">
        <f t="shared" si="55"/>
        <v>0</v>
      </c>
      <c r="X143" s="208">
        <f t="shared" si="63"/>
        <v>0</v>
      </c>
      <c r="Y143" s="208">
        <f t="shared" si="64"/>
        <v>0</v>
      </c>
      <c r="Z143" s="208">
        <f t="shared" si="58"/>
        <v>0</v>
      </c>
      <c r="AA143" s="208">
        <f t="shared" ref="AA143:AA174" si="66">F143*N143</f>
        <v>0</v>
      </c>
      <c r="AB143" s="208">
        <f t="shared" ref="AB143:AB195" si="67">TRUNC(F143*O143,2)</f>
        <v>0</v>
      </c>
      <c r="AC143" s="208">
        <f t="shared" ref="AC143:AC195" si="68">TRUNC(F143*P143,2)</f>
        <v>0</v>
      </c>
      <c r="AD143" s="208">
        <f t="shared" ref="AD143:AD195" si="69">TRUNC(F143*Q143,2)</f>
        <v>0</v>
      </c>
      <c r="AE143" s="209">
        <f t="shared" ref="AE143:AE195" si="70">U143+V143+W143+X143+Y143+Z143+AA143+AB143+AC143+AD143</f>
        <v>0</v>
      </c>
      <c r="AF143" s="210">
        <f t="shared" ref="AF143:AF195" si="71">T143-AE143</f>
        <v>59.92</v>
      </c>
    </row>
    <row r="144" spans="2:32" s="167" customFormat="1" ht="33.75" hidden="1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/>
      <c r="P144" s="207"/>
      <c r="Q144" s="207"/>
      <c r="R144" s="206">
        <f t="shared" si="65"/>
        <v>0</v>
      </c>
      <c r="S144" s="206">
        <f t="shared" si="59"/>
        <v>6</v>
      </c>
      <c r="T144" s="206">
        <f t="shared" si="60"/>
        <v>584.28</v>
      </c>
      <c r="U144" s="208">
        <f t="shared" si="61"/>
        <v>0</v>
      </c>
      <c r="V144" s="208">
        <f t="shared" si="62"/>
        <v>0</v>
      </c>
      <c r="W144" s="208">
        <f t="shared" si="55"/>
        <v>0</v>
      </c>
      <c r="X144" s="208">
        <f t="shared" si="63"/>
        <v>0</v>
      </c>
      <c r="Y144" s="208">
        <f t="shared" si="64"/>
        <v>0</v>
      </c>
      <c r="Z144" s="208">
        <f t="shared" si="58"/>
        <v>0</v>
      </c>
      <c r="AA144" s="208">
        <f t="shared" si="66"/>
        <v>0</v>
      </c>
      <c r="AB144" s="208">
        <f t="shared" si="67"/>
        <v>0</v>
      </c>
      <c r="AC144" s="208">
        <f t="shared" si="68"/>
        <v>0</v>
      </c>
      <c r="AD144" s="208">
        <f t="shared" si="69"/>
        <v>0</v>
      </c>
      <c r="AE144" s="209">
        <f t="shared" si="70"/>
        <v>0</v>
      </c>
      <c r="AF144" s="210">
        <f t="shared" si="71"/>
        <v>584.28</v>
      </c>
    </row>
    <row r="145" spans="2:32" s="167" customFormat="1" ht="33.75" hidden="1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/>
      <c r="P145" s="207"/>
      <c r="Q145" s="207"/>
      <c r="R145" s="206">
        <f t="shared" si="65"/>
        <v>0</v>
      </c>
      <c r="S145" s="206">
        <f t="shared" si="59"/>
        <v>2</v>
      </c>
      <c r="T145" s="206">
        <f t="shared" si="60"/>
        <v>1485</v>
      </c>
      <c r="U145" s="208">
        <f t="shared" si="61"/>
        <v>0</v>
      </c>
      <c r="V145" s="208">
        <f t="shared" si="62"/>
        <v>0</v>
      </c>
      <c r="W145" s="208">
        <f t="shared" si="55"/>
        <v>0</v>
      </c>
      <c r="X145" s="208">
        <f t="shared" si="63"/>
        <v>0</v>
      </c>
      <c r="Y145" s="208">
        <f t="shared" si="64"/>
        <v>0</v>
      </c>
      <c r="Z145" s="208">
        <f t="shared" si="58"/>
        <v>0</v>
      </c>
      <c r="AA145" s="208">
        <f t="shared" si="66"/>
        <v>0</v>
      </c>
      <c r="AB145" s="208">
        <f t="shared" si="67"/>
        <v>0</v>
      </c>
      <c r="AC145" s="208">
        <f t="shared" si="68"/>
        <v>0</v>
      </c>
      <c r="AD145" s="208">
        <f t="shared" si="69"/>
        <v>0</v>
      </c>
      <c r="AE145" s="209">
        <f t="shared" si="70"/>
        <v>0</v>
      </c>
      <c r="AF145" s="210">
        <f t="shared" si="71"/>
        <v>1485</v>
      </c>
    </row>
    <row r="146" spans="2:32" s="167" customFormat="1" ht="22.5" hidden="1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/>
      <c r="P146" s="207"/>
      <c r="Q146" s="207"/>
      <c r="R146" s="206">
        <f t="shared" si="65"/>
        <v>0</v>
      </c>
      <c r="S146" s="206">
        <f t="shared" si="59"/>
        <v>2</v>
      </c>
      <c r="T146" s="206">
        <f t="shared" si="60"/>
        <v>2759.8</v>
      </c>
      <c r="U146" s="208">
        <f t="shared" si="61"/>
        <v>0</v>
      </c>
      <c r="V146" s="208">
        <f t="shared" si="62"/>
        <v>0</v>
      </c>
      <c r="W146" s="208">
        <f t="shared" si="55"/>
        <v>0</v>
      </c>
      <c r="X146" s="208">
        <f t="shared" si="63"/>
        <v>0</v>
      </c>
      <c r="Y146" s="208">
        <f t="shared" si="64"/>
        <v>0</v>
      </c>
      <c r="Z146" s="208">
        <f t="shared" si="58"/>
        <v>0</v>
      </c>
      <c r="AA146" s="208">
        <f t="shared" si="66"/>
        <v>0</v>
      </c>
      <c r="AB146" s="208">
        <f t="shared" si="67"/>
        <v>0</v>
      </c>
      <c r="AC146" s="208">
        <f t="shared" si="68"/>
        <v>0</v>
      </c>
      <c r="AD146" s="208">
        <f t="shared" si="69"/>
        <v>0</v>
      </c>
      <c r="AE146" s="209">
        <f t="shared" si="70"/>
        <v>0</v>
      </c>
      <c r="AF146" s="210">
        <f t="shared" si="71"/>
        <v>2759.8</v>
      </c>
    </row>
    <row r="147" spans="2:32" s="167" customFormat="1" ht="22.5" hidden="1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/>
      <c r="P147" s="207"/>
      <c r="Q147" s="207"/>
      <c r="R147" s="206">
        <f t="shared" si="65"/>
        <v>0</v>
      </c>
      <c r="S147" s="206">
        <f t="shared" si="59"/>
        <v>4</v>
      </c>
      <c r="T147" s="206">
        <f t="shared" si="60"/>
        <v>188</v>
      </c>
      <c r="U147" s="208">
        <f t="shared" si="61"/>
        <v>0</v>
      </c>
      <c r="V147" s="208">
        <f t="shared" si="62"/>
        <v>0</v>
      </c>
      <c r="W147" s="208">
        <f t="shared" si="55"/>
        <v>0</v>
      </c>
      <c r="X147" s="208">
        <f t="shared" si="63"/>
        <v>0</v>
      </c>
      <c r="Y147" s="208">
        <f t="shared" si="64"/>
        <v>0</v>
      </c>
      <c r="Z147" s="208">
        <f t="shared" si="58"/>
        <v>0</v>
      </c>
      <c r="AA147" s="208">
        <f t="shared" si="66"/>
        <v>0</v>
      </c>
      <c r="AB147" s="208">
        <f t="shared" si="67"/>
        <v>0</v>
      </c>
      <c r="AC147" s="208">
        <f t="shared" si="68"/>
        <v>0</v>
      </c>
      <c r="AD147" s="208">
        <f t="shared" si="69"/>
        <v>0</v>
      </c>
      <c r="AE147" s="209">
        <f t="shared" si="70"/>
        <v>0</v>
      </c>
      <c r="AF147" s="210">
        <f t="shared" si="71"/>
        <v>188</v>
      </c>
    </row>
    <row r="148" spans="2:32" s="167" customFormat="1" ht="22.5" hidden="1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/>
      <c r="P148" s="207"/>
      <c r="Q148" s="207"/>
      <c r="R148" s="206">
        <f t="shared" si="65"/>
        <v>0</v>
      </c>
      <c r="S148" s="206">
        <f t="shared" si="59"/>
        <v>4</v>
      </c>
      <c r="T148" s="206">
        <f t="shared" si="60"/>
        <v>163.96</v>
      </c>
      <c r="U148" s="208">
        <f t="shared" si="61"/>
        <v>0</v>
      </c>
      <c r="V148" s="208">
        <f t="shared" si="62"/>
        <v>0</v>
      </c>
      <c r="W148" s="208">
        <f t="shared" si="55"/>
        <v>0</v>
      </c>
      <c r="X148" s="208">
        <f t="shared" si="63"/>
        <v>0</v>
      </c>
      <c r="Y148" s="208">
        <f t="shared" si="64"/>
        <v>0</v>
      </c>
      <c r="Z148" s="208">
        <f t="shared" si="58"/>
        <v>0</v>
      </c>
      <c r="AA148" s="208">
        <f t="shared" si="66"/>
        <v>0</v>
      </c>
      <c r="AB148" s="208">
        <f t="shared" si="67"/>
        <v>0</v>
      </c>
      <c r="AC148" s="208">
        <f t="shared" si="68"/>
        <v>0</v>
      </c>
      <c r="AD148" s="208">
        <f t="shared" si="69"/>
        <v>0</v>
      </c>
      <c r="AE148" s="209">
        <f t="shared" si="70"/>
        <v>0</v>
      </c>
      <c r="AF148" s="210">
        <f t="shared" si="71"/>
        <v>163.96</v>
      </c>
    </row>
    <row r="149" spans="2:32" s="167" customFormat="1" ht="22.5" hidden="1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/>
      <c r="P149" s="207"/>
      <c r="Q149" s="207"/>
      <c r="R149" s="206">
        <f t="shared" si="65"/>
        <v>0</v>
      </c>
      <c r="S149" s="206">
        <f t="shared" si="59"/>
        <v>2</v>
      </c>
      <c r="T149" s="206">
        <f t="shared" si="60"/>
        <v>84.24</v>
      </c>
      <c r="U149" s="208">
        <f t="shared" si="61"/>
        <v>0</v>
      </c>
      <c r="V149" s="208">
        <f t="shared" si="62"/>
        <v>0</v>
      </c>
      <c r="W149" s="208">
        <f t="shared" si="55"/>
        <v>0</v>
      </c>
      <c r="X149" s="208">
        <f t="shared" si="63"/>
        <v>0</v>
      </c>
      <c r="Y149" s="208">
        <f t="shared" si="64"/>
        <v>0</v>
      </c>
      <c r="Z149" s="208">
        <f t="shared" si="58"/>
        <v>0</v>
      </c>
      <c r="AA149" s="208">
        <f t="shared" si="66"/>
        <v>0</v>
      </c>
      <c r="AB149" s="208">
        <f t="shared" si="67"/>
        <v>0</v>
      </c>
      <c r="AC149" s="208">
        <f t="shared" si="68"/>
        <v>0</v>
      </c>
      <c r="AD149" s="208">
        <f t="shared" si="69"/>
        <v>0</v>
      </c>
      <c r="AE149" s="209">
        <f t="shared" si="70"/>
        <v>0</v>
      </c>
      <c r="AF149" s="210">
        <f t="shared" si="71"/>
        <v>84.24</v>
      </c>
    </row>
    <row r="150" spans="2:32" s="167" customFormat="1" ht="22.5" hidden="1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/>
      <c r="P150" s="207"/>
      <c r="Q150" s="207"/>
      <c r="R150" s="206">
        <f t="shared" si="65"/>
        <v>0</v>
      </c>
      <c r="S150" s="206">
        <f t="shared" si="59"/>
        <v>1</v>
      </c>
      <c r="T150" s="206">
        <f t="shared" si="60"/>
        <v>147.76</v>
      </c>
      <c r="U150" s="208">
        <f t="shared" si="61"/>
        <v>0</v>
      </c>
      <c r="V150" s="208">
        <f t="shared" si="62"/>
        <v>0</v>
      </c>
      <c r="W150" s="208">
        <f t="shared" si="55"/>
        <v>0</v>
      </c>
      <c r="X150" s="208">
        <f t="shared" si="63"/>
        <v>0</v>
      </c>
      <c r="Y150" s="208">
        <f t="shared" si="64"/>
        <v>0</v>
      </c>
      <c r="Z150" s="208">
        <f t="shared" si="58"/>
        <v>0</v>
      </c>
      <c r="AA150" s="208">
        <f t="shared" si="66"/>
        <v>0</v>
      </c>
      <c r="AB150" s="208">
        <f t="shared" si="67"/>
        <v>0</v>
      </c>
      <c r="AC150" s="208">
        <f t="shared" si="68"/>
        <v>0</v>
      </c>
      <c r="AD150" s="208">
        <f t="shared" si="69"/>
        <v>0</v>
      </c>
      <c r="AE150" s="209">
        <f t="shared" si="70"/>
        <v>0</v>
      </c>
      <c r="AF150" s="210">
        <f t="shared" si="71"/>
        <v>147.76</v>
      </c>
    </row>
    <row r="151" spans="2:32" s="167" customFormat="1" ht="33.75" hidden="1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/>
      <c r="P151" s="207"/>
      <c r="Q151" s="207"/>
      <c r="R151" s="206">
        <f t="shared" si="65"/>
        <v>0</v>
      </c>
      <c r="S151" s="206">
        <f t="shared" si="59"/>
        <v>7</v>
      </c>
      <c r="T151" s="206">
        <f t="shared" si="60"/>
        <v>3527.58</v>
      </c>
      <c r="U151" s="208">
        <f t="shared" si="61"/>
        <v>0</v>
      </c>
      <c r="V151" s="208">
        <f t="shared" si="62"/>
        <v>0</v>
      </c>
      <c r="W151" s="208">
        <f t="shared" si="55"/>
        <v>0</v>
      </c>
      <c r="X151" s="208">
        <f t="shared" si="63"/>
        <v>0</v>
      </c>
      <c r="Y151" s="208">
        <f t="shared" si="64"/>
        <v>0</v>
      </c>
      <c r="Z151" s="208">
        <f t="shared" si="58"/>
        <v>0</v>
      </c>
      <c r="AA151" s="208">
        <f t="shared" si="66"/>
        <v>0</v>
      </c>
      <c r="AB151" s="208">
        <f t="shared" si="67"/>
        <v>0</v>
      </c>
      <c r="AC151" s="208">
        <f t="shared" si="68"/>
        <v>0</v>
      </c>
      <c r="AD151" s="208">
        <f t="shared" si="69"/>
        <v>0</v>
      </c>
      <c r="AE151" s="209">
        <f t="shared" si="70"/>
        <v>0</v>
      </c>
      <c r="AF151" s="210">
        <f t="shared" si="71"/>
        <v>3527.58</v>
      </c>
    </row>
    <row r="152" spans="2:32" s="167" customFormat="1" ht="33.75" hidden="1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/>
      <c r="P152" s="207"/>
      <c r="Q152" s="207"/>
      <c r="R152" s="206">
        <f t="shared" si="65"/>
        <v>0</v>
      </c>
      <c r="S152" s="206">
        <f t="shared" si="59"/>
        <v>1</v>
      </c>
      <c r="T152" s="206">
        <f t="shared" si="60"/>
        <v>206.7</v>
      </c>
      <c r="U152" s="208">
        <f t="shared" si="61"/>
        <v>0</v>
      </c>
      <c r="V152" s="208">
        <f t="shared" si="62"/>
        <v>0</v>
      </c>
      <c r="W152" s="208">
        <f t="shared" si="55"/>
        <v>0</v>
      </c>
      <c r="X152" s="208">
        <f t="shared" si="63"/>
        <v>0</v>
      </c>
      <c r="Y152" s="208">
        <f t="shared" si="64"/>
        <v>0</v>
      </c>
      <c r="Z152" s="208">
        <f t="shared" si="58"/>
        <v>0</v>
      </c>
      <c r="AA152" s="208">
        <f t="shared" si="66"/>
        <v>0</v>
      </c>
      <c r="AB152" s="208">
        <f t="shared" si="67"/>
        <v>0</v>
      </c>
      <c r="AC152" s="208">
        <f t="shared" si="68"/>
        <v>0</v>
      </c>
      <c r="AD152" s="208">
        <f t="shared" si="69"/>
        <v>0</v>
      </c>
      <c r="AE152" s="209">
        <f t="shared" si="70"/>
        <v>0</v>
      </c>
      <c r="AF152" s="210">
        <f t="shared" si="71"/>
        <v>206.7</v>
      </c>
    </row>
    <row r="153" spans="2:32" s="167" customFormat="1" ht="33.75" hidden="1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/>
      <c r="P153" s="207"/>
      <c r="Q153" s="207"/>
      <c r="R153" s="206">
        <f t="shared" si="65"/>
        <v>0</v>
      </c>
      <c r="S153" s="206">
        <f t="shared" si="59"/>
        <v>10</v>
      </c>
      <c r="T153" s="206">
        <f t="shared" si="60"/>
        <v>328.29999999999995</v>
      </c>
      <c r="U153" s="208">
        <f t="shared" si="61"/>
        <v>0</v>
      </c>
      <c r="V153" s="208">
        <f t="shared" si="62"/>
        <v>0</v>
      </c>
      <c r="W153" s="208">
        <f t="shared" si="55"/>
        <v>0</v>
      </c>
      <c r="X153" s="208">
        <f t="shared" si="63"/>
        <v>0</v>
      </c>
      <c r="Y153" s="208">
        <f t="shared" si="64"/>
        <v>0</v>
      </c>
      <c r="Z153" s="208">
        <f t="shared" si="58"/>
        <v>0</v>
      </c>
      <c r="AA153" s="208">
        <f t="shared" si="66"/>
        <v>0</v>
      </c>
      <c r="AB153" s="208">
        <f t="shared" si="67"/>
        <v>0</v>
      </c>
      <c r="AC153" s="208">
        <f t="shared" si="68"/>
        <v>0</v>
      </c>
      <c r="AD153" s="208">
        <f t="shared" si="69"/>
        <v>0</v>
      </c>
      <c r="AE153" s="209">
        <f t="shared" si="70"/>
        <v>0</v>
      </c>
      <c r="AF153" s="210">
        <f t="shared" si="71"/>
        <v>328.29999999999995</v>
      </c>
    </row>
    <row r="154" spans="2:32" s="167" customFormat="1" ht="56.25" hidden="1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7"/>
      <c r="O154" s="207">
        <f>'MEMORIAL DE CALCULO 08'!K498</f>
        <v>38.85</v>
      </c>
      <c r="P154" s="207"/>
      <c r="Q154" s="207"/>
      <c r="R154" s="206">
        <f t="shared" si="65"/>
        <v>38.85</v>
      </c>
      <c r="S154" s="206">
        <f t="shared" si="59"/>
        <v>0</v>
      </c>
      <c r="T154" s="206">
        <f t="shared" si="60"/>
        <v>2106.8355000000001</v>
      </c>
      <c r="U154" s="208">
        <f t="shared" si="61"/>
        <v>0</v>
      </c>
      <c r="V154" s="208">
        <f t="shared" si="62"/>
        <v>0</v>
      </c>
      <c r="W154" s="208">
        <f t="shared" si="55"/>
        <v>0</v>
      </c>
      <c r="X154" s="208">
        <f t="shared" si="63"/>
        <v>0</v>
      </c>
      <c r="Y154" s="208">
        <f t="shared" si="64"/>
        <v>0</v>
      </c>
      <c r="Z154" s="208">
        <f t="shared" si="58"/>
        <v>0</v>
      </c>
      <c r="AA154" s="208">
        <f t="shared" si="66"/>
        <v>0</v>
      </c>
      <c r="AB154" s="208">
        <f t="shared" si="67"/>
        <v>2106.83</v>
      </c>
      <c r="AC154" s="208">
        <f t="shared" si="68"/>
        <v>0</v>
      </c>
      <c r="AD154" s="208">
        <f t="shared" si="69"/>
        <v>0</v>
      </c>
      <c r="AE154" s="209">
        <f t="shared" si="70"/>
        <v>2106.83</v>
      </c>
      <c r="AF154" s="210">
        <f t="shared" si="71"/>
        <v>5.5000000002110028E-3</v>
      </c>
    </row>
    <row r="155" spans="2:32" s="167" customFormat="1" ht="56.25" hidden="1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7"/>
      <c r="O155" s="207">
        <f>'MEMORIAL DE CALCULO 08'!K501</f>
        <v>46.51</v>
      </c>
      <c r="P155" s="207"/>
      <c r="Q155" s="207"/>
      <c r="R155" s="206">
        <f t="shared" si="65"/>
        <v>46.51</v>
      </c>
      <c r="S155" s="206">
        <f t="shared" si="59"/>
        <v>0</v>
      </c>
      <c r="T155" s="206">
        <f t="shared" si="60"/>
        <v>4060.3229999999999</v>
      </c>
      <c r="U155" s="208">
        <f t="shared" si="61"/>
        <v>0</v>
      </c>
      <c r="V155" s="208">
        <f t="shared" si="62"/>
        <v>0</v>
      </c>
      <c r="W155" s="208">
        <f t="shared" ref="W155:W186" si="72">F155*J155</f>
        <v>0</v>
      </c>
      <c r="X155" s="208">
        <f t="shared" si="63"/>
        <v>0</v>
      </c>
      <c r="Y155" s="208">
        <f t="shared" si="64"/>
        <v>0</v>
      </c>
      <c r="Z155" s="208">
        <f t="shared" si="58"/>
        <v>0</v>
      </c>
      <c r="AA155" s="208">
        <f t="shared" si="66"/>
        <v>0</v>
      </c>
      <c r="AB155" s="208">
        <f t="shared" si="67"/>
        <v>4060.32</v>
      </c>
      <c r="AC155" s="208">
        <f t="shared" si="68"/>
        <v>0</v>
      </c>
      <c r="AD155" s="208">
        <f t="shared" si="69"/>
        <v>0</v>
      </c>
      <c r="AE155" s="209">
        <f t="shared" si="70"/>
        <v>4060.32</v>
      </c>
      <c r="AF155" s="210">
        <f t="shared" si="71"/>
        <v>2.9999999997016857E-3</v>
      </c>
    </row>
    <row r="156" spans="2:32" s="167" customFormat="1" ht="45" hidden="1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7"/>
      <c r="O156" s="207"/>
      <c r="P156" s="207"/>
      <c r="Q156" s="207"/>
      <c r="R156" s="206">
        <f t="shared" si="65"/>
        <v>0</v>
      </c>
      <c r="S156" s="206">
        <f t="shared" si="59"/>
        <v>1</v>
      </c>
      <c r="T156" s="206">
        <f t="shared" si="60"/>
        <v>243.02</v>
      </c>
      <c r="U156" s="208">
        <f t="shared" si="61"/>
        <v>0</v>
      </c>
      <c r="V156" s="208">
        <f t="shared" si="62"/>
        <v>0</v>
      </c>
      <c r="W156" s="208">
        <f t="shared" si="72"/>
        <v>0</v>
      </c>
      <c r="X156" s="208">
        <f t="shared" si="63"/>
        <v>0</v>
      </c>
      <c r="Y156" s="208">
        <f t="shared" si="64"/>
        <v>0</v>
      </c>
      <c r="Z156" s="208">
        <f t="shared" si="58"/>
        <v>0</v>
      </c>
      <c r="AA156" s="208">
        <f t="shared" si="66"/>
        <v>0</v>
      </c>
      <c r="AB156" s="208">
        <f t="shared" si="67"/>
        <v>0</v>
      </c>
      <c r="AC156" s="208">
        <f t="shared" si="68"/>
        <v>0</v>
      </c>
      <c r="AD156" s="208">
        <f t="shared" si="69"/>
        <v>0</v>
      </c>
      <c r="AE156" s="209">
        <f t="shared" si="70"/>
        <v>0</v>
      </c>
      <c r="AF156" s="210">
        <f t="shared" si="71"/>
        <v>243.02</v>
      </c>
    </row>
    <row r="157" spans="2:32" s="167" customFormat="1" ht="56.25" hidden="1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7">
        <v>6</v>
      </c>
      <c r="O157" s="207">
        <f>'MEMORIAL DE CALCULO 08'!K507</f>
        <v>66.385000000000005</v>
      </c>
      <c r="P157" s="207"/>
      <c r="Q157" s="207"/>
      <c r="R157" s="206">
        <f t="shared" si="65"/>
        <v>72.385000000000005</v>
      </c>
      <c r="S157" s="206">
        <f t="shared" si="59"/>
        <v>60.385000000000005</v>
      </c>
      <c r="T157" s="206">
        <f t="shared" si="60"/>
        <v>8661.9148000000005</v>
      </c>
      <c r="U157" s="208">
        <f t="shared" si="61"/>
        <v>0</v>
      </c>
      <c r="V157" s="208">
        <f t="shared" si="62"/>
        <v>0</v>
      </c>
      <c r="W157" s="208">
        <f t="shared" si="72"/>
        <v>0</v>
      </c>
      <c r="X157" s="208">
        <f t="shared" si="63"/>
        <v>0</v>
      </c>
      <c r="Y157" s="208">
        <f t="shared" si="64"/>
        <v>0</v>
      </c>
      <c r="Z157" s="208">
        <f t="shared" si="58"/>
        <v>0</v>
      </c>
      <c r="AA157" s="208">
        <f t="shared" si="66"/>
        <v>391.43999999999994</v>
      </c>
      <c r="AB157" s="208">
        <f t="shared" si="67"/>
        <v>4330.95</v>
      </c>
      <c r="AC157" s="208">
        <f t="shared" si="68"/>
        <v>0</v>
      </c>
      <c r="AD157" s="208">
        <f t="shared" si="69"/>
        <v>0</v>
      </c>
      <c r="AE157" s="209">
        <f t="shared" si="70"/>
        <v>4722.3899999999994</v>
      </c>
      <c r="AF157" s="210">
        <f t="shared" si="71"/>
        <v>3939.5248000000011</v>
      </c>
    </row>
    <row r="158" spans="2:32" s="167" customFormat="1" ht="33.75" hidden="1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16"/>
      <c r="P158" s="216"/>
      <c r="Q158" s="216"/>
      <c r="R158" s="206">
        <f t="shared" si="65"/>
        <v>0</v>
      </c>
      <c r="S158" s="206">
        <f t="shared" si="59"/>
        <v>2</v>
      </c>
      <c r="T158" s="206">
        <f t="shared" si="60"/>
        <v>494.24</v>
      </c>
      <c r="U158" s="208">
        <f t="shared" si="61"/>
        <v>0</v>
      </c>
      <c r="V158" s="208">
        <f t="shared" si="62"/>
        <v>0</v>
      </c>
      <c r="W158" s="208">
        <f t="shared" si="72"/>
        <v>0</v>
      </c>
      <c r="X158" s="208">
        <f t="shared" si="63"/>
        <v>0</v>
      </c>
      <c r="Y158" s="208">
        <f t="shared" si="64"/>
        <v>0</v>
      </c>
      <c r="Z158" s="208">
        <f t="shared" si="58"/>
        <v>0</v>
      </c>
      <c r="AA158" s="208">
        <f t="shared" si="66"/>
        <v>0</v>
      </c>
      <c r="AB158" s="208">
        <f t="shared" si="67"/>
        <v>0</v>
      </c>
      <c r="AC158" s="208">
        <f t="shared" si="68"/>
        <v>0</v>
      </c>
      <c r="AD158" s="208">
        <f t="shared" si="69"/>
        <v>0</v>
      </c>
      <c r="AE158" s="209">
        <f t="shared" si="70"/>
        <v>0</v>
      </c>
      <c r="AF158" s="210">
        <f t="shared" si="71"/>
        <v>494.24</v>
      </c>
    </row>
    <row r="159" spans="2:32" s="167" customFormat="1" ht="56.25" hidden="1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9"/>
      <c r="O159" s="29"/>
      <c r="P159" s="29"/>
      <c r="Q159" s="29"/>
      <c r="R159" s="206">
        <f t="shared" si="65"/>
        <v>0</v>
      </c>
      <c r="S159" s="206">
        <f t="shared" si="59"/>
        <v>43.01</v>
      </c>
      <c r="T159" s="206">
        <f t="shared" si="60"/>
        <v>2426.6241999999997</v>
      </c>
      <c r="U159" s="208">
        <f t="shared" si="61"/>
        <v>0</v>
      </c>
      <c r="V159" s="208">
        <f t="shared" si="62"/>
        <v>0</v>
      </c>
      <c r="W159" s="208">
        <f t="shared" si="72"/>
        <v>0</v>
      </c>
      <c r="X159" s="208">
        <f t="shared" si="63"/>
        <v>0</v>
      </c>
      <c r="Y159" s="208">
        <f t="shared" si="64"/>
        <v>0</v>
      </c>
      <c r="Z159" s="208">
        <f t="shared" si="58"/>
        <v>0</v>
      </c>
      <c r="AA159" s="208">
        <f t="shared" si="66"/>
        <v>0</v>
      </c>
      <c r="AB159" s="208">
        <f t="shared" si="67"/>
        <v>0</v>
      </c>
      <c r="AC159" s="208">
        <f t="shared" si="68"/>
        <v>0</v>
      </c>
      <c r="AD159" s="208">
        <f t="shared" si="69"/>
        <v>0</v>
      </c>
      <c r="AE159" s="209">
        <f t="shared" si="70"/>
        <v>0</v>
      </c>
      <c r="AF159" s="210">
        <f t="shared" si="71"/>
        <v>2426.6241999999997</v>
      </c>
    </row>
    <row r="160" spans="2:32" s="167" customFormat="1" ht="14.45" hidden="1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7"/>
      <c r="Q160" s="207"/>
      <c r="R160" s="206">
        <f t="shared" si="65"/>
        <v>0</v>
      </c>
      <c r="S160" s="206"/>
      <c r="T160" s="206"/>
      <c r="U160" s="208">
        <f t="shared" si="61"/>
        <v>0</v>
      </c>
      <c r="V160" s="208">
        <f t="shared" si="62"/>
        <v>0</v>
      </c>
      <c r="W160" s="208">
        <f t="shared" si="72"/>
        <v>0</v>
      </c>
      <c r="X160" s="208">
        <f t="shared" si="63"/>
        <v>0</v>
      </c>
      <c r="Y160" s="208">
        <f t="shared" si="64"/>
        <v>0</v>
      </c>
      <c r="Z160" s="208">
        <f t="shared" si="58"/>
        <v>0</v>
      </c>
      <c r="AA160" s="208">
        <f t="shared" si="66"/>
        <v>0</v>
      </c>
      <c r="AB160" s="208">
        <f t="shared" si="67"/>
        <v>0</v>
      </c>
      <c r="AC160" s="208">
        <f t="shared" si="68"/>
        <v>0</v>
      </c>
      <c r="AD160" s="208">
        <f t="shared" si="69"/>
        <v>0</v>
      </c>
      <c r="AE160" s="209">
        <f t="shared" si="70"/>
        <v>0</v>
      </c>
      <c r="AF160" s="210">
        <f t="shared" si="71"/>
        <v>0</v>
      </c>
    </row>
    <row r="161" spans="2:32" s="167" customFormat="1" ht="22.5" hidden="1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/>
      <c r="P161" s="207"/>
      <c r="Q161" s="207"/>
      <c r="R161" s="206">
        <f t="shared" si="65"/>
        <v>0</v>
      </c>
      <c r="S161" s="206">
        <f t="shared" ref="S161:S172" si="73">G161-R161</f>
        <v>14.07</v>
      </c>
      <c r="T161" s="206">
        <f t="shared" ref="T161:T172" si="74">F161*G161</f>
        <v>7469.3409000000001</v>
      </c>
      <c r="U161" s="208">
        <f t="shared" si="61"/>
        <v>0</v>
      </c>
      <c r="V161" s="208">
        <f t="shared" si="62"/>
        <v>0</v>
      </c>
      <c r="W161" s="208">
        <f t="shared" si="72"/>
        <v>0</v>
      </c>
      <c r="X161" s="208">
        <f t="shared" si="63"/>
        <v>0</v>
      </c>
      <c r="Y161" s="208">
        <f t="shared" si="64"/>
        <v>0</v>
      </c>
      <c r="Z161" s="208">
        <f t="shared" si="58"/>
        <v>0</v>
      </c>
      <c r="AA161" s="208">
        <f t="shared" si="66"/>
        <v>0</v>
      </c>
      <c r="AB161" s="208">
        <f t="shared" si="67"/>
        <v>0</v>
      </c>
      <c r="AC161" s="208">
        <f t="shared" si="68"/>
        <v>0</v>
      </c>
      <c r="AD161" s="208">
        <f t="shared" si="69"/>
        <v>0</v>
      </c>
      <c r="AE161" s="209">
        <f t="shared" si="70"/>
        <v>0</v>
      </c>
      <c r="AF161" s="210">
        <f t="shared" si="71"/>
        <v>7469.3409000000001</v>
      </c>
    </row>
    <row r="162" spans="2:32" s="167" customFormat="1" ht="33.75" hidden="1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16"/>
      <c r="P162" s="216"/>
      <c r="Q162" s="216"/>
      <c r="R162" s="206">
        <f t="shared" si="65"/>
        <v>0</v>
      </c>
      <c r="S162" s="206">
        <f t="shared" si="73"/>
        <v>10</v>
      </c>
      <c r="T162" s="206">
        <f t="shared" si="74"/>
        <v>706.4</v>
      </c>
      <c r="U162" s="208">
        <f t="shared" si="61"/>
        <v>0</v>
      </c>
      <c r="V162" s="208">
        <f t="shared" si="62"/>
        <v>0</v>
      </c>
      <c r="W162" s="208">
        <f t="shared" si="72"/>
        <v>0</v>
      </c>
      <c r="X162" s="208">
        <f t="shared" si="63"/>
        <v>0</v>
      </c>
      <c r="Y162" s="208">
        <f t="shared" si="64"/>
        <v>0</v>
      </c>
      <c r="Z162" s="208">
        <f t="shared" ref="Z162:Z195" si="75">M162*F162</f>
        <v>0</v>
      </c>
      <c r="AA162" s="208">
        <f t="shared" si="66"/>
        <v>0</v>
      </c>
      <c r="AB162" s="208">
        <f t="shared" si="67"/>
        <v>0</v>
      </c>
      <c r="AC162" s="208">
        <f t="shared" si="68"/>
        <v>0</v>
      </c>
      <c r="AD162" s="208">
        <f t="shared" si="69"/>
        <v>0</v>
      </c>
      <c r="AE162" s="209">
        <f t="shared" si="70"/>
        <v>0</v>
      </c>
      <c r="AF162" s="210">
        <f t="shared" si="71"/>
        <v>706.4</v>
      </c>
    </row>
    <row r="163" spans="2:32" s="167" customFormat="1" ht="33.75" hidden="1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/>
      <c r="P163" s="207"/>
      <c r="Q163" s="207"/>
      <c r="R163" s="206">
        <f t="shared" si="65"/>
        <v>0</v>
      </c>
      <c r="S163" s="206">
        <f t="shared" si="73"/>
        <v>3</v>
      </c>
      <c r="T163" s="206">
        <f t="shared" si="74"/>
        <v>247.95000000000002</v>
      </c>
      <c r="U163" s="208">
        <f t="shared" si="61"/>
        <v>0</v>
      </c>
      <c r="V163" s="208">
        <f t="shared" si="62"/>
        <v>0</v>
      </c>
      <c r="W163" s="208">
        <f t="shared" si="72"/>
        <v>0</v>
      </c>
      <c r="X163" s="208">
        <f t="shared" si="63"/>
        <v>0</v>
      </c>
      <c r="Y163" s="208">
        <f t="shared" si="64"/>
        <v>0</v>
      </c>
      <c r="Z163" s="208">
        <f t="shared" si="75"/>
        <v>0</v>
      </c>
      <c r="AA163" s="208">
        <f t="shared" si="66"/>
        <v>0</v>
      </c>
      <c r="AB163" s="208">
        <f t="shared" si="67"/>
        <v>0</v>
      </c>
      <c r="AC163" s="208">
        <f t="shared" si="68"/>
        <v>0</v>
      </c>
      <c r="AD163" s="208">
        <f t="shared" si="69"/>
        <v>0</v>
      </c>
      <c r="AE163" s="209">
        <f t="shared" si="70"/>
        <v>0</v>
      </c>
      <c r="AF163" s="210">
        <f t="shared" si="71"/>
        <v>247.95000000000002</v>
      </c>
    </row>
    <row r="164" spans="2:32" s="167" customFormat="1" ht="22.5" hidden="1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/>
      <c r="P164" s="207"/>
      <c r="Q164" s="207"/>
      <c r="R164" s="206">
        <f t="shared" si="65"/>
        <v>0</v>
      </c>
      <c r="S164" s="206">
        <f t="shared" si="73"/>
        <v>8</v>
      </c>
      <c r="T164" s="206">
        <f t="shared" si="74"/>
        <v>4006</v>
      </c>
      <c r="U164" s="208">
        <f t="shared" si="61"/>
        <v>0</v>
      </c>
      <c r="V164" s="208">
        <f t="shared" si="62"/>
        <v>0</v>
      </c>
      <c r="W164" s="208">
        <f t="shared" si="72"/>
        <v>0</v>
      </c>
      <c r="X164" s="208">
        <f t="shared" si="63"/>
        <v>0</v>
      </c>
      <c r="Y164" s="208">
        <f t="shared" si="64"/>
        <v>0</v>
      </c>
      <c r="Z164" s="208">
        <f t="shared" si="75"/>
        <v>0</v>
      </c>
      <c r="AA164" s="208">
        <f t="shared" si="66"/>
        <v>0</v>
      </c>
      <c r="AB164" s="208">
        <f t="shared" si="67"/>
        <v>0</v>
      </c>
      <c r="AC164" s="208">
        <f t="shared" si="68"/>
        <v>0</v>
      </c>
      <c r="AD164" s="208">
        <f t="shared" si="69"/>
        <v>0</v>
      </c>
      <c r="AE164" s="209">
        <f t="shared" si="70"/>
        <v>0</v>
      </c>
      <c r="AF164" s="210">
        <f t="shared" si="71"/>
        <v>4006</v>
      </c>
    </row>
    <row r="165" spans="2:32" s="167" customFormat="1" ht="45" hidden="1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/>
      <c r="P165" s="207"/>
      <c r="Q165" s="207"/>
      <c r="R165" s="206">
        <f t="shared" si="65"/>
        <v>0</v>
      </c>
      <c r="S165" s="206">
        <f t="shared" si="73"/>
        <v>9</v>
      </c>
      <c r="T165" s="206">
        <f t="shared" si="74"/>
        <v>4773.1500000000005</v>
      </c>
      <c r="U165" s="208">
        <f t="shared" si="61"/>
        <v>0</v>
      </c>
      <c r="V165" s="208">
        <f t="shared" si="62"/>
        <v>0</v>
      </c>
      <c r="W165" s="208">
        <f t="shared" si="72"/>
        <v>0</v>
      </c>
      <c r="X165" s="208">
        <f t="shared" si="63"/>
        <v>0</v>
      </c>
      <c r="Y165" s="208">
        <f t="shared" si="64"/>
        <v>0</v>
      </c>
      <c r="Z165" s="208">
        <f t="shared" si="75"/>
        <v>0</v>
      </c>
      <c r="AA165" s="208">
        <f t="shared" si="66"/>
        <v>0</v>
      </c>
      <c r="AB165" s="208">
        <f t="shared" si="67"/>
        <v>0</v>
      </c>
      <c r="AC165" s="208">
        <f t="shared" si="68"/>
        <v>0</v>
      </c>
      <c r="AD165" s="208">
        <f t="shared" si="69"/>
        <v>0</v>
      </c>
      <c r="AE165" s="209">
        <f t="shared" si="70"/>
        <v>0</v>
      </c>
      <c r="AF165" s="210">
        <f t="shared" si="71"/>
        <v>4773.1500000000005</v>
      </c>
    </row>
    <row r="166" spans="2:32" s="167" customFormat="1" ht="45" hidden="1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/>
      <c r="P166" s="207"/>
      <c r="Q166" s="207"/>
      <c r="R166" s="206">
        <f t="shared" si="65"/>
        <v>0</v>
      </c>
      <c r="S166" s="206">
        <f t="shared" si="73"/>
        <v>2</v>
      </c>
      <c r="T166" s="206">
        <f t="shared" si="74"/>
        <v>648.58000000000004</v>
      </c>
      <c r="U166" s="208">
        <f t="shared" si="61"/>
        <v>0</v>
      </c>
      <c r="V166" s="208">
        <f t="shared" si="62"/>
        <v>0</v>
      </c>
      <c r="W166" s="208">
        <f t="shared" si="72"/>
        <v>0</v>
      </c>
      <c r="X166" s="208">
        <f t="shared" si="63"/>
        <v>0</v>
      </c>
      <c r="Y166" s="208">
        <f t="shared" si="64"/>
        <v>0</v>
      </c>
      <c r="Z166" s="208">
        <f t="shared" si="75"/>
        <v>0</v>
      </c>
      <c r="AA166" s="208">
        <f t="shared" si="66"/>
        <v>0</v>
      </c>
      <c r="AB166" s="208">
        <f t="shared" si="67"/>
        <v>0</v>
      </c>
      <c r="AC166" s="208">
        <f t="shared" si="68"/>
        <v>0</v>
      </c>
      <c r="AD166" s="208">
        <f t="shared" si="69"/>
        <v>0</v>
      </c>
      <c r="AE166" s="209">
        <f t="shared" si="70"/>
        <v>0</v>
      </c>
      <c r="AF166" s="210">
        <f t="shared" si="71"/>
        <v>648.58000000000004</v>
      </c>
    </row>
    <row r="167" spans="2:32" s="167" customFormat="1" ht="33.75" hidden="1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/>
      <c r="P167" s="207"/>
      <c r="Q167" s="207"/>
      <c r="R167" s="206">
        <f t="shared" si="65"/>
        <v>0</v>
      </c>
      <c r="S167" s="206">
        <f t="shared" si="73"/>
        <v>2</v>
      </c>
      <c r="T167" s="206">
        <f t="shared" si="74"/>
        <v>706.9</v>
      </c>
      <c r="U167" s="208">
        <f t="shared" si="61"/>
        <v>0</v>
      </c>
      <c r="V167" s="208">
        <f t="shared" si="62"/>
        <v>0</v>
      </c>
      <c r="W167" s="208">
        <f t="shared" si="72"/>
        <v>0</v>
      </c>
      <c r="X167" s="208">
        <f t="shared" si="63"/>
        <v>0</v>
      </c>
      <c r="Y167" s="208">
        <f t="shared" si="64"/>
        <v>0</v>
      </c>
      <c r="Z167" s="208">
        <f t="shared" si="75"/>
        <v>0</v>
      </c>
      <c r="AA167" s="208">
        <f t="shared" si="66"/>
        <v>0</v>
      </c>
      <c r="AB167" s="208">
        <f t="shared" si="67"/>
        <v>0</v>
      </c>
      <c r="AC167" s="208">
        <f t="shared" si="68"/>
        <v>0</v>
      </c>
      <c r="AD167" s="208">
        <f t="shared" si="69"/>
        <v>0</v>
      </c>
      <c r="AE167" s="209">
        <f t="shared" si="70"/>
        <v>0</v>
      </c>
      <c r="AF167" s="210">
        <f t="shared" si="71"/>
        <v>706.9</v>
      </c>
    </row>
    <row r="168" spans="2:32" s="167" customFormat="1" ht="56.25" hidden="1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/>
      <c r="P168" s="207"/>
      <c r="Q168" s="207"/>
      <c r="R168" s="206">
        <f t="shared" si="65"/>
        <v>0</v>
      </c>
      <c r="S168" s="206">
        <f t="shared" si="73"/>
        <v>1</v>
      </c>
      <c r="T168" s="206">
        <f t="shared" si="74"/>
        <v>260.25</v>
      </c>
      <c r="U168" s="208">
        <f t="shared" si="61"/>
        <v>0</v>
      </c>
      <c r="V168" s="208">
        <f t="shared" si="62"/>
        <v>0</v>
      </c>
      <c r="W168" s="208">
        <f t="shared" si="72"/>
        <v>0</v>
      </c>
      <c r="X168" s="208">
        <f t="shared" si="63"/>
        <v>0</v>
      </c>
      <c r="Y168" s="208">
        <f t="shared" si="64"/>
        <v>0</v>
      </c>
      <c r="Z168" s="208">
        <f t="shared" si="75"/>
        <v>0</v>
      </c>
      <c r="AA168" s="208">
        <f t="shared" si="66"/>
        <v>0</v>
      </c>
      <c r="AB168" s="208">
        <f t="shared" si="67"/>
        <v>0</v>
      </c>
      <c r="AC168" s="208">
        <f t="shared" si="68"/>
        <v>0</v>
      </c>
      <c r="AD168" s="208">
        <f t="shared" si="69"/>
        <v>0</v>
      </c>
      <c r="AE168" s="209">
        <f t="shared" si="70"/>
        <v>0</v>
      </c>
      <c r="AF168" s="210">
        <f t="shared" si="71"/>
        <v>260.25</v>
      </c>
    </row>
    <row r="169" spans="2:32" s="167" customFormat="1" ht="56.25" hidden="1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/>
      <c r="P169" s="207"/>
      <c r="Q169" s="207"/>
      <c r="R169" s="206">
        <f t="shared" si="65"/>
        <v>0</v>
      </c>
      <c r="S169" s="206">
        <f t="shared" si="73"/>
        <v>1</v>
      </c>
      <c r="T169" s="206">
        <f t="shared" si="74"/>
        <v>586.14</v>
      </c>
      <c r="U169" s="208">
        <f t="shared" si="61"/>
        <v>0</v>
      </c>
      <c r="V169" s="208">
        <f t="shared" si="62"/>
        <v>0</v>
      </c>
      <c r="W169" s="208">
        <f t="shared" si="72"/>
        <v>0</v>
      </c>
      <c r="X169" s="208">
        <f t="shared" si="63"/>
        <v>0</v>
      </c>
      <c r="Y169" s="208">
        <f t="shared" si="64"/>
        <v>0</v>
      </c>
      <c r="Z169" s="208">
        <f t="shared" si="75"/>
        <v>0</v>
      </c>
      <c r="AA169" s="208">
        <f t="shared" si="66"/>
        <v>0</v>
      </c>
      <c r="AB169" s="208">
        <f t="shared" si="67"/>
        <v>0</v>
      </c>
      <c r="AC169" s="208">
        <f t="shared" si="68"/>
        <v>0</v>
      </c>
      <c r="AD169" s="208">
        <f t="shared" si="69"/>
        <v>0</v>
      </c>
      <c r="AE169" s="209">
        <f t="shared" si="70"/>
        <v>0</v>
      </c>
      <c r="AF169" s="210">
        <f t="shared" si="71"/>
        <v>586.14</v>
      </c>
    </row>
    <row r="170" spans="2:32" s="167" customFormat="1" ht="45" hidden="1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/>
      <c r="P170" s="207"/>
      <c r="Q170" s="207"/>
      <c r="R170" s="206">
        <f t="shared" si="65"/>
        <v>0</v>
      </c>
      <c r="S170" s="206">
        <f t="shared" si="73"/>
        <v>1</v>
      </c>
      <c r="T170" s="206">
        <f t="shared" si="74"/>
        <v>769.27</v>
      </c>
      <c r="U170" s="208">
        <f t="shared" si="61"/>
        <v>0</v>
      </c>
      <c r="V170" s="208">
        <f t="shared" si="62"/>
        <v>0</v>
      </c>
      <c r="W170" s="208">
        <f t="shared" si="72"/>
        <v>0</v>
      </c>
      <c r="X170" s="208">
        <f t="shared" si="63"/>
        <v>0</v>
      </c>
      <c r="Y170" s="208">
        <f t="shared" si="64"/>
        <v>0</v>
      </c>
      <c r="Z170" s="208">
        <f t="shared" si="75"/>
        <v>0</v>
      </c>
      <c r="AA170" s="208">
        <f t="shared" si="66"/>
        <v>0</v>
      </c>
      <c r="AB170" s="208">
        <f t="shared" si="67"/>
        <v>0</v>
      </c>
      <c r="AC170" s="208">
        <f t="shared" si="68"/>
        <v>0</v>
      </c>
      <c r="AD170" s="208">
        <f t="shared" si="69"/>
        <v>0</v>
      </c>
      <c r="AE170" s="209">
        <f t="shared" si="70"/>
        <v>0</v>
      </c>
      <c r="AF170" s="210">
        <f t="shared" si="71"/>
        <v>769.27</v>
      </c>
    </row>
    <row r="171" spans="2:32" s="167" customFormat="1" ht="33.75" hidden="1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/>
      <c r="P171" s="207"/>
      <c r="Q171" s="207"/>
      <c r="R171" s="206">
        <f t="shared" si="65"/>
        <v>0</v>
      </c>
      <c r="S171" s="206">
        <f t="shared" si="73"/>
        <v>33.92</v>
      </c>
      <c r="T171" s="206">
        <f t="shared" si="74"/>
        <v>23493.670400000003</v>
      </c>
      <c r="U171" s="208">
        <f t="shared" si="61"/>
        <v>0</v>
      </c>
      <c r="V171" s="208">
        <f t="shared" si="62"/>
        <v>0</v>
      </c>
      <c r="W171" s="208">
        <f t="shared" si="72"/>
        <v>0</v>
      </c>
      <c r="X171" s="208">
        <f t="shared" si="63"/>
        <v>0</v>
      </c>
      <c r="Y171" s="208">
        <f t="shared" si="64"/>
        <v>0</v>
      </c>
      <c r="Z171" s="208">
        <f t="shared" si="75"/>
        <v>0</v>
      </c>
      <c r="AA171" s="208">
        <f t="shared" si="66"/>
        <v>0</v>
      </c>
      <c r="AB171" s="208">
        <f t="shared" si="67"/>
        <v>0</v>
      </c>
      <c r="AC171" s="208">
        <f t="shared" si="68"/>
        <v>0</v>
      </c>
      <c r="AD171" s="208">
        <f t="shared" si="69"/>
        <v>0</v>
      </c>
      <c r="AE171" s="209">
        <f t="shared" si="70"/>
        <v>0</v>
      </c>
      <c r="AF171" s="210">
        <f t="shared" si="71"/>
        <v>23493.670400000003</v>
      </c>
    </row>
    <row r="172" spans="2:32" s="167" customFormat="1" ht="22.5" hidden="1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/>
      <c r="P172" s="207"/>
      <c r="Q172" s="207"/>
      <c r="R172" s="206">
        <f t="shared" si="65"/>
        <v>0</v>
      </c>
      <c r="S172" s="206">
        <f t="shared" si="73"/>
        <v>4</v>
      </c>
      <c r="T172" s="206">
        <f t="shared" si="74"/>
        <v>444.48</v>
      </c>
      <c r="U172" s="208">
        <f t="shared" si="61"/>
        <v>0</v>
      </c>
      <c r="V172" s="208">
        <f t="shared" si="62"/>
        <v>0</v>
      </c>
      <c r="W172" s="208">
        <f t="shared" si="72"/>
        <v>0</v>
      </c>
      <c r="X172" s="208">
        <f t="shared" si="63"/>
        <v>0</v>
      </c>
      <c r="Y172" s="208">
        <f t="shared" si="64"/>
        <v>0</v>
      </c>
      <c r="Z172" s="208">
        <f t="shared" si="75"/>
        <v>0</v>
      </c>
      <c r="AA172" s="208">
        <f t="shared" si="66"/>
        <v>0</v>
      </c>
      <c r="AB172" s="208">
        <f t="shared" si="67"/>
        <v>0</v>
      </c>
      <c r="AC172" s="208">
        <f t="shared" si="68"/>
        <v>0</v>
      </c>
      <c r="AD172" s="208">
        <f t="shared" si="69"/>
        <v>0</v>
      </c>
      <c r="AE172" s="209">
        <f t="shared" si="70"/>
        <v>0</v>
      </c>
      <c r="AF172" s="210">
        <f t="shared" si="71"/>
        <v>444.48</v>
      </c>
    </row>
    <row r="173" spans="2:32" s="167" customFormat="1" ht="14.45" hidden="1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7"/>
      <c r="Q173" s="207"/>
      <c r="R173" s="206">
        <f t="shared" si="65"/>
        <v>0</v>
      </c>
      <c r="S173" s="206"/>
      <c r="T173" s="206"/>
      <c r="U173" s="208">
        <f t="shared" si="61"/>
        <v>0</v>
      </c>
      <c r="V173" s="208">
        <f t="shared" si="62"/>
        <v>0</v>
      </c>
      <c r="W173" s="208">
        <f t="shared" si="72"/>
        <v>0</v>
      </c>
      <c r="X173" s="208">
        <f t="shared" si="63"/>
        <v>0</v>
      </c>
      <c r="Y173" s="208">
        <f t="shared" si="64"/>
        <v>0</v>
      </c>
      <c r="Z173" s="208">
        <f t="shared" si="75"/>
        <v>0</v>
      </c>
      <c r="AA173" s="208">
        <f t="shared" si="66"/>
        <v>0</v>
      </c>
      <c r="AB173" s="208">
        <f t="shared" si="67"/>
        <v>0</v>
      </c>
      <c r="AC173" s="208">
        <f t="shared" si="68"/>
        <v>0</v>
      </c>
      <c r="AD173" s="208">
        <f t="shared" si="69"/>
        <v>0</v>
      </c>
      <c r="AE173" s="209">
        <f t="shared" si="70"/>
        <v>0</v>
      </c>
      <c r="AF173" s="210">
        <f t="shared" si="71"/>
        <v>0</v>
      </c>
    </row>
    <row r="174" spans="2:32" s="167" customFormat="1" ht="33.75" hidden="1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/>
      <c r="P174" s="207"/>
      <c r="Q174" s="207"/>
      <c r="R174" s="206">
        <f t="shared" si="65"/>
        <v>130.85</v>
      </c>
      <c r="S174" s="206">
        <f t="shared" ref="S174:S192" si="76">G174-R174</f>
        <v>0</v>
      </c>
      <c r="T174" s="206">
        <f t="shared" ref="T174:T192" si="77">F174*G174</f>
        <v>6856.54</v>
      </c>
      <c r="U174" s="208">
        <f t="shared" ref="U174:U195" si="78">F174*H174</f>
        <v>6856.54</v>
      </c>
      <c r="V174" s="208">
        <f t="shared" ref="V174:V195" si="79">F174*I174</f>
        <v>0</v>
      </c>
      <c r="W174" s="208">
        <f t="shared" si="72"/>
        <v>0</v>
      </c>
      <c r="X174" s="208">
        <f t="shared" ref="X174:X195" si="80">TRUNC(F174*K174,2)</f>
        <v>0</v>
      </c>
      <c r="Y174" s="208">
        <f t="shared" ref="Y174:Y195" si="81">TRUNC(F174*L174,2)</f>
        <v>0</v>
      </c>
      <c r="Z174" s="208">
        <f t="shared" si="75"/>
        <v>0</v>
      </c>
      <c r="AA174" s="208">
        <f t="shared" si="66"/>
        <v>0</v>
      </c>
      <c r="AB174" s="208">
        <f t="shared" si="67"/>
        <v>0</v>
      </c>
      <c r="AC174" s="208">
        <f t="shared" si="68"/>
        <v>0</v>
      </c>
      <c r="AD174" s="208">
        <f t="shared" si="69"/>
        <v>0</v>
      </c>
      <c r="AE174" s="209">
        <f t="shared" si="70"/>
        <v>6856.54</v>
      </c>
      <c r="AF174" s="210">
        <f t="shared" si="71"/>
        <v>0</v>
      </c>
    </row>
    <row r="175" spans="2:32" s="167" customFormat="1" ht="22.5" hidden="1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/>
      <c r="P175" s="207"/>
      <c r="Q175" s="207"/>
      <c r="R175" s="206">
        <f t="shared" si="65"/>
        <v>32.68</v>
      </c>
      <c r="S175" s="206">
        <f t="shared" si="76"/>
        <v>0</v>
      </c>
      <c r="T175" s="206">
        <f t="shared" si="77"/>
        <v>2122.5660000000003</v>
      </c>
      <c r="U175" s="208">
        <f t="shared" si="78"/>
        <v>2122.5660000000003</v>
      </c>
      <c r="V175" s="208">
        <f t="shared" si="79"/>
        <v>0</v>
      </c>
      <c r="W175" s="208">
        <f t="shared" si="72"/>
        <v>0</v>
      </c>
      <c r="X175" s="208">
        <f t="shared" si="80"/>
        <v>0</v>
      </c>
      <c r="Y175" s="208">
        <f t="shared" si="81"/>
        <v>0</v>
      </c>
      <c r="Z175" s="208">
        <f t="shared" si="75"/>
        <v>0</v>
      </c>
      <c r="AA175" s="208">
        <f t="shared" ref="AA175:AA195" si="82">F175*N175</f>
        <v>0</v>
      </c>
      <c r="AB175" s="208">
        <f t="shared" si="67"/>
        <v>0</v>
      </c>
      <c r="AC175" s="208">
        <f t="shared" si="68"/>
        <v>0</v>
      </c>
      <c r="AD175" s="208">
        <f t="shared" si="69"/>
        <v>0</v>
      </c>
      <c r="AE175" s="209">
        <f t="shared" si="70"/>
        <v>2122.5660000000003</v>
      </c>
      <c r="AF175" s="210">
        <f t="shared" si="71"/>
        <v>0</v>
      </c>
    </row>
    <row r="176" spans="2:32" s="167" customFormat="1" hidden="1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/>
      <c r="P176" s="207"/>
      <c r="Q176" s="207"/>
      <c r="R176" s="206">
        <f t="shared" si="65"/>
        <v>11.01</v>
      </c>
      <c r="S176" s="206">
        <f t="shared" si="76"/>
        <v>0</v>
      </c>
      <c r="T176" s="206">
        <f t="shared" si="77"/>
        <v>433.46369999999996</v>
      </c>
      <c r="U176" s="208">
        <f t="shared" si="78"/>
        <v>0</v>
      </c>
      <c r="V176" s="208">
        <f t="shared" si="79"/>
        <v>433.46369999999996</v>
      </c>
      <c r="W176" s="208">
        <f t="shared" si="72"/>
        <v>0</v>
      </c>
      <c r="X176" s="208">
        <f t="shared" si="80"/>
        <v>0</v>
      </c>
      <c r="Y176" s="208">
        <f t="shared" si="81"/>
        <v>0</v>
      </c>
      <c r="Z176" s="208">
        <f t="shared" si="75"/>
        <v>0</v>
      </c>
      <c r="AA176" s="208">
        <f t="shared" si="82"/>
        <v>0</v>
      </c>
      <c r="AB176" s="208">
        <f t="shared" si="67"/>
        <v>0</v>
      </c>
      <c r="AC176" s="208">
        <f t="shared" si="68"/>
        <v>0</v>
      </c>
      <c r="AD176" s="208">
        <f t="shared" si="69"/>
        <v>0</v>
      </c>
      <c r="AE176" s="209">
        <f t="shared" si="70"/>
        <v>433.46369999999996</v>
      </c>
      <c r="AF176" s="210">
        <f t="shared" si="71"/>
        <v>0</v>
      </c>
    </row>
    <row r="177" spans="2:32" s="168" customFormat="1" ht="22.5" hidden="1" x14ac:dyDescent="0.25">
      <c r="B177" s="203" t="s">
        <v>478</v>
      </c>
      <c r="C177" s="211">
        <v>93205</v>
      </c>
      <c r="D177" s="205" t="s">
        <v>480</v>
      </c>
      <c r="E177" s="217" t="s">
        <v>37</v>
      </c>
      <c r="F177" s="206">
        <v>39.79</v>
      </c>
      <c r="G177" s="206">
        <v>244.5</v>
      </c>
      <c r="H177" s="207"/>
      <c r="I177" s="207"/>
      <c r="J177" s="29">
        <f>'MEMORIAL DE CALCULO 03'!K524</f>
        <v>67.27</v>
      </c>
      <c r="K177" s="207">
        <f>'MEMORIAL DE CALCULO 04'!K617</f>
        <v>42.8</v>
      </c>
      <c r="L177" s="207">
        <f>'MEMORIAL DE CALCULO 05'!K622</f>
        <v>134.43</v>
      </c>
      <c r="M177" s="207"/>
      <c r="N177" s="206"/>
      <c r="O177" s="206"/>
      <c r="P177" s="207"/>
      <c r="Q177" s="207"/>
      <c r="R177" s="206">
        <f t="shared" si="65"/>
        <v>244.5</v>
      </c>
      <c r="S177" s="206">
        <f t="shared" si="76"/>
        <v>0</v>
      </c>
      <c r="T177" s="206">
        <f t="shared" si="77"/>
        <v>9728.6550000000007</v>
      </c>
      <c r="U177" s="208">
        <f t="shared" si="78"/>
        <v>0</v>
      </c>
      <c r="V177" s="208">
        <f t="shared" si="79"/>
        <v>0</v>
      </c>
      <c r="W177" s="208">
        <f t="shared" si="72"/>
        <v>2676.6732999999999</v>
      </c>
      <c r="X177" s="208">
        <f t="shared" si="80"/>
        <v>1703.01</v>
      </c>
      <c r="Y177" s="208">
        <f t="shared" si="81"/>
        <v>5348.96</v>
      </c>
      <c r="Z177" s="208">
        <f t="shared" si="75"/>
        <v>0</v>
      </c>
      <c r="AA177" s="208">
        <f t="shared" si="82"/>
        <v>0</v>
      </c>
      <c r="AB177" s="208">
        <f t="shared" si="67"/>
        <v>0</v>
      </c>
      <c r="AC177" s="208">
        <f t="shared" si="68"/>
        <v>0</v>
      </c>
      <c r="AD177" s="208">
        <f t="shared" si="69"/>
        <v>0</v>
      </c>
      <c r="AE177" s="209">
        <f t="shared" si="70"/>
        <v>9728.6432999999997</v>
      </c>
      <c r="AF177" s="210">
        <f t="shared" si="71"/>
        <v>1.1700000000928412E-2</v>
      </c>
    </row>
    <row r="178" spans="2:32" s="167" customFormat="1" ht="22.5" hidden="1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/>
      <c r="P178" s="207"/>
      <c r="Q178" s="207"/>
      <c r="R178" s="206">
        <f t="shared" si="65"/>
        <v>15.48</v>
      </c>
      <c r="S178" s="206">
        <f t="shared" si="76"/>
        <v>0</v>
      </c>
      <c r="T178" s="206">
        <f t="shared" si="77"/>
        <v>76.006799999999998</v>
      </c>
      <c r="U178" s="208">
        <f t="shared" si="78"/>
        <v>61.866</v>
      </c>
      <c r="V178" s="208">
        <f t="shared" si="79"/>
        <v>14.1408</v>
      </c>
      <c r="W178" s="208">
        <f t="shared" si="72"/>
        <v>0</v>
      </c>
      <c r="X178" s="208">
        <f t="shared" si="80"/>
        <v>0</v>
      </c>
      <c r="Y178" s="208">
        <f t="shared" si="81"/>
        <v>0</v>
      </c>
      <c r="Z178" s="208">
        <f t="shared" si="75"/>
        <v>0</v>
      </c>
      <c r="AA178" s="208">
        <f t="shared" si="82"/>
        <v>0</v>
      </c>
      <c r="AB178" s="208">
        <f t="shared" si="67"/>
        <v>0</v>
      </c>
      <c r="AC178" s="208">
        <f t="shared" si="68"/>
        <v>0</v>
      </c>
      <c r="AD178" s="208">
        <f t="shared" si="69"/>
        <v>0</v>
      </c>
      <c r="AE178" s="209">
        <f t="shared" si="70"/>
        <v>76.006799999999998</v>
      </c>
      <c r="AF178" s="210">
        <f t="shared" si="71"/>
        <v>0</v>
      </c>
    </row>
    <row r="179" spans="2:32" s="167" customFormat="1" ht="33.75" hidden="1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/>
      <c r="P179" s="207"/>
      <c r="Q179" s="207"/>
      <c r="R179" s="206">
        <f t="shared" si="65"/>
        <v>15.48</v>
      </c>
      <c r="S179" s="206">
        <f t="shared" si="76"/>
        <v>0</v>
      </c>
      <c r="T179" s="206">
        <f t="shared" si="77"/>
        <v>474.77160000000003</v>
      </c>
      <c r="U179" s="208">
        <f t="shared" si="78"/>
        <v>386.44200000000001</v>
      </c>
      <c r="V179" s="208">
        <f t="shared" si="79"/>
        <v>88.329599999999999</v>
      </c>
      <c r="W179" s="208">
        <f t="shared" si="72"/>
        <v>0</v>
      </c>
      <c r="X179" s="208">
        <f t="shared" si="80"/>
        <v>0</v>
      </c>
      <c r="Y179" s="208">
        <f t="shared" si="81"/>
        <v>0</v>
      </c>
      <c r="Z179" s="208">
        <f t="shared" si="75"/>
        <v>0</v>
      </c>
      <c r="AA179" s="208">
        <f t="shared" si="82"/>
        <v>0</v>
      </c>
      <c r="AB179" s="208">
        <f t="shared" si="67"/>
        <v>0</v>
      </c>
      <c r="AC179" s="208">
        <f t="shared" si="68"/>
        <v>0</v>
      </c>
      <c r="AD179" s="208">
        <f t="shared" si="69"/>
        <v>0</v>
      </c>
      <c r="AE179" s="209">
        <f t="shared" si="70"/>
        <v>474.77160000000003</v>
      </c>
      <c r="AF179" s="210">
        <f t="shared" si="71"/>
        <v>0</v>
      </c>
    </row>
    <row r="180" spans="2:32" s="167" customFormat="1" ht="22.5" hidden="1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16"/>
      <c r="P180" s="216"/>
      <c r="Q180" s="216"/>
      <c r="R180" s="206">
        <f t="shared" si="65"/>
        <v>167.13</v>
      </c>
      <c r="S180" s="206">
        <f t="shared" si="76"/>
        <v>0</v>
      </c>
      <c r="T180" s="206">
        <f t="shared" si="77"/>
        <v>2672.4087</v>
      </c>
      <c r="U180" s="208">
        <f t="shared" si="78"/>
        <v>2137.8629999999998</v>
      </c>
      <c r="V180" s="208">
        <f t="shared" si="79"/>
        <v>534.54570000000001</v>
      </c>
      <c r="W180" s="208">
        <f t="shared" si="72"/>
        <v>0</v>
      </c>
      <c r="X180" s="208">
        <f t="shared" si="80"/>
        <v>0</v>
      </c>
      <c r="Y180" s="208">
        <f t="shared" si="81"/>
        <v>0</v>
      </c>
      <c r="Z180" s="208">
        <f t="shared" si="75"/>
        <v>0</v>
      </c>
      <c r="AA180" s="208">
        <f t="shared" si="82"/>
        <v>0</v>
      </c>
      <c r="AB180" s="208">
        <f t="shared" si="67"/>
        <v>0</v>
      </c>
      <c r="AC180" s="208">
        <f t="shared" si="68"/>
        <v>0</v>
      </c>
      <c r="AD180" s="208">
        <f t="shared" si="69"/>
        <v>0</v>
      </c>
      <c r="AE180" s="209">
        <f t="shared" si="70"/>
        <v>2672.4087</v>
      </c>
      <c r="AF180" s="210">
        <f t="shared" si="71"/>
        <v>0</v>
      </c>
    </row>
    <row r="181" spans="2:32" s="169" customFormat="1" ht="33.75" x14ac:dyDescent="0.25">
      <c r="B181" s="628" t="s">
        <v>484</v>
      </c>
      <c r="C181" s="635">
        <v>94966</v>
      </c>
      <c r="D181" s="637" t="s">
        <v>65</v>
      </c>
      <c r="E181" s="640" t="s">
        <v>41</v>
      </c>
      <c r="F181" s="640">
        <v>530.88</v>
      </c>
      <c r="G181" s="630">
        <v>15.03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43"/>
      <c r="P181" s="343"/>
      <c r="Q181" s="641">
        <v>5.14</v>
      </c>
      <c r="R181" s="630">
        <f t="shared" si="65"/>
        <v>15.030010000000001</v>
      </c>
      <c r="S181" s="630">
        <f t="shared" si="76"/>
        <v>-1.000000000139778E-5</v>
      </c>
      <c r="T181" s="630">
        <f t="shared" si="77"/>
        <v>7979.1263999999992</v>
      </c>
      <c r="U181" s="339">
        <f t="shared" si="78"/>
        <v>2415.5040000000004</v>
      </c>
      <c r="V181" s="339">
        <f t="shared" si="79"/>
        <v>552.11519999999996</v>
      </c>
      <c r="W181" s="339">
        <f t="shared" si="72"/>
        <v>806.5128960000003</v>
      </c>
      <c r="X181" s="339">
        <f t="shared" si="80"/>
        <v>1255.6300000000001</v>
      </c>
      <c r="Y181" s="339">
        <f t="shared" si="81"/>
        <v>220.63</v>
      </c>
      <c r="Z181" s="339">
        <f t="shared" si="75"/>
        <v>0</v>
      </c>
      <c r="AA181" s="339">
        <f t="shared" si="82"/>
        <v>0</v>
      </c>
      <c r="AB181" s="339">
        <f t="shared" si="67"/>
        <v>0</v>
      </c>
      <c r="AC181" s="339">
        <f t="shared" si="68"/>
        <v>0</v>
      </c>
      <c r="AD181" s="632">
        <f t="shared" si="69"/>
        <v>2728.72</v>
      </c>
      <c r="AE181" s="633">
        <f t="shared" si="70"/>
        <v>7979.1120960000007</v>
      </c>
      <c r="AF181" s="634">
        <f>T181-AE181</f>
        <v>1.430399999844667E-2</v>
      </c>
    </row>
    <row r="182" spans="2:32" s="167" customFormat="1" ht="41.45" hidden="1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/>
      <c r="P182" s="207"/>
      <c r="Q182" s="207"/>
      <c r="R182" s="206">
        <f t="shared" si="65"/>
        <v>11.780000000000001</v>
      </c>
      <c r="S182" s="206">
        <f t="shared" si="76"/>
        <v>0</v>
      </c>
      <c r="T182" s="206">
        <f t="shared" si="77"/>
        <v>5850.1835999999994</v>
      </c>
      <c r="U182" s="208">
        <f t="shared" si="78"/>
        <v>446.95800000000003</v>
      </c>
      <c r="V182" s="208">
        <f t="shared" si="79"/>
        <v>5403.2256000000007</v>
      </c>
      <c r="W182" s="208">
        <f t="shared" si="72"/>
        <v>0</v>
      </c>
      <c r="X182" s="208">
        <f t="shared" si="80"/>
        <v>0</v>
      </c>
      <c r="Y182" s="208">
        <f t="shared" si="81"/>
        <v>0</v>
      </c>
      <c r="Z182" s="208">
        <f t="shared" si="75"/>
        <v>0</v>
      </c>
      <c r="AA182" s="208">
        <f t="shared" si="82"/>
        <v>0</v>
      </c>
      <c r="AB182" s="208">
        <f t="shared" si="67"/>
        <v>0</v>
      </c>
      <c r="AC182" s="208">
        <f t="shared" si="68"/>
        <v>0</v>
      </c>
      <c r="AD182" s="208">
        <f t="shared" si="69"/>
        <v>0</v>
      </c>
      <c r="AE182" s="209">
        <f t="shared" si="70"/>
        <v>5850.1836000000003</v>
      </c>
      <c r="AF182" s="210">
        <f t="shared" si="71"/>
        <v>0</v>
      </c>
    </row>
    <row r="183" spans="2:32" s="169" customFormat="1" ht="22.5" x14ac:dyDescent="0.25">
      <c r="B183" s="628" t="s">
        <v>488</v>
      </c>
      <c r="C183" s="635">
        <v>103670</v>
      </c>
      <c r="D183" s="636" t="s">
        <v>71</v>
      </c>
      <c r="E183" s="640" t="s">
        <v>41</v>
      </c>
      <c r="F183" s="630">
        <v>230.55</v>
      </c>
      <c r="G183" s="630">
        <v>15.03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/>
      <c r="P183" s="337"/>
      <c r="Q183" s="631">
        <v>5.14</v>
      </c>
      <c r="R183" s="630">
        <f t="shared" si="65"/>
        <v>15.03003</v>
      </c>
      <c r="S183" s="630">
        <f t="shared" si="76"/>
        <v>-3.0000000000640625E-5</v>
      </c>
      <c r="T183" s="630">
        <f t="shared" si="77"/>
        <v>3465.1664999999998</v>
      </c>
      <c r="U183" s="339">
        <f t="shared" si="78"/>
        <v>1049.0025000000003</v>
      </c>
      <c r="V183" s="339">
        <f t="shared" si="79"/>
        <v>239.77200000000002</v>
      </c>
      <c r="W183" s="339">
        <f t="shared" si="72"/>
        <v>350.25156000000015</v>
      </c>
      <c r="X183" s="339">
        <f t="shared" si="80"/>
        <v>545.29</v>
      </c>
      <c r="Y183" s="339">
        <f t="shared" si="81"/>
        <v>95.82</v>
      </c>
      <c r="Z183" s="339">
        <f t="shared" si="75"/>
        <v>0</v>
      </c>
      <c r="AA183" s="339">
        <f t="shared" si="82"/>
        <v>0</v>
      </c>
      <c r="AB183" s="339">
        <f t="shared" si="67"/>
        <v>0</v>
      </c>
      <c r="AC183" s="339">
        <f t="shared" si="68"/>
        <v>0</v>
      </c>
      <c r="AD183" s="632">
        <f t="shared" si="69"/>
        <v>1185.02</v>
      </c>
      <c r="AE183" s="633">
        <f t="shared" si="70"/>
        <v>3465.1560600000003</v>
      </c>
      <c r="AF183" s="634">
        <f t="shared" si="71"/>
        <v>1.0439999999562133E-2</v>
      </c>
    </row>
    <row r="184" spans="2:32" s="169" customFormat="1" ht="22.5" x14ac:dyDescent="0.25">
      <c r="B184" s="628" t="s">
        <v>489</v>
      </c>
      <c r="C184" s="635">
        <v>96543</v>
      </c>
      <c r="D184" s="636" t="s">
        <v>74</v>
      </c>
      <c r="E184" s="640" t="s">
        <v>62</v>
      </c>
      <c r="F184" s="630">
        <v>17.5</v>
      </c>
      <c r="G184" s="630">
        <v>219.15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/>
      <c r="P184" s="337"/>
      <c r="Q184" s="631">
        <v>57.13</v>
      </c>
      <c r="R184" s="630">
        <f t="shared" si="65"/>
        <v>219.15085199999996</v>
      </c>
      <c r="S184" s="630">
        <f t="shared" si="76"/>
        <v>-8.5199999995211328E-4</v>
      </c>
      <c r="T184" s="630">
        <f t="shared" si="77"/>
        <v>3835.125</v>
      </c>
      <c r="U184" s="339">
        <f t="shared" si="78"/>
        <v>737.62149999999986</v>
      </c>
      <c r="V184" s="339">
        <f t="shared" si="79"/>
        <v>168.59919999999997</v>
      </c>
      <c r="W184" s="339">
        <f t="shared" si="72"/>
        <v>696.02148000000011</v>
      </c>
      <c r="X184" s="339">
        <f t="shared" si="80"/>
        <v>1085.44</v>
      </c>
      <c r="Y184" s="339">
        <f t="shared" si="81"/>
        <v>147.66999999999999</v>
      </c>
      <c r="Z184" s="339">
        <f t="shared" si="75"/>
        <v>0</v>
      </c>
      <c r="AA184" s="339">
        <f t="shared" si="82"/>
        <v>0</v>
      </c>
      <c r="AB184" s="339">
        <f t="shared" si="67"/>
        <v>0</v>
      </c>
      <c r="AC184" s="339">
        <f t="shared" si="68"/>
        <v>0</v>
      </c>
      <c r="AD184" s="632">
        <f t="shared" si="69"/>
        <v>999.77</v>
      </c>
      <c r="AE184" s="633">
        <f t="shared" si="70"/>
        <v>3835.1221799999998</v>
      </c>
      <c r="AF184" s="634">
        <f t="shared" si="71"/>
        <v>2.8200000001561421E-3</v>
      </c>
    </row>
    <row r="185" spans="2:32" s="169" customFormat="1" ht="22.5" x14ac:dyDescent="0.25">
      <c r="B185" s="628" t="s">
        <v>490</v>
      </c>
      <c r="C185" s="635">
        <v>96546</v>
      </c>
      <c r="D185" s="637" t="s">
        <v>80</v>
      </c>
      <c r="E185" s="640" t="s">
        <v>62</v>
      </c>
      <c r="F185" s="640">
        <v>14.35</v>
      </c>
      <c r="G185" s="630">
        <v>421.51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43"/>
      <c r="P185" s="343"/>
      <c r="Q185" s="641">
        <v>43.7</v>
      </c>
      <c r="R185" s="630">
        <f t="shared" si="65"/>
        <v>421.49687999999992</v>
      </c>
      <c r="S185" s="630">
        <f t="shared" si="76"/>
        <v>1.3120000000071741E-2</v>
      </c>
      <c r="T185" s="630">
        <f t="shared" si="77"/>
        <v>6048.6684999999998</v>
      </c>
      <c r="U185" s="339">
        <f t="shared" si="78"/>
        <v>1425.48595</v>
      </c>
      <c r="V185" s="339">
        <f t="shared" si="79"/>
        <v>325.82535999999993</v>
      </c>
      <c r="W185" s="339">
        <f t="shared" si="72"/>
        <v>1345.0920839999997</v>
      </c>
      <c r="X185" s="339">
        <f t="shared" si="80"/>
        <v>2097.67</v>
      </c>
      <c r="Y185" s="339">
        <f t="shared" si="81"/>
        <v>227.3</v>
      </c>
      <c r="Z185" s="339">
        <f t="shared" si="75"/>
        <v>0</v>
      </c>
      <c r="AA185" s="339">
        <f t="shared" si="82"/>
        <v>0</v>
      </c>
      <c r="AB185" s="339">
        <f t="shared" si="67"/>
        <v>0</v>
      </c>
      <c r="AC185" s="339">
        <f t="shared" si="68"/>
        <v>0</v>
      </c>
      <c r="AD185" s="632">
        <f t="shared" si="69"/>
        <v>627.09</v>
      </c>
      <c r="AE185" s="633">
        <f t="shared" si="70"/>
        <v>6048.4633940000003</v>
      </c>
      <c r="AF185" s="634">
        <f t="shared" si="71"/>
        <v>0.20510599999943224</v>
      </c>
    </row>
    <row r="186" spans="2:32" s="169" customFormat="1" ht="33.75" x14ac:dyDescent="0.25">
      <c r="B186" s="628" t="s">
        <v>491</v>
      </c>
      <c r="C186" s="635">
        <v>96536</v>
      </c>
      <c r="D186" s="636" t="s">
        <v>86</v>
      </c>
      <c r="E186" s="640" t="s">
        <v>17</v>
      </c>
      <c r="F186" s="630">
        <v>69.64</v>
      </c>
      <c r="G186" s="630">
        <v>162.43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/>
      <c r="P186" s="337"/>
      <c r="Q186" s="631">
        <v>12.832000000000022</v>
      </c>
      <c r="R186" s="630">
        <f t="shared" si="65"/>
        <v>162.43000000000004</v>
      </c>
      <c r="S186" s="630">
        <f t="shared" si="76"/>
        <v>0</v>
      </c>
      <c r="T186" s="630">
        <f t="shared" si="77"/>
        <v>11311.6252</v>
      </c>
      <c r="U186" s="339">
        <f t="shared" si="78"/>
        <v>3704.8480000000004</v>
      </c>
      <c r="V186" s="339">
        <f t="shared" si="79"/>
        <v>846.82240000000002</v>
      </c>
      <c r="W186" s="339">
        <f t="shared" si="72"/>
        <v>2115.9417599999997</v>
      </c>
      <c r="X186" s="339">
        <f t="shared" si="80"/>
        <v>3294.25</v>
      </c>
      <c r="Y186" s="339">
        <f t="shared" si="81"/>
        <v>456.14</v>
      </c>
      <c r="Z186" s="339">
        <f t="shared" si="75"/>
        <v>0</v>
      </c>
      <c r="AA186" s="339">
        <f t="shared" si="82"/>
        <v>0</v>
      </c>
      <c r="AB186" s="339">
        <f t="shared" si="67"/>
        <v>0</v>
      </c>
      <c r="AC186" s="339">
        <f t="shared" si="68"/>
        <v>0</v>
      </c>
      <c r="AD186" s="632">
        <f t="shared" si="69"/>
        <v>893.62</v>
      </c>
      <c r="AE186" s="633">
        <f t="shared" si="70"/>
        <v>11311.622160000001</v>
      </c>
      <c r="AF186" s="634">
        <f t="shared" si="71"/>
        <v>3.0399999996006954E-3</v>
      </c>
    </row>
    <row r="187" spans="2:32" s="169" customFormat="1" ht="22.5" hidden="1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/>
      <c r="P187" s="207"/>
      <c r="Q187" s="207"/>
      <c r="R187" s="206">
        <f t="shared" si="65"/>
        <v>65.435000000000002</v>
      </c>
      <c r="S187" s="206">
        <f t="shared" si="76"/>
        <v>-4.9999999999954525E-3</v>
      </c>
      <c r="T187" s="206">
        <f t="shared" si="77"/>
        <v>3155.0346000000004</v>
      </c>
      <c r="U187" s="208">
        <f t="shared" si="78"/>
        <v>0</v>
      </c>
      <c r="V187" s="208">
        <f t="shared" si="79"/>
        <v>0</v>
      </c>
      <c r="W187" s="208">
        <f t="shared" ref="W187:W195" si="83">F187*J187</f>
        <v>1621.8797</v>
      </c>
      <c r="X187" s="208">
        <f t="shared" si="80"/>
        <v>1533.39</v>
      </c>
      <c r="Y187" s="208">
        <f t="shared" si="81"/>
        <v>0</v>
      </c>
      <c r="Z187" s="208">
        <f t="shared" si="75"/>
        <v>0</v>
      </c>
      <c r="AA187" s="208">
        <f t="shared" si="82"/>
        <v>0</v>
      </c>
      <c r="AB187" s="208">
        <f t="shared" si="67"/>
        <v>0</v>
      </c>
      <c r="AC187" s="208">
        <f t="shared" si="68"/>
        <v>0</v>
      </c>
      <c r="AD187" s="208">
        <f t="shared" si="69"/>
        <v>0</v>
      </c>
      <c r="AE187" s="209">
        <f t="shared" si="70"/>
        <v>3155.2696999999998</v>
      </c>
      <c r="AF187" s="210">
        <f t="shared" si="71"/>
        <v>-0.23509999999942011</v>
      </c>
    </row>
    <row r="188" spans="2:32" s="169" customFormat="1" ht="45" hidden="1" x14ac:dyDescent="0.25">
      <c r="B188" s="203" t="s">
        <v>493</v>
      </c>
      <c r="C188" s="211">
        <v>103356</v>
      </c>
      <c r="D188" s="205" t="s">
        <v>137</v>
      </c>
      <c r="E188" s="217" t="s">
        <v>17</v>
      </c>
      <c r="F188" s="206">
        <v>46.86</v>
      </c>
      <c r="G188" s="206">
        <v>405.64</v>
      </c>
      <c r="H188" s="207"/>
      <c r="I188" s="207"/>
      <c r="J188" s="29">
        <f>'MEMORIAL DE CALCULO 03'!K581</f>
        <v>208.53700000000003</v>
      </c>
      <c r="K188" s="207">
        <f>'MEMORIAL DE CALCULO 04'!K703</f>
        <v>177.38200000000001</v>
      </c>
      <c r="L188" s="207">
        <f>'MEMORIAL DE CALCULO 05'!K642</f>
        <v>19.721239000000001</v>
      </c>
      <c r="M188" s="207"/>
      <c r="N188" s="206"/>
      <c r="O188" s="206"/>
      <c r="P188" s="207"/>
      <c r="Q188" s="207"/>
      <c r="R188" s="206">
        <f t="shared" si="65"/>
        <v>405.64023900000007</v>
      </c>
      <c r="S188" s="206">
        <f t="shared" si="76"/>
        <v>-2.3900000007870403E-4</v>
      </c>
      <c r="T188" s="206">
        <f t="shared" si="77"/>
        <v>19008.290399999998</v>
      </c>
      <c r="U188" s="208">
        <f t="shared" si="78"/>
        <v>0</v>
      </c>
      <c r="V188" s="208">
        <f t="shared" si="79"/>
        <v>0</v>
      </c>
      <c r="W188" s="208">
        <f t="shared" si="83"/>
        <v>9772.0438200000008</v>
      </c>
      <c r="X188" s="208">
        <f t="shared" si="80"/>
        <v>8312.1200000000008</v>
      </c>
      <c r="Y188" s="208">
        <f t="shared" si="81"/>
        <v>924.13</v>
      </c>
      <c r="Z188" s="208">
        <f t="shared" si="75"/>
        <v>0</v>
      </c>
      <c r="AA188" s="208">
        <f t="shared" si="82"/>
        <v>0</v>
      </c>
      <c r="AB188" s="208">
        <f t="shared" si="67"/>
        <v>0</v>
      </c>
      <c r="AC188" s="208">
        <f t="shared" si="68"/>
        <v>0</v>
      </c>
      <c r="AD188" s="208">
        <f t="shared" si="69"/>
        <v>0</v>
      </c>
      <c r="AE188" s="209">
        <f t="shared" si="70"/>
        <v>19008.293820000003</v>
      </c>
      <c r="AF188" s="210">
        <f t="shared" si="71"/>
        <v>-3.4200000045530032E-3</v>
      </c>
    </row>
    <row r="189" spans="2:32" s="169" customFormat="1" ht="45" x14ac:dyDescent="0.25">
      <c r="B189" s="628" t="s">
        <v>494</v>
      </c>
      <c r="C189" s="635">
        <v>87893</v>
      </c>
      <c r="D189" s="636" t="s">
        <v>151</v>
      </c>
      <c r="E189" s="640" t="s">
        <v>17</v>
      </c>
      <c r="F189" s="630">
        <v>6.08</v>
      </c>
      <c r="G189" s="630">
        <v>883.13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/>
      <c r="P189" s="337"/>
      <c r="Q189" s="631">
        <v>71.859750000000076</v>
      </c>
      <c r="R189" s="630">
        <f t="shared" si="65"/>
        <v>883.12975000000017</v>
      </c>
      <c r="S189" s="630">
        <f t="shared" si="76"/>
        <v>2.4999999982355803E-4</v>
      </c>
      <c r="T189" s="630">
        <f t="shared" si="77"/>
        <v>5369.4304000000002</v>
      </c>
      <c r="U189" s="339">
        <f t="shared" si="78"/>
        <v>0</v>
      </c>
      <c r="V189" s="339">
        <f t="shared" si="79"/>
        <v>0</v>
      </c>
      <c r="W189" s="339">
        <f t="shared" si="83"/>
        <v>0</v>
      </c>
      <c r="X189" s="339">
        <f t="shared" si="80"/>
        <v>757.12</v>
      </c>
      <c r="Y189" s="339">
        <f t="shared" si="81"/>
        <v>4175.3900000000003</v>
      </c>
      <c r="Z189" s="339">
        <f t="shared" si="75"/>
        <v>0</v>
      </c>
      <c r="AA189" s="339">
        <f t="shared" si="82"/>
        <v>0</v>
      </c>
      <c r="AB189" s="339">
        <f t="shared" si="67"/>
        <v>0</v>
      </c>
      <c r="AC189" s="339">
        <f t="shared" si="68"/>
        <v>0</v>
      </c>
      <c r="AD189" s="632">
        <f t="shared" si="69"/>
        <v>436.9</v>
      </c>
      <c r="AE189" s="633">
        <f t="shared" si="70"/>
        <v>5369.41</v>
      </c>
      <c r="AF189" s="634">
        <f t="shared" si="71"/>
        <v>2.0400000000336149E-2</v>
      </c>
    </row>
    <row r="190" spans="2:32" s="169" customFormat="1" ht="45" x14ac:dyDescent="0.25">
      <c r="B190" s="628" t="s">
        <v>495</v>
      </c>
      <c r="C190" s="635">
        <v>87548</v>
      </c>
      <c r="D190" s="636" t="s">
        <v>154</v>
      </c>
      <c r="E190" s="640" t="s">
        <v>17</v>
      </c>
      <c r="F190" s="630">
        <v>22.4</v>
      </c>
      <c r="G190" s="630">
        <v>883.13</v>
      </c>
      <c r="H190" s="337"/>
      <c r="I190" s="337"/>
      <c r="J190" s="338"/>
      <c r="K190" s="337"/>
      <c r="L190" s="337">
        <f>'MEMORIAL DE CALCULO 05'!K646</f>
        <v>405.66600000000005</v>
      </c>
      <c r="M190" s="337">
        <f>'MEMORIAL DE CALCULO 06'!K420</f>
        <v>405.60400000000004</v>
      </c>
      <c r="N190" s="336"/>
      <c r="O190" s="336"/>
      <c r="P190" s="337"/>
      <c r="Q190" s="631">
        <v>71.859750000000076</v>
      </c>
      <c r="R190" s="630">
        <f t="shared" si="65"/>
        <v>883.12975000000017</v>
      </c>
      <c r="S190" s="630">
        <f t="shared" si="76"/>
        <v>2.4999999982355803E-4</v>
      </c>
      <c r="T190" s="630">
        <f t="shared" si="77"/>
        <v>19782.111999999997</v>
      </c>
      <c r="U190" s="339">
        <f t="shared" si="78"/>
        <v>0</v>
      </c>
      <c r="V190" s="339">
        <f t="shared" si="79"/>
        <v>0</v>
      </c>
      <c r="W190" s="339">
        <f t="shared" si="83"/>
        <v>0</v>
      </c>
      <c r="X190" s="339">
        <f t="shared" si="80"/>
        <v>0</v>
      </c>
      <c r="Y190" s="339">
        <f t="shared" si="81"/>
        <v>9086.91</v>
      </c>
      <c r="Z190" s="339">
        <f t="shared" si="75"/>
        <v>9085.5295999999998</v>
      </c>
      <c r="AA190" s="339">
        <f t="shared" si="82"/>
        <v>0</v>
      </c>
      <c r="AB190" s="339">
        <f t="shared" si="67"/>
        <v>0</v>
      </c>
      <c r="AC190" s="339">
        <f t="shared" si="68"/>
        <v>0</v>
      </c>
      <c r="AD190" s="632">
        <f t="shared" si="69"/>
        <v>1609.65</v>
      </c>
      <c r="AE190" s="633">
        <f t="shared" si="70"/>
        <v>19782.089599999999</v>
      </c>
      <c r="AF190" s="634">
        <f t="shared" si="71"/>
        <v>2.2399999998015119E-2</v>
      </c>
    </row>
    <row r="191" spans="2:32" s="167" customFormat="1" ht="22.5" hidden="1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883.13</v>
      </c>
      <c r="H191" s="207"/>
      <c r="I191" s="207"/>
      <c r="J191" s="29"/>
      <c r="K191" s="207"/>
      <c r="L191" s="207"/>
      <c r="M191" s="207"/>
      <c r="N191" s="206"/>
      <c r="O191" s="206"/>
      <c r="P191" s="207"/>
      <c r="Q191" s="207"/>
      <c r="R191" s="206">
        <f t="shared" si="65"/>
        <v>0</v>
      </c>
      <c r="S191" s="206">
        <f t="shared" si="76"/>
        <v>883.13</v>
      </c>
      <c r="T191" s="206">
        <f t="shared" si="77"/>
        <v>10738.8608</v>
      </c>
      <c r="U191" s="208">
        <f t="shared" si="78"/>
        <v>0</v>
      </c>
      <c r="V191" s="208">
        <f t="shared" si="79"/>
        <v>0</v>
      </c>
      <c r="W191" s="208">
        <f t="shared" si="83"/>
        <v>0</v>
      </c>
      <c r="X191" s="208">
        <f t="shared" si="80"/>
        <v>0</v>
      </c>
      <c r="Y191" s="208">
        <f t="shared" si="81"/>
        <v>0</v>
      </c>
      <c r="Z191" s="208">
        <f t="shared" si="75"/>
        <v>0</v>
      </c>
      <c r="AA191" s="208">
        <f t="shared" si="82"/>
        <v>0</v>
      </c>
      <c r="AB191" s="208">
        <f t="shared" si="67"/>
        <v>0</v>
      </c>
      <c r="AC191" s="208">
        <f t="shared" si="68"/>
        <v>0</v>
      </c>
      <c r="AD191" s="208">
        <f t="shared" si="69"/>
        <v>0</v>
      </c>
      <c r="AE191" s="209">
        <f t="shared" si="70"/>
        <v>0</v>
      </c>
      <c r="AF191" s="210">
        <f t="shared" si="71"/>
        <v>10738.8608</v>
      </c>
    </row>
    <row r="192" spans="2:32" s="167" customFormat="1" ht="22.5" hidden="1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883.13</v>
      </c>
      <c r="H192" s="207"/>
      <c r="I192" s="207"/>
      <c r="J192" s="29"/>
      <c r="K192" s="207"/>
      <c r="L192" s="207"/>
      <c r="M192" s="207"/>
      <c r="N192" s="206"/>
      <c r="O192" s="206"/>
      <c r="P192" s="207"/>
      <c r="Q192" s="207"/>
      <c r="R192" s="206">
        <f t="shared" si="65"/>
        <v>0</v>
      </c>
      <c r="S192" s="206">
        <f t="shared" si="76"/>
        <v>883.13</v>
      </c>
      <c r="T192" s="206">
        <f t="shared" si="77"/>
        <v>9670.2734999999993</v>
      </c>
      <c r="U192" s="208">
        <f t="shared" si="78"/>
        <v>0</v>
      </c>
      <c r="V192" s="208">
        <f t="shared" si="79"/>
        <v>0</v>
      </c>
      <c r="W192" s="208">
        <f t="shared" si="83"/>
        <v>0</v>
      </c>
      <c r="X192" s="208">
        <f t="shared" si="80"/>
        <v>0</v>
      </c>
      <c r="Y192" s="208">
        <f t="shared" si="81"/>
        <v>0</v>
      </c>
      <c r="Z192" s="208">
        <f t="shared" si="75"/>
        <v>0</v>
      </c>
      <c r="AA192" s="208">
        <f t="shared" si="82"/>
        <v>0</v>
      </c>
      <c r="AB192" s="208">
        <f t="shared" si="67"/>
        <v>0</v>
      </c>
      <c r="AC192" s="208">
        <f t="shared" si="68"/>
        <v>0</v>
      </c>
      <c r="AD192" s="208">
        <f t="shared" si="69"/>
        <v>0</v>
      </c>
      <c r="AE192" s="209">
        <f t="shared" si="70"/>
        <v>0</v>
      </c>
      <c r="AF192" s="210">
        <f t="shared" si="71"/>
        <v>9670.2734999999993</v>
      </c>
    </row>
    <row r="193" spans="2:32" s="167" customFormat="1" ht="14.45" hidden="1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/>
      <c r="P193" s="207"/>
      <c r="Q193" s="207"/>
      <c r="R193" s="206">
        <f t="shared" si="65"/>
        <v>0</v>
      </c>
      <c r="S193" s="206"/>
      <c r="T193" s="206"/>
      <c r="U193" s="208">
        <f t="shared" si="78"/>
        <v>0</v>
      </c>
      <c r="V193" s="208">
        <f t="shared" si="79"/>
        <v>0</v>
      </c>
      <c r="W193" s="208">
        <f t="shared" si="83"/>
        <v>0</v>
      </c>
      <c r="X193" s="208">
        <f t="shared" si="80"/>
        <v>0</v>
      </c>
      <c r="Y193" s="208">
        <f t="shared" si="81"/>
        <v>0</v>
      </c>
      <c r="Z193" s="208">
        <f t="shared" si="75"/>
        <v>0</v>
      </c>
      <c r="AA193" s="208">
        <f t="shared" si="82"/>
        <v>0</v>
      </c>
      <c r="AB193" s="208">
        <f t="shared" si="67"/>
        <v>0</v>
      </c>
      <c r="AC193" s="208">
        <f t="shared" si="68"/>
        <v>0</v>
      </c>
      <c r="AD193" s="208">
        <f t="shared" si="69"/>
        <v>0</v>
      </c>
      <c r="AE193" s="209">
        <f t="shared" si="70"/>
        <v>0</v>
      </c>
      <c r="AF193" s="210">
        <f t="shared" si="71"/>
        <v>0</v>
      </c>
    </row>
    <row r="194" spans="2:32" s="167" customFormat="1" ht="33.75" hidden="1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0</v>
      </c>
      <c r="H194" s="207"/>
      <c r="I194" s="207"/>
      <c r="J194" s="29"/>
      <c r="K194" s="207"/>
      <c r="L194" s="207"/>
      <c r="M194" s="207"/>
      <c r="N194" s="206"/>
      <c r="O194" s="206"/>
      <c r="P194" s="207"/>
      <c r="Q194" s="207"/>
      <c r="R194" s="206">
        <f t="shared" si="65"/>
        <v>0</v>
      </c>
      <c r="S194" s="206">
        <f>G194-R194</f>
        <v>0</v>
      </c>
      <c r="T194" s="206">
        <f>F194*G194</f>
        <v>0</v>
      </c>
      <c r="U194" s="208">
        <f t="shared" si="78"/>
        <v>0</v>
      </c>
      <c r="V194" s="208">
        <f t="shared" si="79"/>
        <v>0</v>
      </c>
      <c r="W194" s="208">
        <f t="shared" si="83"/>
        <v>0</v>
      </c>
      <c r="X194" s="208">
        <f t="shared" si="80"/>
        <v>0</v>
      </c>
      <c r="Y194" s="208">
        <f t="shared" si="81"/>
        <v>0</v>
      </c>
      <c r="Z194" s="208">
        <f t="shared" si="75"/>
        <v>0</v>
      </c>
      <c r="AA194" s="208">
        <f t="shared" si="82"/>
        <v>0</v>
      </c>
      <c r="AB194" s="208">
        <f t="shared" si="67"/>
        <v>0</v>
      </c>
      <c r="AC194" s="208">
        <f t="shared" si="68"/>
        <v>0</v>
      </c>
      <c r="AD194" s="208">
        <f t="shared" si="69"/>
        <v>0</v>
      </c>
      <c r="AE194" s="209">
        <f t="shared" si="70"/>
        <v>0</v>
      </c>
      <c r="AF194" s="210">
        <f t="shared" si="71"/>
        <v>0</v>
      </c>
    </row>
    <row r="195" spans="2:32" s="167" customFormat="1" ht="45.75" hidden="1" thickBot="1" x14ac:dyDescent="0.3">
      <c r="B195" s="203" t="s">
        <v>505</v>
      </c>
      <c r="C195" s="204" t="s">
        <v>506</v>
      </c>
      <c r="D195" s="438" t="s">
        <v>507</v>
      </c>
      <c r="E195" s="217" t="s">
        <v>166</v>
      </c>
      <c r="F195" s="206">
        <v>3733.15</v>
      </c>
      <c r="G195" s="226">
        <v>0</v>
      </c>
      <c r="H195" s="224"/>
      <c r="I195" s="224"/>
      <c r="J195" s="225"/>
      <c r="K195" s="224"/>
      <c r="L195" s="224"/>
      <c r="M195" s="224"/>
      <c r="N195" s="223"/>
      <c r="O195" s="223"/>
      <c r="P195" s="224"/>
      <c r="Q195" s="439"/>
      <c r="R195" s="206">
        <f t="shared" si="65"/>
        <v>0</v>
      </c>
      <c r="S195" s="226">
        <f>G195-R195</f>
        <v>0</v>
      </c>
      <c r="T195" s="226">
        <f>F195*G195</f>
        <v>0</v>
      </c>
      <c r="U195" s="208">
        <f t="shared" si="78"/>
        <v>0</v>
      </c>
      <c r="V195" s="208">
        <f t="shared" si="79"/>
        <v>0</v>
      </c>
      <c r="W195" s="208">
        <f t="shared" si="83"/>
        <v>0</v>
      </c>
      <c r="X195" s="208">
        <f t="shared" si="80"/>
        <v>0</v>
      </c>
      <c r="Y195" s="208">
        <f t="shared" si="81"/>
        <v>0</v>
      </c>
      <c r="Z195" s="208">
        <f t="shared" si="75"/>
        <v>0</v>
      </c>
      <c r="AA195" s="208">
        <f t="shared" si="82"/>
        <v>0</v>
      </c>
      <c r="AB195" s="208">
        <f t="shared" si="67"/>
        <v>0</v>
      </c>
      <c r="AC195" s="208">
        <f t="shared" si="68"/>
        <v>0</v>
      </c>
      <c r="AD195" s="208">
        <f t="shared" si="69"/>
        <v>0</v>
      </c>
      <c r="AE195" s="209">
        <f t="shared" si="70"/>
        <v>0</v>
      </c>
      <c r="AF195" s="229">
        <f t="shared" si="71"/>
        <v>0</v>
      </c>
    </row>
    <row r="196" spans="2:32" s="167" customFormat="1" hidden="1" x14ac:dyDescent="0.25">
      <c r="B196" s="417">
        <v>1.17</v>
      </c>
      <c r="C196" s="418" t="s">
        <v>1030</v>
      </c>
      <c r="D196" s="419"/>
      <c r="E196" s="420"/>
      <c r="F196" s="421"/>
      <c r="G196" s="206"/>
      <c r="H196" s="207"/>
      <c r="I196" s="207"/>
      <c r="J196" s="29"/>
      <c r="K196" s="207"/>
      <c r="L196" s="207"/>
      <c r="M196" s="207"/>
      <c r="N196" s="206"/>
      <c r="O196" s="206"/>
      <c r="P196" s="207"/>
      <c r="Q196" s="207"/>
      <c r="R196" s="206"/>
      <c r="S196" s="226"/>
      <c r="T196" s="226"/>
      <c r="U196" s="208">
        <f t="shared" ref="U196:U208" si="84">F196*H196</f>
        <v>0</v>
      </c>
      <c r="V196" s="208">
        <f t="shared" ref="V196:V208" si="85">F196*I196</f>
        <v>0</v>
      </c>
      <c r="W196" s="208">
        <f t="shared" ref="W196:W208" si="86">F196*J196</f>
        <v>0</v>
      </c>
      <c r="X196" s="208">
        <f t="shared" ref="X196:X208" si="87">TRUNC(F196*K196,2)</f>
        <v>0</v>
      </c>
      <c r="Y196" s="208">
        <f t="shared" ref="Y196:Y208" si="88">TRUNC(F196*L196,2)</f>
        <v>0</v>
      </c>
      <c r="Z196" s="208">
        <f t="shared" ref="Z196:Z208" si="89">M196*F196</f>
        <v>0</v>
      </c>
      <c r="AA196" s="208">
        <f t="shared" ref="AA196:AA208" si="90">F196*N196</f>
        <v>0</v>
      </c>
      <c r="AB196" s="208">
        <f t="shared" ref="AB196:AB208" si="91">TRUNC(F196*O196,2)</f>
        <v>0</v>
      </c>
      <c r="AC196" s="208">
        <f t="shared" ref="AC196:AC208" si="92">TRUNC(F196*P196,2)</f>
        <v>0</v>
      </c>
      <c r="AD196" s="208"/>
      <c r="AE196" s="209"/>
      <c r="AF196" s="229"/>
    </row>
    <row r="197" spans="2:32" s="169" customFormat="1" ht="30.6" customHeight="1" x14ac:dyDescent="0.25">
      <c r="B197" s="628" t="s">
        <v>1017</v>
      </c>
      <c r="C197" s="635">
        <v>94316</v>
      </c>
      <c r="D197" s="636" t="s">
        <v>1035</v>
      </c>
      <c r="E197" s="640" t="s">
        <v>41</v>
      </c>
      <c r="F197" s="630">
        <v>65.36</v>
      </c>
      <c r="G197" s="630">
        <v>620.19000000000005</v>
      </c>
      <c r="H197" s="337"/>
      <c r="I197" s="337"/>
      <c r="J197" s="338"/>
      <c r="K197" s="337"/>
      <c r="L197" s="337"/>
      <c r="M197" s="337"/>
      <c r="N197" s="336"/>
      <c r="O197" s="336"/>
      <c r="P197" s="337"/>
      <c r="Q197" s="631">
        <v>431.86</v>
      </c>
      <c r="R197" s="630">
        <f t="shared" ref="R197:R208" si="93">H197+I197+J197+K197+L197+M197+N197+O197+P197+Q197</f>
        <v>431.86</v>
      </c>
      <c r="S197" s="630">
        <f t="shared" ref="S197:S208" si="94">G197-R197</f>
        <v>188.33000000000004</v>
      </c>
      <c r="T197" s="630">
        <f t="shared" ref="T197:T208" si="95">F197*G197</f>
        <v>40535.618400000007</v>
      </c>
      <c r="U197" s="339">
        <f t="shared" si="84"/>
        <v>0</v>
      </c>
      <c r="V197" s="339">
        <f t="shared" si="85"/>
        <v>0</v>
      </c>
      <c r="W197" s="339">
        <f t="shared" si="86"/>
        <v>0</v>
      </c>
      <c r="X197" s="339">
        <f t="shared" si="87"/>
        <v>0</v>
      </c>
      <c r="Y197" s="339">
        <f t="shared" si="88"/>
        <v>0</v>
      </c>
      <c r="Z197" s="339">
        <f t="shared" si="89"/>
        <v>0</v>
      </c>
      <c r="AA197" s="339">
        <f t="shared" si="90"/>
        <v>0</v>
      </c>
      <c r="AB197" s="339">
        <f t="shared" si="91"/>
        <v>0</v>
      </c>
      <c r="AC197" s="339">
        <f t="shared" si="92"/>
        <v>0</v>
      </c>
      <c r="AD197" s="632">
        <f t="shared" ref="AD197:AD208" si="96">TRUNC(F197*Q197,2)</f>
        <v>28226.36</v>
      </c>
      <c r="AE197" s="633">
        <f t="shared" ref="AE197:AE208" si="97">U197+V197+W197+X197+Y197+Z197+AA197+AB197+AC197+AD197</f>
        <v>28226.36</v>
      </c>
      <c r="AF197" s="634">
        <f t="shared" ref="AF197:AF208" si="98">T197-AE197</f>
        <v>12309.258400000006</v>
      </c>
    </row>
    <row r="198" spans="2:32" s="167" customFormat="1" ht="30.6" hidden="1" customHeight="1" x14ac:dyDescent="0.25">
      <c r="B198" s="203" t="s">
        <v>1018</v>
      </c>
      <c r="C198" s="211">
        <v>97626</v>
      </c>
      <c r="D198" s="205" t="s">
        <v>1036</v>
      </c>
      <c r="E198" s="217" t="s">
        <v>41</v>
      </c>
      <c r="F198" s="206">
        <v>512.69000000000005</v>
      </c>
      <c r="G198" s="206">
        <v>0.09</v>
      </c>
      <c r="H198" s="207"/>
      <c r="I198" s="207"/>
      <c r="J198" s="29"/>
      <c r="K198" s="207"/>
      <c r="L198" s="207"/>
      <c r="M198" s="207"/>
      <c r="N198" s="206"/>
      <c r="O198" s="206"/>
      <c r="P198" s="207"/>
      <c r="Q198" s="207"/>
      <c r="R198" s="206">
        <f t="shared" si="93"/>
        <v>0</v>
      </c>
      <c r="S198" s="226">
        <f t="shared" si="94"/>
        <v>0.09</v>
      </c>
      <c r="T198" s="226">
        <f t="shared" si="95"/>
        <v>46.142100000000006</v>
      </c>
      <c r="U198" s="208">
        <f t="shared" si="84"/>
        <v>0</v>
      </c>
      <c r="V198" s="208">
        <f t="shared" si="85"/>
        <v>0</v>
      </c>
      <c r="W198" s="208">
        <f t="shared" si="86"/>
        <v>0</v>
      </c>
      <c r="X198" s="208">
        <f t="shared" si="87"/>
        <v>0</v>
      </c>
      <c r="Y198" s="208">
        <f t="shared" si="88"/>
        <v>0</v>
      </c>
      <c r="Z198" s="208">
        <f t="shared" si="89"/>
        <v>0</v>
      </c>
      <c r="AA198" s="208">
        <f t="shared" si="90"/>
        <v>0</v>
      </c>
      <c r="AB198" s="208">
        <f t="shared" si="91"/>
        <v>0</v>
      </c>
      <c r="AC198" s="208">
        <f t="shared" si="92"/>
        <v>0</v>
      </c>
      <c r="AD198" s="208">
        <f t="shared" si="96"/>
        <v>0</v>
      </c>
      <c r="AE198" s="209">
        <f t="shared" si="97"/>
        <v>0</v>
      </c>
      <c r="AF198" s="229">
        <f t="shared" si="98"/>
        <v>46.142100000000006</v>
      </c>
    </row>
    <row r="199" spans="2:32" s="167" customFormat="1" ht="30.6" hidden="1" customHeight="1" x14ac:dyDescent="0.25">
      <c r="B199" s="203" t="s">
        <v>1019</v>
      </c>
      <c r="C199" s="211">
        <v>97622</v>
      </c>
      <c r="D199" s="205" t="s">
        <v>1037</v>
      </c>
      <c r="E199" s="217" t="s">
        <v>41</v>
      </c>
      <c r="F199" s="206">
        <v>47.12</v>
      </c>
      <c r="G199" s="206">
        <v>0.19</v>
      </c>
      <c r="H199" s="207"/>
      <c r="I199" s="207"/>
      <c r="J199" s="29"/>
      <c r="K199" s="207"/>
      <c r="L199" s="207"/>
      <c r="M199" s="207"/>
      <c r="N199" s="206"/>
      <c r="O199" s="206"/>
      <c r="P199" s="207"/>
      <c r="Q199" s="207"/>
      <c r="R199" s="206">
        <f t="shared" si="93"/>
        <v>0</v>
      </c>
      <c r="S199" s="226">
        <f t="shared" si="94"/>
        <v>0.19</v>
      </c>
      <c r="T199" s="226">
        <f t="shared" si="95"/>
        <v>8.9527999999999999</v>
      </c>
      <c r="U199" s="208">
        <f t="shared" si="84"/>
        <v>0</v>
      </c>
      <c r="V199" s="208">
        <f t="shared" si="85"/>
        <v>0</v>
      </c>
      <c r="W199" s="208">
        <f t="shared" si="86"/>
        <v>0</v>
      </c>
      <c r="X199" s="208">
        <f t="shared" si="87"/>
        <v>0</v>
      </c>
      <c r="Y199" s="208">
        <f t="shared" si="88"/>
        <v>0</v>
      </c>
      <c r="Z199" s="208">
        <f t="shared" si="89"/>
        <v>0</v>
      </c>
      <c r="AA199" s="208">
        <f t="shared" si="90"/>
        <v>0</v>
      </c>
      <c r="AB199" s="208">
        <f t="shared" si="91"/>
        <v>0</v>
      </c>
      <c r="AC199" s="208">
        <f t="shared" si="92"/>
        <v>0</v>
      </c>
      <c r="AD199" s="208">
        <f t="shared" si="96"/>
        <v>0</v>
      </c>
      <c r="AE199" s="209">
        <f t="shared" si="97"/>
        <v>0</v>
      </c>
      <c r="AF199" s="229">
        <f t="shared" si="98"/>
        <v>8.9527999999999999</v>
      </c>
    </row>
    <row r="200" spans="2:32" s="167" customFormat="1" ht="30.6" hidden="1" customHeight="1" x14ac:dyDescent="0.25">
      <c r="B200" s="203" t="s">
        <v>1020</v>
      </c>
      <c r="C200" s="211" t="s">
        <v>1031</v>
      </c>
      <c r="D200" s="205" t="s">
        <v>1038</v>
      </c>
      <c r="E200" s="217" t="s">
        <v>1046</v>
      </c>
      <c r="F200" s="206">
        <v>370.95</v>
      </c>
      <c r="G200" s="206">
        <v>1.1000000000000001</v>
      </c>
      <c r="H200" s="207"/>
      <c r="I200" s="207"/>
      <c r="J200" s="29"/>
      <c r="K200" s="207"/>
      <c r="L200" s="207"/>
      <c r="M200" s="207"/>
      <c r="N200" s="206"/>
      <c r="O200" s="206"/>
      <c r="P200" s="207"/>
      <c r="Q200" s="207"/>
      <c r="R200" s="206">
        <f t="shared" si="93"/>
        <v>0</v>
      </c>
      <c r="S200" s="226">
        <f t="shared" si="94"/>
        <v>1.1000000000000001</v>
      </c>
      <c r="T200" s="226">
        <f t="shared" si="95"/>
        <v>408.04500000000002</v>
      </c>
      <c r="U200" s="208">
        <f t="shared" si="84"/>
        <v>0</v>
      </c>
      <c r="V200" s="208">
        <f t="shared" si="85"/>
        <v>0</v>
      </c>
      <c r="W200" s="208">
        <f t="shared" si="86"/>
        <v>0</v>
      </c>
      <c r="X200" s="208">
        <f t="shared" si="87"/>
        <v>0</v>
      </c>
      <c r="Y200" s="208">
        <f t="shared" si="88"/>
        <v>0</v>
      </c>
      <c r="Z200" s="208">
        <f t="shared" si="89"/>
        <v>0</v>
      </c>
      <c r="AA200" s="208">
        <f t="shared" si="90"/>
        <v>0</v>
      </c>
      <c r="AB200" s="208">
        <f t="shared" si="91"/>
        <v>0</v>
      </c>
      <c r="AC200" s="208">
        <f t="shared" si="92"/>
        <v>0</v>
      </c>
      <c r="AD200" s="208">
        <f t="shared" si="96"/>
        <v>0</v>
      </c>
      <c r="AE200" s="209">
        <f t="shared" si="97"/>
        <v>0</v>
      </c>
      <c r="AF200" s="229">
        <f t="shared" si="98"/>
        <v>408.04500000000002</v>
      </c>
    </row>
    <row r="201" spans="2:32" s="169" customFormat="1" ht="30.6" customHeight="1" x14ac:dyDescent="0.25">
      <c r="B201" s="628" t="s">
        <v>1021</v>
      </c>
      <c r="C201" s="635">
        <v>101493</v>
      </c>
      <c r="D201" s="636" t="s">
        <v>1039</v>
      </c>
      <c r="E201" s="640" t="s">
        <v>166</v>
      </c>
      <c r="F201" s="630">
        <v>1368.04</v>
      </c>
      <c r="G201" s="630">
        <v>1</v>
      </c>
      <c r="H201" s="337"/>
      <c r="I201" s="337"/>
      <c r="J201" s="338"/>
      <c r="K201" s="337"/>
      <c r="L201" s="337"/>
      <c r="M201" s="337"/>
      <c r="N201" s="336"/>
      <c r="O201" s="336"/>
      <c r="P201" s="337"/>
      <c r="Q201" s="631">
        <v>1</v>
      </c>
      <c r="R201" s="630">
        <f t="shared" si="93"/>
        <v>1</v>
      </c>
      <c r="S201" s="642">
        <f t="shared" si="94"/>
        <v>0</v>
      </c>
      <c r="T201" s="642">
        <f t="shared" si="95"/>
        <v>1368.04</v>
      </c>
      <c r="U201" s="339">
        <f t="shared" si="84"/>
        <v>0</v>
      </c>
      <c r="V201" s="339">
        <f t="shared" si="85"/>
        <v>0</v>
      </c>
      <c r="W201" s="339">
        <f t="shared" si="86"/>
        <v>0</v>
      </c>
      <c r="X201" s="339">
        <f t="shared" si="87"/>
        <v>0</v>
      </c>
      <c r="Y201" s="339">
        <f t="shared" si="88"/>
        <v>0</v>
      </c>
      <c r="Z201" s="339">
        <f t="shared" si="89"/>
        <v>0</v>
      </c>
      <c r="AA201" s="339">
        <f t="shared" si="90"/>
        <v>0</v>
      </c>
      <c r="AB201" s="339">
        <f t="shared" si="91"/>
        <v>0</v>
      </c>
      <c r="AC201" s="339">
        <f t="shared" si="92"/>
        <v>0</v>
      </c>
      <c r="AD201" s="632">
        <f t="shared" si="96"/>
        <v>1368.04</v>
      </c>
      <c r="AE201" s="633">
        <f t="shared" si="97"/>
        <v>1368.04</v>
      </c>
      <c r="AF201" s="643">
        <f t="shared" si="98"/>
        <v>0</v>
      </c>
    </row>
    <row r="202" spans="2:32" s="169" customFormat="1" ht="30.6" customHeight="1" x14ac:dyDescent="0.25">
      <c r="B202" s="628" t="s">
        <v>1022</v>
      </c>
      <c r="C202" s="635" t="s">
        <v>1032</v>
      </c>
      <c r="D202" s="636" t="s">
        <v>1040</v>
      </c>
      <c r="E202" s="640" t="s">
        <v>166</v>
      </c>
      <c r="F202" s="630">
        <v>580.22</v>
      </c>
      <c r="G202" s="630">
        <v>1</v>
      </c>
      <c r="H202" s="337"/>
      <c r="I202" s="337"/>
      <c r="J202" s="338"/>
      <c r="K202" s="337"/>
      <c r="L202" s="337"/>
      <c r="M202" s="337"/>
      <c r="N202" s="336"/>
      <c r="O202" s="336"/>
      <c r="P202" s="337"/>
      <c r="Q202" s="631">
        <v>1</v>
      </c>
      <c r="R202" s="630">
        <f t="shared" si="93"/>
        <v>1</v>
      </c>
      <c r="S202" s="642">
        <f t="shared" si="94"/>
        <v>0</v>
      </c>
      <c r="T202" s="642">
        <f t="shared" si="95"/>
        <v>580.22</v>
      </c>
      <c r="U202" s="339">
        <f t="shared" si="84"/>
        <v>0</v>
      </c>
      <c r="V202" s="339">
        <f t="shared" si="85"/>
        <v>0</v>
      </c>
      <c r="W202" s="339">
        <f t="shared" si="86"/>
        <v>0</v>
      </c>
      <c r="X202" s="339">
        <f t="shared" si="87"/>
        <v>0</v>
      </c>
      <c r="Y202" s="339">
        <f t="shared" si="88"/>
        <v>0</v>
      </c>
      <c r="Z202" s="339">
        <f t="shared" si="89"/>
        <v>0</v>
      </c>
      <c r="AA202" s="339">
        <f t="shared" si="90"/>
        <v>0</v>
      </c>
      <c r="AB202" s="339">
        <f t="shared" si="91"/>
        <v>0</v>
      </c>
      <c r="AC202" s="339">
        <f t="shared" si="92"/>
        <v>0</v>
      </c>
      <c r="AD202" s="632">
        <f t="shared" si="96"/>
        <v>580.22</v>
      </c>
      <c r="AE202" s="633">
        <f t="shared" si="97"/>
        <v>580.22</v>
      </c>
      <c r="AF202" s="643">
        <f t="shared" si="98"/>
        <v>0</v>
      </c>
    </row>
    <row r="203" spans="2:32" s="167" customFormat="1" ht="30.6" hidden="1" customHeight="1" x14ac:dyDescent="0.25">
      <c r="B203" s="203" t="s">
        <v>1023</v>
      </c>
      <c r="C203" s="211" t="s">
        <v>1033</v>
      </c>
      <c r="D203" s="205" t="s">
        <v>1041</v>
      </c>
      <c r="E203" s="217" t="s">
        <v>37</v>
      </c>
      <c r="F203" s="206">
        <v>67.069999999999993</v>
      </c>
      <c r="G203" s="206">
        <v>32</v>
      </c>
      <c r="H203" s="207"/>
      <c r="I203" s="207"/>
      <c r="J203" s="29"/>
      <c r="K203" s="207"/>
      <c r="L203" s="207"/>
      <c r="M203" s="207"/>
      <c r="N203" s="206"/>
      <c r="O203" s="206"/>
      <c r="P203" s="207"/>
      <c r="Q203" s="207"/>
      <c r="R203" s="206">
        <f t="shared" si="93"/>
        <v>0</v>
      </c>
      <c r="S203" s="226">
        <f t="shared" si="94"/>
        <v>32</v>
      </c>
      <c r="T203" s="226">
        <f t="shared" si="95"/>
        <v>2146.2399999999998</v>
      </c>
      <c r="U203" s="208">
        <f t="shared" si="84"/>
        <v>0</v>
      </c>
      <c r="V203" s="208">
        <f t="shared" si="85"/>
        <v>0</v>
      </c>
      <c r="W203" s="208">
        <f t="shared" si="86"/>
        <v>0</v>
      </c>
      <c r="X203" s="208">
        <f t="shared" si="87"/>
        <v>0</v>
      </c>
      <c r="Y203" s="208">
        <f t="shared" si="88"/>
        <v>0</v>
      </c>
      <c r="Z203" s="208">
        <f t="shared" si="89"/>
        <v>0</v>
      </c>
      <c r="AA203" s="208">
        <f t="shared" si="90"/>
        <v>0</v>
      </c>
      <c r="AB203" s="208">
        <f t="shared" si="91"/>
        <v>0</v>
      </c>
      <c r="AC203" s="208">
        <f t="shared" si="92"/>
        <v>0</v>
      </c>
      <c r="AD203" s="208">
        <f t="shared" si="96"/>
        <v>0</v>
      </c>
      <c r="AE203" s="209">
        <f t="shared" si="97"/>
        <v>0</v>
      </c>
      <c r="AF203" s="229">
        <f t="shared" si="98"/>
        <v>2146.2399999999998</v>
      </c>
    </row>
    <row r="204" spans="2:32" s="167" customFormat="1" ht="30.6" hidden="1" customHeight="1" x14ac:dyDescent="0.25">
      <c r="B204" s="203" t="s">
        <v>1024</v>
      </c>
      <c r="C204" s="211" t="s">
        <v>1034</v>
      </c>
      <c r="D204" s="205" t="s">
        <v>1042</v>
      </c>
      <c r="E204" s="217" t="s">
        <v>37</v>
      </c>
      <c r="F204" s="206">
        <v>87.41</v>
      </c>
      <c r="G204" s="206">
        <v>13</v>
      </c>
      <c r="H204" s="207"/>
      <c r="I204" s="207"/>
      <c r="J204" s="29"/>
      <c r="K204" s="207"/>
      <c r="L204" s="207"/>
      <c r="M204" s="207"/>
      <c r="N204" s="206"/>
      <c r="O204" s="206"/>
      <c r="P204" s="207"/>
      <c r="Q204" s="207"/>
      <c r="R204" s="206">
        <f t="shared" si="93"/>
        <v>0</v>
      </c>
      <c r="S204" s="226">
        <f t="shared" si="94"/>
        <v>13</v>
      </c>
      <c r="T204" s="226">
        <f t="shared" si="95"/>
        <v>1136.33</v>
      </c>
      <c r="U204" s="208">
        <f t="shared" si="84"/>
        <v>0</v>
      </c>
      <c r="V204" s="208">
        <f t="shared" si="85"/>
        <v>0</v>
      </c>
      <c r="W204" s="208">
        <f t="shared" si="86"/>
        <v>0</v>
      </c>
      <c r="X204" s="208">
        <f t="shared" si="87"/>
        <v>0</v>
      </c>
      <c r="Y204" s="208">
        <f t="shared" si="88"/>
        <v>0</v>
      </c>
      <c r="Z204" s="208">
        <f t="shared" si="89"/>
        <v>0</v>
      </c>
      <c r="AA204" s="208">
        <f t="shared" si="90"/>
        <v>0</v>
      </c>
      <c r="AB204" s="208">
        <f t="shared" si="91"/>
        <v>0</v>
      </c>
      <c r="AC204" s="208">
        <f t="shared" si="92"/>
        <v>0</v>
      </c>
      <c r="AD204" s="208">
        <f t="shared" si="96"/>
        <v>0</v>
      </c>
      <c r="AE204" s="209">
        <f t="shared" si="97"/>
        <v>0</v>
      </c>
      <c r="AF204" s="229">
        <f t="shared" si="98"/>
        <v>1136.33</v>
      </c>
    </row>
    <row r="205" spans="2:32" s="169" customFormat="1" ht="30.6" customHeight="1" x14ac:dyDescent="0.25">
      <c r="B205" s="628" t="s">
        <v>1025</v>
      </c>
      <c r="C205" s="635">
        <v>87887</v>
      </c>
      <c r="D205" s="636" t="s">
        <v>1043</v>
      </c>
      <c r="E205" s="640" t="s">
        <v>17</v>
      </c>
      <c r="F205" s="630">
        <v>14.94</v>
      </c>
      <c r="G205" s="630">
        <v>83.36</v>
      </c>
      <c r="H205" s="337"/>
      <c r="I205" s="337"/>
      <c r="J205" s="338"/>
      <c r="K205" s="337"/>
      <c r="L205" s="337"/>
      <c r="M205" s="337"/>
      <c r="N205" s="336"/>
      <c r="O205" s="336"/>
      <c r="P205" s="337"/>
      <c r="Q205" s="631">
        <v>37.43</v>
      </c>
      <c r="R205" s="630">
        <f t="shared" si="93"/>
        <v>37.43</v>
      </c>
      <c r="S205" s="642">
        <f t="shared" si="94"/>
        <v>45.93</v>
      </c>
      <c r="T205" s="642">
        <f t="shared" si="95"/>
        <v>1245.3984</v>
      </c>
      <c r="U205" s="339">
        <f t="shared" si="84"/>
        <v>0</v>
      </c>
      <c r="V205" s="339">
        <f t="shared" si="85"/>
        <v>0</v>
      </c>
      <c r="W205" s="339">
        <f t="shared" si="86"/>
        <v>0</v>
      </c>
      <c r="X205" s="339">
        <f t="shared" si="87"/>
        <v>0</v>
      </c>
      <c r="Y205" s="339">
        <f t="shared" si="88"/>
        <v>0</v>
      </c>
      <c r="Z205" s="339">
        <f t="shared" si="89"/>
        <v>0</v>
      </c>
      <c r="AA205" s="339">
        <f t="shared" si="90"/>
        <v>0</v>
      </c>
      <c r="AB205" s="339">
        <f t="shared" si="91"/>
        <v>0</v>
      </c>
      <c r="AC205" s="339">
        <f t="shared" si="92"/>
        <v>0</v>
      </c>
      <c r="AD205" s="632">
        <f t="shared" si="96"/>
        <v>559.20000000000005</v>
      </c>
      <c r="AE205" s="633">
        <f t="shared" si="97"/>
        <v>559.20000000000005</v>
      </c>
      <c r="AF205" s="643">
        <f t="shared" si="98"/>
        <v>686.19839999999999</v>
      </c>
    </row>
    <row r="206" spans="2:32" s="169" customFormat="1" ht="30.6" customHeight="1" thickBot="1" x14ac:dyDescent="0.3">
      <c r="B206" s="628" t="s">
        <v>1026</v>
      </c>
      <c r="C206" s="635">
        <v>90408</v>
      </c>
      <c r="D206" s="636" t="s">
        <v>1044</v>
      </c>
      <c r="E206" s="640" t="s">
        <v>17</v>
      </c>
      <c r="F206" s="630">
        <v>30.5</v>
      </c>
      <c r="G206" s="630">
        <v>85.97</v>
      </c>
      <c r="H206" s="337"/>
      <c r="I206" s="337"/>
      <c r="J206" s="338"/>
      <c r="K206" s="337"/>
      <c r="L206" s="337"/>
      <c r="M206" s="337"/>
      <c r="N206" s="336"/>
      <c r="O206" s="336"/>
      <c r="P206" s="337"/>
      <c r="Q206" s="631">
        <v>37.43</v>
      </c>
      <c r="R206" s="630">
        <f t="shared" si="93"/>
        <v>37.43</v>
      </c>
      <c r="S206" s="642">
        <f t="shared" si="94"/>
        <v>48.54</v>
      </c>
      <c r="T206" s="642">
        <f t="shared" si="95"/>
        <v>2622.085</v>
      </c>
      <c r="U206" s="339">
        <f t="shared" si="84"/>
        <v>0</v>
      </c>
      <c r="V206" s="339">
        <f t="shared" si="85"/>
        <v>0</v>
      </c>
      <c r="W206" s="339">
        <f t="shared" si="86"/>
        <v>0</v>
      </c>
      <c r="X206" s="339">
        <f t="shared" si="87"/>
        <v>0</v>
      </c>
      <c r="Y206" s="339">
        <f t="shared" si="88"/>
        <v>0</v>
      </c>
      <c r="Z206" s="339">
        <f t="shared" si="89"/>
        <v>0</v>
      </c>
      <c r="AA206" s="339">
        <f t="shared" si="90"/>
        <v>0</v>
      </c>
      <c r="AB206" s="339">
        <f t="shared" si="91"/>
        <v>0</v>
      </c>
      <c r="AC206" s="339">
        <f t="shared" si="92"/>
        <v>0</v>
      </c>
      <c r="AD206" s="632">
        <f t="shared" si="96"/>
        <v>1141.6099999999999</v>
      </c>
      <c r="AE206" s="633">
        <f t="shared" si="97"/>
        <v>1141.6099999999999</v>
      </c>
      <c r="AF206" s="643">
        <f t="shared" si="98"/>
        <v>1480.4750000000001</v>
      </c>
    </row>
    <row r="207" spans="2:32" s="167" customFormat="1" ht="30.6" hidden="1" customHeight="1" x14ac:dyDescent="0.3">
      <c r="B207" s="203" t="s">
        <v>1027</v>
      </c>
      <c r="C207" s="211">
        <v>88494</v>
      </c>
      <c r="D207" s="205" t="s">
        <v>204</v>
      </c>
      <c r="E207" s="217" t="s">
        <v>17</v>
      </c>
      <c r="F207" s="206">
        <v>18.88</v>
      </c>
      <c r="G207" s="206">
        <v>88.58</v>
      </c>
      <c r="H207" s="207"/>
      <c r="I207" s="207"/>
      <c r="J207" s="29"/>
      <c r="K207" s="207"/>
      <c r="L207" s="207"/>
      <c r="M207" s="207"/>
      <c r="N207" s="206"/>
      <c r="O207" s="206"/>
      <c r="P207" s="207"/>
      <c r="Q207" s="207"/>
      <c r="R207" s="206">
        <f t="shared" si="93"/>
        <v>0</v>
      </c>
      <c r="S207" s="226">
        <f t="shared" si="94"/>
        <v>88.58</v>
      </c>
      <c r="T207" s="226">
        <f t="shared" si="95"/>
        <v>1672.3903999999998</v>
      </c>
      <c r="U207" s="208">
        <f t="shared" si="84"/>
        <v>0</v>
      </c>
      <c r="V207" s="208">
        <f t="shared" si="85"/>
        <v>0</v>
      </c>
      <c r="W207" s="208">
        <f t="shared" si="86"/>
        <v>0</v>
      </c>
      <c r="X207" s="208">
        <f t="shared" si="87"/>
        <v>0</v>
      </c>
      <c r="Y207" s="208">
        <f t="shared" si="88"/>
        <v>0</v>
      </c>
      <c r="Z207" s="208">
        <f t="shared" si="89"/>
        <v>0</v>
      </c>
      <c r="AA207" s="208">
        <f t="shared" si="90"/>
        <v>0</v>
      </c>
      <c r="AB207" s="208">
        <f t="shared" si="91"/>
        <v>0</v>
      </c>
      <c r="AC207" s="208">
        <f t="shared" si="92"/>
        <v>0</v>
      </c>
      <c r="AD207" s="208">
        <f t="shared" si="96"/>
        <v>0</v>
      </c>
      <c r="AE207" s="209">
        <f t="shared" si="97"/>
        <v>0</v>
      </c>
      <c r="AF207" s="229">
        <f t="shared" si="98"/>
        <v>1672.3903999999998</v>
      </c>
    </row>
    <row r="208" spans="2:32" s="167" customFormat="1" ht="30.6" hidden="1" customHeight="1" thickBot="1" x14ac:dyDescent="0.3">
      <c r="B208" s="219" t="s">
        <v>1028</v>
      </c>
      <c r="C208" s="440">
        <v>88486</v>
      </c>
      <c r="D208" s="441" t="s">
        <v>1045</v>
      </c>
      <c r="E208" s="442" t="s">
        <v>17</v>
      </c>
      <c r="F208" s="226">
        <v>12.17</v>
      </c>
      <c r="G208" s="226">
        <v>88.58</v>
      </c>
      <c r="H208" s="207"/>
      <c r="I208" s="207"/>
      <c r="J208" s="29"/>
      <c r="K208" s="207"/>
      <c r="L208" s="207"/>
      <c r="M208" s="207"/>
      <c r="N208" s="206"/>
      <c r="O208" s="206"/>
      <c r="P208" s="207"/>
      <c r="Q208" s="207"/>
      <c r="R208" s="206">
        <f t="shared" si="93"/>
        <v>0</v>
      </c>
      <c r="S208" s="226">
        <f t="shared" si="94"/>
        <v>88.58</v>
      </c>
      <c r="T208" s="226">
        <f t="shared" si="95"/>
        <v>1078.0185999999999</v>
      </c>
      <c r="U208" s="208">
        <f t="shared" si="84"/>
        <v>0</v>
      </c>
      <c r="V208" s="208">
        <f t="shared" si="85"/>
        <v>0</v>
      </c>
      <c r="W208" s="208">
        <f t="shared" si="86"/>
        <v>0</v>
      </c>
      <c r="X208" s="208">
        <f t="shared" si="87"/>
        <v>0</v>
      </c>
      <c r="Y208" s="208">
        <f t="shared" si="88"/>
        <v>0</v>
      </c>
      <c r="Z208" s="208">
        <f t="shared" si="89"/>
        <v>0</v>
      </c>
      <c r="AA208" s="208">
        <f t="shared" si="90"/>
        <v>0</v>
      </c>
      <c r="AB208" s="208">
        <f t="shared" si="91"/>
        <v>0</v>
      </c>
      <c r="AC208" s="208">
        <f t="shared" si="92"/>
        <v>0</v>
      </c>
      <c r="AD208" s="208">
        <f t="shared" si="96"/>
        <v>0</v>
      </c>
      <c r="AE208" s="209">
        <f t="shared" si="97"/>
        <v>0</v>
      </c>
      <c r="AF208" s="229">
        <f t="shared" si="98"/>
        <v>1078.0185999999999</v>
      </c>
    </row>
    <row r="209" spans="2:32" ht="15.75" thickBot="1" x14ac:dyDescent="0.3">
      <c r="B209" s="169"/>
      <c r="C209" s="169"/>
      <c r="D209" s="169"/>
      <c r="E209" s="644"/>
      <c r="F209" s="644"/>
      <c r="G209" s="644"/>
      <c r="H209" s="195"/>
      <c r="I209" s="230"/>
      <c r="J209" s="230"/>
      <c r="K209" s="230"/>
      <c r="L209" s="230"/>
      <c r="M209" s="230"/>
      <c r="N209" s="230"/>
      <c r="O209" s="230"/>
      <c r="P209" s="230"/>
      <c r="Q209" s="644"/>
      <c r="R209" s="644"/>
      <c r="S209" s="645"/>
      <c r="T209" s="646">
        <f>SUM(T14:T208)</f>
        <v>1382014.517357999</v>
      </c>
      <c r="U209" s="233">
        <f t="shared" ref="U209:Y209" si="99">SUM(U14:U195)</f>
        <v>66571.964737500006</v>
      </c>
      <c r="V209" s="233">
        <f t="shared" si="99"/>
        <v>61443.00776244999</v>
      </c>
      <c r="W209" s="233">
        <f t="shared" si="99"/>
        <v>66865.073129099997</v>
      </c>
      <c r="X209" s="233">
        <f t="shared" si="99"/>
        <v>79712.63</v>
      </c>
      <c r="Y209" s="233">
        <f t="shared" si="99"/>
        <v>103177.48000000005</v>
      </c>
      <c r="Z209" s="208">
        <f>SUM(Z12:Z195)</f>
        <v>70347.038280000008</v>
      </c>
      <c r="AA209" s="233">
        <f>SUM(AA14:AA195)</f>
        <v>40632.783196400007</v>
      </c>
      <c r="AB209" s="233">
        <f>SUM(AB14:AB195)</f>
        <v>68231.630000000019</v>
      </c>
      <c r="AC209" s="233">
        <f>SUM(AC12:AC195)</f>
        <v>31441.260000000006</v>
      </c>
      <c r="AD209" s="646">
        <f>SUM(AD14:AD208)</f>
        <v>102367.23999999998</v>
      </c>
      <c r="AE209" s="646">
        <f>SUM(AE14:AE208)</f>
        <v>690790.10710544966</v>
      </c>
      <c r="AF209" s="646">
        <f>T209-AE209</f>
        <v>691224.41025254934</v>
      </c>
    </row>
    <row r="210" spans="2:32" ht="41.25" customHeight="1" thickBot="1" x14ac:dyDescent="0.3">
      <c r="S210" s="647"/>
      <c r="T210" s="648" t="s">
        <v>1249</v>
      </c>
      <c r="U210" s="540" t="s">
        <v>547</v>
      </c>
      <c r="V210" s="540" t="s">
        <v>549</v>
      </c>
      <c r="W210" s="540" t="s">
        <v>550</v>
      </c>
      <c r="X210" s="540" t="s">
        <v>551</v>
      </c>
      <c r="Y210" s="540" t="s">
        <v>552</v>
      </c>
      <c r="Z210" s="540" t="s">
        <v>553</v>
      </c>
      <c r="AA210" s="540" t="s">
        <v>554</v>
      </c>
      <c r="AB210" s="540" t="s">
        <v>990</v>
      </c>
      <c r="AC210" s="540" t="s">
        <v>991</v>
      </c>
      <c r="AD210" s="649" t="s">
        <v>1029</v>
      </c>
      <c r="AE210" s="648" t="s">
        <v>548</v>
      </c>
      <c r="AF210" s="649" t="s">
        <v>541</v>
      </c>
    </row>
    <row r="211" spans="2:32" customFormat="1" ht="24" hidden="1" customHeight="1" thickBot="1" x14ac:dyDescent="0.3">
      <c r="H211" s="116"/>
      <c r="R211" s="443">
        <v>556981.60710545001</v>
      </c>
      <c r="S211" s="79"/>
      <c r="T211" s="542"/>
      <c r="U211" s="540"/>
      <c r="V211" s="540"/>
      <c r="W211" s="540"/>
      <c r="X211" s="540"/>
      <c r="Y211" s="540"/>
      <c r="Z211" s="540"/>
      <c r="AA211" s="540"/>
      <c r="AB211" s="540"/>
      <c r="AC211" s="540"/>
      <c r="AD211" s="541"/>
      <c r="AE211" s="542"/>
      <c r="AF211" s="541"/>
    </row>
    <row r="212" spans="2:32" customFormat="1" hidden="1" x14ac:dyDescent="0.25">
      <c r="H212" s="116"/>
      <c r="R212" s="444">
        <f>R211+AD209</f>
        <v>659348.84710545</v>
      </c>
    </row>
    <row r="213" spans="2:32" x14ac:dyDescent="0.25">
      <c r="S213" s="164"/>
    </row>
    <row r="214" spans="2:32" x14ac:dyDescent="0.25">
      <c r="S214" s="164"/>
    </row>
    <row r="215" spans="2:32" x14ac:dyDescent="0.25">
      <c r="R215" s="650"/>
      <c r="S215" s="651"/>
      <c r="T215" s="652"/>
    </row>
    <row r="216" spans="2:32" x14ac:dyDescent="0.25">
      <c r="R216" s="650"/>
      <c r="S216" s="650"/>
      <c r="T216" s="653"/>
    </row>
    <row r="217" spans="2:32" x14ac:dyDescent="0.25">
      <c r="S217" s="164"/>
    </row>
  </sheetData>
  <autoFilter ref="B12:AF212" xr:uid="{00000000-0001-0000-0B00-000000000000}">
    <filterColumn colId="28">
      <filters>
        <filter val="$1.141,61"/>
        <filter val="$1.185,02"/>
        <filter val="$1.187,23"/>
        <filter val="$1.368,04"/>
        <filter val="$1.609,65"/>
        <filter val="$1.627,45"/>
        <filter val="$10.664,54"/>
        <filter val="$10.752,00"/>
        <filter val="$115,33"/>
        <filter val="$122,63"/>
        <filter val="$123,28"/>
        <filter val="$15.516,91"/>
        <filter val="$2.179,62"/>
        <filter val="$2.310,40"/>
        <filter val="$2.363,58"/>
        <filter val="$2.728,72"/>
        <filter val="$279,01"/>
        <filter val="$28.226,36"/>
        <filter val="$283,82"/>
        <filter val="$303,24"/>
        <filter val="$313,68"/>
        <filter val="$379,97"/>
        <filter val="$398,85"/>
        <filter val="$4.631,38"/>
        <filter val="$436,90"/>
        <filter val="$5.183,91"/>
        <filter val="$55,78"/>
        <filter val="$559,20"/>
        <filter val="$580,22"/>
        <filter val="$609,71"/>
        <filter val="$627,09"/>
        <filter val="$667,99"/>
        <filter val="$831,07"/>
        <filter val="$893,62"/>
        <filter val="$91,99"/>
        <filter val="$918,42"/>
        <filter val="$99,25"/>
        <filter val="$999,77"/>
        <filter val="MEDIÇÃO 10"/>
        <filter val="R$ 102.367,24"/>
      </filters>
    </filterColumn>
  </autoFilter>
  <mergeCells count="29">
    <mergeCell ref="AF210:AF211"/>
    <mergeCell ref="T10:AF10"/>
    <mergeCell ref="T210:T211"/>
    <mergeCell ref="U210:U211"/>
    <mergeCell ref="V210:V211"/>
    <mergeCell ref="W210:W211"/>
    <mergeCell ref="X210:X211"/>
    <mergeCell ref="Y210:Y211"/>
    <mergeCell ref="Z210:Z211"/>
    <mergeCell ref="AA210:AA211"/>
    <mergeCell ref="AE210:AE211"/>
    <mergeCell ref="AB210:AB211"/>
    <mergeCell ref="AC210:AC211"/>
    <mergeCell ref="AD210:AD211"/>
    <mergeCell ref="G10:S10"/>
    <mergeCell ref="B2:AF2"/>
    <mergeCell ref="AE3:AF8"/>
    <mergeCell ref="B4:N4"/>
    <mergeCell ref="T4:AA4"/>
    <mergeCell ref="B6:D6"/>
    <mergeCell ref="E6:N6"/>
    <mergeCell ref="R6:AA6"/>
    <mergeCell ref="B8:C8"/>
    <mergeCell ref="T8:AA8"/>
    <mergeCell ref="B10:B11"/>
    <mergeCell ref="C10:C11"/>
    <mergeCell ref="D10:D11"/>
    <mergeCell ref="E10:E11"/>
    <mergeCell ref="F10:F11"/>
  </mergeCells>
  <phoneticPr fontId="20" type="noConversion"/>
  <pageMargins left="0.511811024" right="0.511811024" top="0.78740157499999996" bottom="0.78740157499999996" header="0.31496062000000002" footer="0.31496062000000002"/>
  <pageSetup paperSize="9" scale="55" fitToHeight="0" orientation="landscape" horizontalDpi="360" verticalDpi="360" r:id="rId1"/>
  <ignoredErrors>
    <ignoredError sqref="C203:C20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82BE-59E0-4E65-A2C0-0806541DDF63}">
  <sheetPr>
    <pageSetUpPr fitToPage="1"/>
  </sheetPr>
  <dimension ref="B1:N1026"/>
  <sheetViews>
    <sheetView view="pageBreakPreview" topLeftCell="H2" zoomScale="142" zoomScaleNormal="105" zoomScaleSheetLayoutView="142" workbookViewId="0">
      <selection activeCell="O6" sqref="O6"/>
    </sheetView>
  </sheetViews>
  <sheetFormatPr defaultRowHeight="15" x14ac:dyDescent="0.25"/>
  <cols>
    <col min="1" max="1" width="9.140625" style="567"/>
    <col min="2" max="2" width="6.28515625" style="567" customWidth="1"/>
    <col min="3" max="3" width="19.28515625" style="567" customWidth="1"/>
    <col min="4" max="4" width="45.140625" style="567" customWidth="1"/>
    <col min="5" max="6" width="9.140625" style="567"/>
    <col min="7" max="7" width="14.7109375" style="567" customWidth="1"/>
    <col min="8" max="8" width="14.5703125" style="567" customWidth="1"/>
    <col min="9" max="9" width="21.7109375" style="567" customWidth="1"/>
    <col min="10" max="10" width="15.7109375" style="567" customWidth="1"/>
    <col min="11" max="11" width="13.28515625" style="567" customWidth="1"/>
    <col min="12" max="12" width="8.85546875" style="567" customWidth="1"/>
    <col min="13" max="13" width="13.5703125" style="567" bestFit="1" customWidth="1"/>
    <col min="14" max="14" width="17.28515625" style="567" bestFit="1" customWidth="1"/>
    <col min="15" max="16384" width="9.140625" style="567"/>
  </cols>
  <sheetData>
    <row r="1" spans="2:14" ht="15.75" thickBot="1" x14ac:dyDescent="0.3"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14" ht="21" thickBot="1" x14ac:dyDescent="0.3">
      <c r="B2" s="655" t="s">
        <v>1048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7"/>
    </row>
    <row r="3" spans="2:14" x14ac:dyDescent="0.25">
      <c r="B3" s="658" t="s">
        <v>511</v>
      </c>
      <c r="C3" s="659"/>
      <c r="D3" s="659"/>
      <c r="E3" s="659"/>
      <c r="F3" s="659"/>
      <c r="G3" s="659"/>
      <c r="H3" s="660"/>
      <c r="I3" s="660" t="s">
        <v>512</v>
      </c>
      <c r="J3" s="661" t="s">
        <v>514</v>
      </c>
      <c r="K3" s="661"/>
      <c r="L3" s="661"/>
      <c r="M3" s="661"/>
      <c r="N3" s="662"/>
    </row>
    <row r="4" spans="2:14" ht="16.5" x14ac:dyDescent="0.25">
      <c r="B4" s="663" t="s">
        <v>542</v>
      </c>
      <c r="C4" s="664"/>
      <c r="D4" s="664"/>
      <c r="E4" s="664"/>
      <c r="F4" s="664"/>
      <c r="G4" s="664"/>
      <c r="H4" s="664"/>
      <c r="I4" s="665" t="s">
        <v>544</v>
      </c>
      <c r="J4" s="666">
        <v>1240378.43</v>
      </c>
      <c r="K4" s="667"/>
      <c r="L4" s="667"/>
      <c r="M4" s="667"/>
      <c r="N4" s="668"/>
    </row>
    <row r="5" spans="2:14" x14ac:dyDescent="0.25">
      <c r="B5" s="669" t="s">
        <v>515</v>
      </c>
      <c r="C5" s="670"/>
      <c r="D5" s="670"/>
      <c r="E5" s="671" t="s">
        <v>516</v>
      </c>
      <c r="F5" s="671"/>
      <c r="G5" s="670"/>
      <c r="H5" s="671"/>
      <c r="I5" s="671" t="s">
        <v>517</v>
      </c>
      <c r="J5" s="672"/>
      <c r="K5" s="672"/>
      <c r="L5" s="672"/>
      <c r="M5" s="672"/>
      <c r="N5" s="668"/>
    </row>
    <row r="6" spans="2:14" ht="16.5" x14ac:dyDescent="0.25">
      <c r="B6" s="663" t="s">
        <v>518</v>
      </c>
      <c r="C6" s="664"/>
      <c r="D6" s="673"/>
      <c r="E6" s="674" t="s">
        <v>519</v>
      </c>
      <c r="F6" s="664"/>
      <c r="G6" s="664"/>
      <c r="H6" s="664"/>
      <c r="I6" s="675" t="s">
        <v>592</v>
      </c>
      <c r="J6" s="676"/>
      <c r="K6" s="676"/>
      <c r="L6" s="676"/>
      <c r="M6" s="676"/>
      <c r="N6" s="668"/>
    </row>
    <row r="7" spans="2:14" x14ac:dyDescent="0.25">
      <c r="B7" s="669" t="s">
        <v>520</v>
      </c>
      <c r="C7" s="670"/>
      <c r="D7" s="671" t="s">
        <v>521</v>
      </c>
      <c r="E7" s="671" t="s">
        <v>522</v>
      </c>
      <c r="F7" s="671"/>
      <c r="G7" s="670"/>
      <c r="H7" s="671" t="s">
        <v>523</v>
      </c>
      <c r="I7" s="671"/>
      <c r="J7" s="672" t="s">
        <v>524</v>
      </c>
      <c r="K7" s="672"/>
      <c r="L7" s="672"/>
      <c r="M7" s="672"/>
      <c r="N7" s="668"/>
    </row>
    <row r="8" spans="2:14" ht="17.25" thickBot="1" x14ac:dyDescent="0.3">
      <c r="B8" s="677" t="str">
        <f>'BOLETIM DE MEDIÇÃO 10'!B8:C8</f>
        <v>13/0/2025</v>
      </c>
      <c r="C8" s="678"/>
      <c r="D8" s="679" t="str">
        <f>'BOLETIM DE MEDIÇÃO 10'!D8</f>
        <v>16/12/2024 a /03/2025</v>
      </c>
      <c r="E8" s="680">
        <f>'BOLETIM DE MEDIÇÃO 10'!E8</f>
        <v>102367.23999999998</v>
      </c>
      <c r="F8" s="681"/>
      <c r="G8" s="682"/>
      <c r="H8" s="683">
        <f>'BOLETIM DE MEDIÇÃO 10'!P8</f>
        <v>588422.86710544967</v>
      </c>
      <c r="I8" s="684"/>
      <c r="J8" s="685" t="s">
        <v>1088</v>
      </c>
      <c r="K8" s="686"/>
      <c r="L8" s="686"/>
      <c r="M8" s="686"/>
      <c r="N8" s="687"/>
    </row>
    <row r="9" spans="2:14" ht="23.25" thickBot="1" x14ac:dyDescent="0.3">
      <c r="B9" s="688"/>
      <c r="C9" s="689" t="s">
        <v>525</v>
      </c>
      <c r="D9" s="690"/>
      <c r="E9" s="690"/>
      <c r="F9" s="690"/>
      <c r="G9" s="690"/>
      <c r="H9" s="690"/>
      <c r="I9" s="690"/>
      <c r="J9" s="691"/>
      <c r="K9" s="691"/>
      <c r="L9" s="691"/>
      <c r="M9" s="691"/>
      <c r="N9" s="691"/>
    </row>
    <row r="10" spans="2:14" x14ac:dyDescent="0.25">
      <c r="B10" s="692" t="s">
        <v>526</v>
      </c>
      <c r="C10" s="692" t="s">
        <v>527</v>
      </c>
      <c r="D10" s="693" t="s">
        <v>528</v>
      </c>
      <c r="E10" s="692" t="s">
        <v>529</v>
      </c>
      <c r="F10" s="694" t="s">
        <v>556</v>
      </c>
      <c r="G10" s="695" t="s">
        <v>557</v>
      </c>
      <c r="H10" s="696"/>
      <c r="I10" s="696"/>
      <c r="J10" s="697" t="s">
        <v>594</v>
      </c>
      <c r="K10" s="698"/>
      <c r="L10" s="698"/>
      <c r="M10" s="698"/>
      <c r="N10" s="699"/>
    </row>
    <row r="11" spans="2:14" ht="18" x14ac:dyDescent="0.25">
      <c r="B11" s="700"/>
      <c r="C11" s="700"/>
      <c r="D11" s="701"/>
      <c r="E11" s="700"/>
      <c r="F11" s="702"/>
      <c r="G11" s="703" t="s">
        <v>558</v>
      </c>
      <c r="H11" s="704" t="s">
        <v>559</v>
      </c>
      <c r="I11" s="705" t="s">
        <v>560</v>
      </c>
      <c r="J11" s="706" t="s">
        <v>561</v>
      </c>
      <c r="K11" s="707" t="s">
        <v>562</v>
      </c>
      <c r="L11" s="707" t="s">
        <v>563</v>
      </c>
      <c r="M11" s="708" t="s">
        <v>564</v>
      </c>
      <c r="N11" s="709" t="s">
        <v>541</v>
      </c>
    </row>
    <row r="12" spans="2:14" hidden="1" x14ac:dyDescent="0.25">
      <c r="B12" s="710">
        <v>1</v>
      </c>
      <c r="C12" s="711" t="s">
        <v>10</v>
      </c>
      <c r="D12" s="712"/>
      <c r="E12" s="713"/>
      <c r="F12" s="714"/>
      <c r="G12" s="715"/>
      <c r="H12" s="716"/>
      <c r="I12" s="717"/>
      <c r="K12" s="718"/>
      <c r="L12" s="719"/>
      <c r="M12" s="719"/>
      <c r="N12" s="719"/>
    </row>
    <row r="13" spans="2:14" hidden="1" x14ac:dyDescent="0.25">
      <c r="B13" s="710">
        <v>1.1000000000000001</v>
      </c>
      <c r="C13" s="711" t="s">
        <v>12</v>
      </c>
      <c r="D13" s="712"/>
      <c r="E13" s="713"/>
      <c r="F13" s="714"/>
      <c r="G13" s="720"/>
      <c r="H13" s="721"/>
      <c r="I13" s="722"/>
      <c r="K13" s="718"/>
      <c r="L13" s="719"/>
      <c r="M13" s="719"/>
      <c r="N13" s="719"/>
    </row>
    <row r="14" spans="2:14" ht="22.5" hidden="1" x14ac:dyDescent="0.25">
      <c r="B14" s="723" t="s">
        <v>13</v>
      </c>
      <c r="C14" s="724" t="s">
        <v>14</v>
      </c>
      <c r="D14" s="725" t="s">
        <v>15</v>
      </c>
      <c r="E14" s="726" t="s">
        <v>17</v>
      </c>
      <c r="F14" s="727">
        <v>1</v>
      </c>
      <c r="G14" s="728">
        <v>2</v>
      </c>
      <c r="H14" s="729"/>
      <c r="I14" s="730">
        <v>3</v>
      </c>
      <c r="K14" s="250">
        <f>G14*I14*F14</f>
        <v>6</v>
      </c>
      <c r="L14" s="719"/>
      <c r="M14" s="719"/>
      <c r="N14" s="719"/>
    </row>
    <row r="15" spans="2:14" ht="22.5" hidden="1" x14ac:dyDescent="0.25">
      <c r="B15" s="723" t="s">
        <v>18</v>
      </c>
      <c r="C15" s="724">
        <v>93209</v>
      </c>
      <c r="D15" s="725" t="s">
        <v>20</v>
      </c>
      <c r="E15" s="726" t="s">
        <v>17</v>
      </c>
      <c r="F15" s="727">
        <v>1</v>
      </c>
      <c r="G15" s="728">
        <v>1</v>
      </c>
      <c r="H15" s="729">
        <v>2.75</v>
      </c>
      <c r="I15" s="730"/>
      <c r="K15" s="250">
        <f>F15*G15*H15</f>
        <v>2.75</v>
      </c>
      <c r="L15" s="719"/>
      <c r="M15" s="719"/>
      <c r="N15" s="719"/>
    </row>
    <row r="16" spans="2:14" ht="33.75" hidden="1" x14ac:dyDescent="0.25">
      <c r="B16" s="723" t="s">
        <v>22</v>
      </c>
      <c r="C16" s="724">
        <v>93206</v>
      </c>
      <c r="D16" s="725" t="s">
        <v>23</v>
      </c>
      <c r="E16" s="726" t="s">
        <v>17</v>
      </c>
      <c r="F16" s="727">
        <v>1</v>
      </c>
      <c r="G16" s="728">
        <v>1</v>
      </c>
      <c r="H16" s="729">
        <v>2.75</v>
      </c>
      <c r="I16" s="730"/>
      <c r="K16" s="250">
        <f>F16*G16*H16</f>
        <v>2.75</v>
      </c>
      <c r="L16" s="719"/>
      <c r="M16" s="719"/>
      <c r="N16" s="719"/>
    </row>
    <row r="17" spans="2:14" ht="22.5" hidden="1" x14ac:dyDescent="0.25">
      <c r="B17" s="723" t="s">
        <v>24</v>
      </c>
      <c r="C17" s="724" t="s">
        <v>25</v>
      </c>
      <c r="D17" s="725" t="s">
        <v>26</v>
      </c>
      <c r="E17" s="726" t="s">
        <v>17</v>
      </c>
      <c r="F17" s="727"/>
      <c r="G17" s="731"/>
      <c r="H17" s="732"/>
      <c r="I17" s="733"/>
      <c r="K17" s="250">
        <f>K18</f>
        <v>19</v>
      </c>
      <c r="L17" s="719"/>
      <c r="M17" s="719"/>
      <c r="N17" s="719"/>
    </row>
    <row r="18" spans="2:14" hidden="1" x14ac:dyDescent="0.25">
      <c r="B18" s="723"/>
      <c r="C18" s="724"/>
      <c r="D18" s="734" t="s">
        <v>568</v>
      </c>
      <c r="E18" s="726"/>
      <c r="F18" s="727">
        <v>1</v>
      </c>
      <c r="G18" s="728">
        <v>9.5</v>
      </c>
      <c r="H18" s="729"/>
      <c r="I18" s="735">
        <v>2</v>
      </c>
      <c r="K18" s="251">
        <f>F18*(G18*I18)</f>
        <v>19</v>
      </c>
      <c r="L18" s="719"/>
      <c r="M18" s="719"/>
      <c r="N18" s="719"/>
    </row>
    <row r="19" spans="2:14" ht="22.5" hidden="1" x14ac:dyDescent="0.25">
      <c r="B19" s="723" t="s">
        <v>27</v>
      </c>
      <c r="C19" s="724">
        <v>98524</v>
      </c>
      <c r="D19" s="725" t="s">
        <v>28</v>
      </c>
      <c r="E19" s="726" t="s">
        <v>17</v>
      </c>
      <c r="F19" s="727"/>
      <c r="G19" s="736" t="s">
        <v>1091</v>
      </c>
      <c r="H19" s="737"/>
      <c r="I19" s="738"/>
      <c r="K19" s="250">
        <f>K20</f>
        <v>0</v>
      </c>
      <c r="L19" s="719"/>
      <c r="M19" s="719"/>
      <c r="N19" s="719"/>
    </row>
    <row r="20" spans="2:14" hidden="1" x14ac:dyDescent="0.25">
      <c r="B20" s="723"/>
      <c r="C20" s="724"/>
      <c r="D20" s="734" t="s">
        <v>599</v>
      </c>
      <c r="E20" s="726"/>
      <c r="F20" s="727">
        <v>0</v>
      </c>
      <c r="G20" s="739">
        <v>1430.2</v>
      </c>
      <c r="H20" s="740"/>
      <c r="I20" s="741"/>
      <c r="K20" s="251">
        <f>F20*G20</f>
        <v>0</v>
      </c>
      <c r="L20" s="719"/>
      <c r="M20" s="719"/>
      <c r="N20" s="719"/>
    </row>
    <row r="21" spans="2:14" ht="22.5" hidden="1" x14ac:dyDescent="0.25">
      <c r="B21" s="723" t="s">
        <v>29</v>
      </c>
      <c r="C21" s="742">
        <v>100575</v>
      </c>
      <c r="D21" s="725" t="s">
        <v>31</v>
      </c>
      <c r="E21" s="726" t="s">
        <v>17</v>
      </c>
      <c r="F21" s="727"/>
      <c r="G21" s="728"/>
      <c r="H21" s="729"/>
      <c r="I21" s="730"/>
      <c r="K21" s="250">
        <f>K22</f>
        <v>0</v>
      </c>
      <c r="L21" s="719"/>
      <c r="M21" s="719"/>
      <c r="N21" s="719"/>
    </row>
    <row r="22" spans="2:14" hidden="1" x14ac:dyDescent="0.25">
      <c r="B22" s="723"/>
      <c r="C22" s="742"/>
      <c r="D22" s="734" t="s">
        <v>599</v>
      </c>
      <c r="E22" s="726"/>
      <c r="F22" s="727">
        <v>0</v>
      </c>
      <c r="G22" s="739">
        <v>1430.2</v>
      </c>
      <c r="H22" s="740"/>
      <c r="I22" s="741"/>
      <c r="K22" s="251">
        <f>F22*G22</f>
        <v>0</v>
      </c>
      <c r="L22" s="719"/>
      <c r="M22" s="719"/>
      <c r="N22" s="719"/>
    </row>
    <row r="23" spans="2:14" hidden="1" x14ac:dyDescent="0.25">
      <c r="B23" s="743">
        <v>1.2</v>
      </c>
      <c r="C23" s="744" t="s">
        <v>33</v>
      </c>
      <c r="D23" s="725"/>
      <c r="E23" s="726"/>
      <c r="F23" s="727"/>
      <c r="G23" s="728"/>
      <c r="H23" s="729"/>
      <c r="I23" s="730"/>
      <c r="K23" s="250"/>
      <c r="L23" s="719"/>
      <c r="M23" s="719"/>
      <c r="N23" s="719"/>
    </row>
    <row r="24" spans="2:14" ht="33.75" hidden="1" x14ac:dyDescent="0.25">
      <c r="B24" s="723" t="s">
        <v>34</v>
      </c>
      <c r="C24" s="742">
        <v>99059</v>
      </c>
      <c r="D24" s="725" t="s">
        <v>36</v>
      </c>
      <c r="E24" s="726" t="s">
        <v>37</v>
      </c>
      <c r="F24" s="727">
        <v>1</v>
      </c>
      <c r="G24" s="728">
        <v>137.5</v>
      </c>
      <c r="H24" s="729"/>
      <c r="I24" s="730"/>
      <c r="K24" s="250">
        <f>F24*G24</f>
        <v>137.5</v>
      </c>
      <c r="L24" s="719"/>
      <c r="M24" s="719"/>
      <c r="N24" s="719"/>
    </row>
    <row r="25" spans="2:14" ht="22.5" hidden="1" x14ac:dyDescent="0.25">
      <c r="B25" s="745" t="s">
        <v>38</v>
      </c>
      <c r="C25" s="742">
        <v>93358</v>
      </c>
      <c r="D25" s="725" t="s">
        <v>40</v>
      </c>
      <c r="E25" s="726" t="s">
        <v>41</v>
      </c>
      <c r="F25" s="727"/>
      <c r="G25" s="728"/>
      <c r="H25" s="729"/>
      <c r="I25" s="730"/>
      <c r="K25" s="250">
        <f>F34*(G34*H34*I34)</f>
        <v>14.04</v>
      </c>
      <c r="L25" s="719"/>
      <c r="M25" s="719"/>
      <c r="N25" s="719"/>
    </row>
    <row r="26" spans="2:14" hidden="1" x14ac:dyDescent="0.25">
      <c r="B26" s="745"/>
      <c r="C26" s="742"/>
      <c r="D26" s="746" t="s">
        <v>588</v>
      </c>
      <c r="E26" s="726"/>
      <c r="F26" s="727"/>
      <c r="G26" s="728"/>
      <c r="H26" s="729"/>
      <c r="I26" s="730"/>
      <c r="K26" s="250"/>
      <c r="L26" s="719"/>
      <c r="M26" s="719"/>
      <c r="N26" s="719"/>
    </row>
    <row r="27" spans="2:14" ht="33.75" hidden="1" x14ac:dyDescent="0.25">
      <c r="B27" s="745"/>
      <c r="C27" s="742"/>
      <c r="D27" s="747" t="s">
        <v>569</v>
      </c>
      <c r="E27" s="726"/>
      <c r="F27" s="727">
        <v>0</v>
      </c>
      <c r="G27" s="728">
        <v>0.6</v>
      </c>
      <c r="H27" s="729">
        <v>0.7</v>
      </c>
      <c r="I27" s="730">
        <v>1.85</v>
      </c>
      <c r="K27" s="251">
        <f t="shared" ref="K27:K34" si="0">F27*(G27*H27*I27)</f>
        <v>0</v>
      </c>
      <c r="L27" s="719"/>
      <c r="M27" s="719"/>
      <c r="N27" s="719"/>
    </row>
    <row r="28" spans="2:14" ht="45" hidden="1" x14ac:dyDescent="0.25">
      <c r="B28" s="745"/>
      <c r="C28" s="742"/>
      <c r="D28" s="747" t="s">
        <v>570</v>
      </c>
      <c r="E28" s="726"/>
      <c r="F28" s="727">
        <v>0</v>
      </c>
      <c r="G28" s="728">
        <v>0.6</v>
      </c>
      <c r="H28" s="729">
        <v>0.7</v>
      </c>
      <c r="I28" s="730">
        <v>1.85</v>
      </c>
      <c r="K28" s="251">
        <f t="shared" si="0"/>
        <v>0</v>
      </c>
      <c r="L28" s="719"/>
      <c r="M28" s="719"/>
      <c r="N28" s="719"/>
    </row>
    <row r="29" spans="2:14" hidden="1" x14ac:dyDescent="0.25">
      <c r="B29" s="745"/>
      <c r="C29" s="742"/>
      <c r="D29" s="747" t="s">
        <v>571</v>
      </c>
      <c r="E29" s="726"/>
      <c r="F29" s="727">
        <v>0</v>
      </c>
      <c r="G29" s="728">
        <v>0.6</v>
      </c>
      <c r="H29" s="729">
        <v>0.8</v>
      </c>
      <c r="I29" s="730">
        <v>1.85</v>
      </c>
      <c r="K29" s="251">
        <f t="shared" si="0"/>
        <v>0</v>
      </c>
      <c r="L29" s="719"/>
      <c r="M29" s="719"/>
      <c r="N29" s="719"/>
    </row>
    <row r="30" spans="2:14" hidden="1" x14ac:dyDescent="0.25">
      <c r="B30" s="745"/>
      <c r="C30" s="742"/>
      <c r="D30" s="747" t="s">
        <v>572</v>
      </c>
      <c r="E30" s="726"/>
      <c r="F30" s="727">
        <v>0</v>
      </c>
      <c r="G30" s="728">
        <v>0.9</v>
      </c>
      <c r="H30" s="729">
        <v>0.9</v>
      </c>
      <c r="I30" s="730">
        <v>1.85</v>
      </c>
      <c r="K30" s="251">
        <f t="shared" si="0"/>
        <v>0</v>
      </c>
      <c r="L30" s="719"/>
      <c r="M30" s="719"/>
      <c r="N30" s="719"/>
    </row>
    <row r="31" spans="2:14" hidden="1" x14ac:dyDescent="0.25">
      <c r="B31" s="745"/>
      <c r="C31" s="742"/>
      <c r="D31" s="747" t="s">
        <v>573</v>
      </c>
      <c r="E31" s="726"/>
      <c r="F31" s="727">
        <v>0</v>
      </c>
      <c r="G31" s="728">
        <v>0.65</v>
      </c>
      <c r="H31" s="729">
        <v>0.65</v>
      </c>
      <c r="I31" s="730">
        <v>1.85</v>
      </c>
      <c r="K31" s="251">
        <f t="shared" si="0"/>
        <v>0</v>
      </c>
      <c r="L31" s="719"/>
      <c r="M31" s="719"/>
      <c r="N31" s="719"/>
    </row>
    <row r="32" spans="2:14" hidden="1" x14ac:dyDescent="0.25">
      <c r="B32" s="745"/>
      <c r="C32" s="742"/>
      <c r="D32" s="747" t="s">
        <v>574</v>
      </c>
      <c r="E32" s="726"/>
      <c r="F32" s="727">
        <v>0</v>
      </c>
      <c r="G32" s="728">
        <v>0.65</v>
      </c>
      <c r="H32" s="729">
        <v>0.75</v>
      </c>
      <c r="I32" s="730">
        <v>1.85</v>
      </c>
      <c r="K32" s="251">
        <f t="shared" si="0"/>
        <v>0</v>
      </c>
      <c r="L32" s="719"/>
      <c r="M32" s="719"/>
      <c r="N32" s="719"/>
    </row>
    <row r="33" spans="2:14" hidden="1" x14ac:dyDescent="0.25">
      <c r="B33" s="745"/>
      <c r="C33" s="742"/>
      <c r="D33" s="747" t="s">
        <v>575</v>
      </c>
      <c r="E33" s="726"/>
      <c r="F33" s="727">
        <v>0</v>
      </c>
      <c r="G33" s="728">
        <v>0.55000000000000004</v>
      </c>
      <c r="H33" s="729">
        <v>0.95</v>
      </c>
      <c r="I33" s="730">
        <v>1.85</v>
      </c>
      <c r="K33" s="251">
        <f t="shared" si="0"/>
        <v>0</v>
      </c>
      <c r="L33" s="719"/>
      <c r="M33" s="719"/>
      <c r="N33" s="719"/>
    </row>
    <row r="34" spans="2:14" hidden="1" x14ac:dyDescent="0.25">
      <c r="B34" s="745"/>
      <c r="C34" s="742"/>
      <c r="D34" s="748" t="s">
        <v>600</v>
      </c>
      <c r="E34" s="726"/>
      <c r="F34" s="727">
        <v>1</v>
      </c>
      <c r="G34" s="749">
        <v>312</v>
      </c>
      <c r="H34" s="729">
        <v>0.15</v>
      </c>
      <c r="I34" s="730">
        <v>0.3</v>
      </c>
      <c r="K34" s="251">
        <f t="shared" si="0"/>
        <v>14.04</v>
      </c>
      <c r="L34" s="719"/>
      <c r="M34" s="719"/>
      <c r="N34" s="719"/>
    </row>
    <row r="35" spans="2:14" hidden="1" x14ac:dyDescent="0.25">
      <c r="B35" s="745"/>
      <c r="C35" s="742"/>
      <c r="D35" s="747" t="s">
        <v>601</v>
      </c>
      <c r="E35" s="726"/>
      <c r="F35" s="727">
        <v>1</v>
      </c>
      <c r="G35" s="728">
        <v>4.758</v>
      </c>
      <c r="H35" s="729">
        <v>0.15</v>
      </c>
      <c r="I35" s="730">
        <v>0.3</v>
      </c>
      <c r="K35" s="251">
        <f t="shared" ref="K35:K67" si="1">F35*G35*H35*I35</f>
        <v>0.21410999999999999</v>
      </c>
      <c r="L35" s="719"/>
      <c r="M35" s="719"/>
      <c r="N35" s="719"/>
    </row>
    <row r="36" spans="2:14" hidden="1" x14ac:dyDescent="0.25">
      <c r="B36" s="745"/>
      <c r="C36" s="742"/>
      <c r="D36" s="747" t="s">
        <v>602</v>
      </c>
      <c r="E36" s="726"/>
      <c r="F36" s="727">
        <v>1</v>
      </c>
      <c r="G36" s="728">
        <v>3.097</v>
      </c>
      <c r="H36" s="729">
        <v>0.15</v>
      </c>
      <c r="I36" s="730">
        <v>0.3</v>
      </c>
      <c r="K36" s="251">
        <f t="shared" si="1"/>
        <v>0.13936499999999999</v>
      </c>
      <c r="L36" s="719"/>
      <c r="M36" s="719"/>
      <c r="N36" s="719"/>
    </row>
    <row r="37" spans="2:14" hidden="1" x14ac:dyDescent="0.25">
      <c r="B37" s="745"/>
      <c r="C37" s="742"/>
      <c r="D37" s="747" t="s">
        <v>603</v>
      </c>
      <c r="E37" s="726"/>
      <c r="F37" s="727">
        <v>1</v>
      </c>
      <c r="G37" s="728">
        <v>3.0470000000000002</v>
      </c>
      <c r="H37" s="729">
        <v>0.15</v>
      </c>
      <c r="I37" s="730">
        <v>0.3</v>
      </c>
      <c r="K37" s="251">
        <f t="shared" si="1"/>
        <v>0.13711499999999999</v>
      </c>
      <c r="L37" s="719"/>
      <c r="M37" s="719"/>
      <c r="N37" s="719"/>
    </row>
    <row r="38" spans="2:14" hidden="1" x14ac:dyDescent="0.25">
      <c r="B38" s="745"/>
      <c r="C38" s="742"/>
      <c r="D38" s="747" t="s">
        <v>604</v>
      </c>
      <c r="E38" s="726"/>
      <c r="F38" s="727">
        <v>1</v>
      </c>
      <c r="G38" s="728">
        <v>5.109</v>
      </c>
      <c r="H38" s="729">
        <v>0.15</v>
      </c>
      <c r="I38" s="730">
        <v>0.3</v>
      </c>
      <c r="K38" s="251">
        <f t="shared" si="1"/>
        <v>0.22990499999999997</v>
      </c>
      <c r="L38" s="719"/>
      <c r="M38" s="719"/>
      <c r="N38" s="719"/>
    </row>
    <row r="39" spans="2:14" hidden="1" x14ac:dyDescent="0.25">
      <c r="B39" s="745"/>
      <c r="C39" s="742"/>
      <c r="D39" s="747" t="s">
        <v>605</v>
      </c>
      <c r="E39" s="726"/>
      <c r="F39" s="727">
        <v>1</v>
      </c>
      <c r="G39" s="728">
        <v>2.5640000000000001</v>
      </c>
      <c r="H39" s="729">
        <v>0.15</v>
      </c>
      <c r="I39" s="730">
        <v>0.3</v>
      </c>
      <c r="K39" s="251">
        <f t="shared" si="1"/>
        <v>0.11538</v>
      </c>
      <c r="L39" s="719"/>
      <c r="M39" s="719"/>
      <c r="N39" s="719"/>
    </row>
    <row r="40" spans="2:14" hidden="1" x14ac:dyDescent="0.25">
      <c r="B40" s="745"/>
      <c r="C40" s="742"/>
      <c r="D40" s="747" t="s">
        <v>606</v>
      </c>
      <c r="E40" s="726"/>
      <c r="F40" s="727">
        <v>1</v>
      </c>
      <c r="G40" s="728">
        <v>1.6779999999999999</v>
      </c>
      <c r="H40" s="729">
        <v>0.15</v>
      </c>
      <c r="I40" s="730">
        <v>0.3</v>
      </c>
      <c r="K40" s="251">
        <f t="shared" si="1"/>
        <v>7.5509999999999994E-2</v>
      </c>
      <c r="L40" s="719"/>
      <c r="M40" s="719"/>
      <c r="N40" s="719"/>
    </row>
    <row r="41" spans="2:14" hidden="1" x14ac:dyDescent="0.25">
      <c r="B41" s="745"/>
      <c r="C41" s="742"/>
      <c r="D41" s="747" t="s">
        <v>607</v>
      </c>
      <c r="E41" s="726"/>
      <c r="F41" s="727">
        <v>1</v>
      </c>
      <c r="G41" s="728">
        <v>6.5330000000000004</v>
      </c>
      <c r="H41" s="729">
        <v>0.15</v>
      </c>
      <c r="I41" s="730">
        <v>0.3</v>
      </c>
      <c r="K41" s="251">
        <f t="shared" si="1"/>
        <v>0.293985</v>
      </c>
      <c r="L41" s="719"/>
      <c r="M41" s="719"/>
      <c r="N41" s="719"/>
    </row>
    <row r="42" spans="2:14" hidden="1" x14ac:dyDescent="0.25">
      <c r="B42" s="745"/>
      <c r="C42" s="742"/>
      <c r="D42" s="747" t="s">
        <v>755</v>
      </c>
      <c r="E42" s="726"/>
      <c r="F42" s="727">
        <v>1</v>
      </c>
      <c r="G42" s="728">
        <v>15.175000000000001</v>
      </c>
      <c r="H42" s="729">
        <v>0.15</v>
      </c>
      <c r="I42" s="730">
        <v>0.3</v>
      </c>
      <c r="K42" s="750">
        <f t="shared" si="1"/>
        <v>0.68287500000000001</v>
      </c>
      <c r="L42" s="719"/>
      <c r="M42" s="719"/>
      <c r="N42" s="719"/>
    </row>
    <row r="43" spans="2:14" hidden="1" x14ac:dyDescent="0.25">
      <c r="B43" s="745"/>
      <c r="C43" s="742"/>
      <c r="D43" s="747" t="s">
        <v>756</v>
      </c>
      <c r="E43" s="726"/>
      <c r="F43" s="727">
        <v>1</v>
      </c>
      <c r="G43" s="728">
        <v>11</v>
      </c>
      <c r="H43" s="729">
        <v>0.15</v>
      </c>
      <c r="I43" s="730">
        <v>0.3</v>
      </c>
      <c r="K43" s="750">
        <f t="shared" si="1"/>
        <v>0.49499999999999994</v>
      </c>
      <c r="L43" s="719"/>
      <c r="M43" s="719"/>
      <c r="N43" s="719"/>
    </row>
    <row r="44" spans="2:14" hidden="1" x14ac:dyDescent="0.25">
      <c r="B44" s="745"/>
      <c r="C44" s="742"/>
      <c r="D44" s="747" t="s">
        <v>757</v>
      </c>
      <c r="E44" s="726"/>
      <c r="F44" s="727">
        <v>1</v>
      </c>
      <c r="G44" s="728">
        <v>1.9</v>
      </c>
      <c r="H44" s="729">
        <v>0.15</v>
      </c>
      <c r="I44" s="730">
        <v>0.3</v>
      </c>
      <c r="K44" s="750">
        <f t="shared" si="1"/>
        <v>8.5499999999999993E-2</v>
      </c>
      <c r="L44" s="719"/>
      <c r="M44" s="719"/>
      <c r="N44" s="719"/>
    </row>
    <row r="45" spans="2:14" hidden="1" x14ac:dyDescent="0.25">
      <c r="B45" s="745"/>
      <c r="C45" s="742"/>
      <c r="D45" s="747" t="s">
        <v>758</v>
      </c>
      <c r="E45" s="726"/>
      <c r="F45" s="727">
        <v>1</v>
      </c>
      <c r="G45" s="728">
        <v>6.38</v>
      </c>
      <c r="H45" s="729">
        <v>0.15</v>
      </c>
      <c r="I45" s="730">
        <v>0.3</v>
      </c>
      <c r="K45" s="750">
        <f t="shared" si="1"/>
        <v>0.28709999999999997</v>
      </c>
      <c r="L45" s="719"/>
      <c r="M45" s="719"/>
      <c r="N45" s="719"/>
    </row>
    <row r="46" spans="2:14" hidden="1" x14ac:dyDescent="0.25">
      <c r="B46" s="745"/>
      <c r="C46" s="742"/>
      <c r="D46" s="747" t="s">
        <v>759</v>
      </c>
      <c r="E46" s="726"/>
      <c r="F46" s="727">
        <v>1</v>
      </c>
      <c r="G46" s="728">
        <v>8.31</v>
      </c>
      <c r="H46" s="729">
        <v>0.15</v>
      </c>
      <c r="I46" s="730">
        <v>0.3</v>
      </c>
      <c r="K46" s="750">
        <f t="shared" si="1"/>
        <v>0.37394999999999995</v>
      </c>
      <c r="L46" s="719"/>
      <c r="M46" s="719"/>
      <c r="N46" s="719"/>
    </row>
    <row r="47" spans="2:14" hidden="1" x14ac:dyDescent="0.25">
      <c r="B47" s="745"/>
      <c r="C47" s="742"/>
      <c r="D47" s="747" t="s">
        <v>760</v>
      </c>
      <c r="E47" s="726"/>
      <c r="F47" s="727">
        <v>1</v>
      </c>
      <c r="G47" s="728">
        <v>15.175000000000001</v>
      </c>
      <c r="H47" s="729">
        <v>0.15</v>
      </c>
      <c r="I47" s="730">
        <v>0.3</v>
      </c>
      <c r="K47" s="750">
        <f t="shared" si="1"/>
        <v>0.68287500000000001</v>
      </c>
      <c r="L47" s="719"/>
      <c r="M47" s="719"/>
      <c r="N47" s="719"/>
    </row>
    <row r="48" spans="2:14" hidden="1" x14ac:dyDescent="0.25">
      <c r="B48" s="745"/>
      <c r="C48" s="742"/>
      <c r="D48" s="747" t="s">
        <v>761</v>
      </c>
      <c r="E48" s="726"/>
      <c r="F48" s="727">
        <v>1</v>
      </c>
      <c r="G48" s="728">
        <v>5.31</v>
      </c>
      <c r="H48" s="729">
        <v>0.15</v>
      </c>
      <c r="I48" s="730">
        <v>0.3</v>
      </c>
      <c r="K48" s="750">
        <f t="shared" si="1"/>
        <v>0.23894999999999994</v>
      </c>
      <c r="L48" s="719"/>
      <c r="M48" s="719"/>
      <c r="N48" s="719"/>
    </row>
    <row r="49" spans="2:14" hidden="1" x14ac:dyDescent="0.25">
      <c r="B49" s="745"/>
      <c r="C49" s="742"/>
      <c r="D49" s="747" t="s">
        <v>762</v>
      </c>
      <c r="E49" s="726"/>
      <c r="F49" s="727">
        <v>1</v>
      </c>
      <c r="G49" s="728">
        <v>5.47</v>
      </c>
      <c r="H49" s="729">
        <v>0.15</v>
      </c>
      <c r="I49" s="730">
        <v>0.3</v>
      </c>
      <c r="K49" s="750">
        <f t="shared" si="1"/>
        <v>0.24614999999999995</v>
      </c>
      <c r="L49" s="719"/>
      <c r="M49" s="719"/>
      <c r="N49" s="719"/>
    </row>
    <row r="50" spans="2:14" hidden="1" x14ac:dyDescent="0.25">
      <c r="B50" s="745"/>
      <c r="C50" s="742"/>
      <c r="D50" s="747" t="s">
        <v>763</v>
      </c>
      <c r="E50" s="726"/>
      <c r="F50" s="727">
        <v>1</v>
      </c>
      <c r="G50" s="728">
        <v>13.42</v>
      </c>
      <c r="H50" s="729">
        <v>0.15</v>
      </c>
      <c r="I50" s="730">
        <v>0.3</v>
      </c>
      <c r="K50" s="750">
        <f t="shared" si="1"/>
        <v>0.60389999999999999</v>
      </c>
      <c r="L50" s="719"/>
      <c r="M50" s="719"/>
      <c r="N50" s="719"/>
    </row>
    <row r="51" spans="2:14" hidden="1" x14ac:dyDescent="0.25">
      <c r="B51" s="745"/>
      <c r="C51" s="742"/>
      <c r="D51" s="747" t="s">
        <v>764</v>
      </c>
      <c r="E51" s="726"/>
      <c r="F51" s="727">
        <v>1</v>
      </c>
      <c r="G51" s="728">
        <v>5.31</v>
      </c>
      <c r="H51" s="729">
        <v>0.15</v>
      </c>
      <c r="I51" s="730">
        <v>0.3</v>
      </c>
      <c r="K51" s="750">
        <f t="shared" si="1"/>
        <v>0.23894999999999994</v>
      </c>
      <c r="L51" s="719"/>
      <c r="M51" s="719"/>
      <c r="N51" s="719"/>
    </row>
    <row r="52" spans="2:14" hidden="1" x14ac:dyDescent="0.25">
      <c r="B52" s="745"/>
      <c r="C52" s="742"/>
      <c r="D52" s="747" t="s">
        <v>765</v>
      </c>
      <c r="E52" s="726"/>
      <c r="F52" s="727">
        <v>1</v>
      </c>
      <c r="G52" s="728">
        <v>5.31</v>
      </c>
      <c r="H52" s="729">
        <v>0.15</v>
      </c>
      <c r="I52" s="730">
        <v>0.3</v>
      </c>
      <c r="K52" s="750">
        <f t="shared" si="1"/>
        <v>0.23894999999999994</v>
      </c>
      <c r="L52" s="719"/>
      <c r="M52" s="719"/>
      <c r="N52" s="719"/>
    </row>
    <row r="53" spans="2:14" hidden="1" x14ac:dyDescent="0.25">
      <c r="B53" s="745"/>
      <c r="C53" s="742"/>
      <c r="D53" s="747" t="s">
        <v>766</v>
      </c>
      <c r="E53" s="726"/>
      <c r="F53" s="727">
        <v>1</v>
      </c>
      <c r="G53" s="728">
        <v>19.97</v>
      </c>
      <c r="H53" s="729">
        <v>0.15</v>
      </c>
      <c r="I53" s="730">
        <v>0.3</v>
      </c>
      <c r="K53" s="750">
        <f t="shared" si="1"/>
        <v>0.89864999999999995</v>
      </c>
      <c r="L53" s="719"/>
      <c r="M53" s="719"/>
      <c r="N53" s="719"/>
    </row>
    <row r="54" spans="2:14" hidden="1" x14ac:dyDescent="0.25">
      <c r="B54" s="745"/>
      <c r="C54" s="742"/>
      <c r="D54" s="747" t="s">
        <v>676</v>
      </c>
      <c r="E54" s="726"/>
      <c r="F54" s="727">
        <v>1</v>
      </c>
      <c r="G54" s="728">
        <v>7.83</v>
      </c>
      <c r="H54" s="729">
        <v>0.15</v>
      </c>
      <c r="I54" s="730">
        <v>0.3</v>
      </c>
      <c r="K54" s="750">
        <f t="shared" si="1"/>
        <v>0.35234999999999994</v>
      </c>
      <c r="L54" s="719"/>
      <c r="M54" s="719"/>
      <c r="N54" s="719"/>
    </row>
    <row r="55" spans="2:14" hidden="1" x14ac:dyDescent="0.25">
      <c r="B55" s="745"/>
      <c r="C55" s="742"/>
      <c r="D55" s="747" t="s">
        <v>767</v>
      </c>
      <c r="E55" s="726"/>
      <c r="F55" s="727">
        <v>1</v>
      </c>
      <c r="G55" s="728">
        <v>2.5350000000000001</v>
      </c>
      <c r="H55" s="729">
        <v>0.15</v>
      </c>
      <c r="I55" s="730">
        <v>0.3</v>
      </c>
      <c r="K55" s="750">
        <f t="shared" si="1"/>
        <v>0.11407500000000001</v>
      </c>
      <c r="L55" s="719"/>
      <c r="M55" s="719"/>
      <c r="N55" s="719"/>
    </row>
    <row r="56" spans="2:14" hidden="1" x14ac:dyDescent="0.25">
      <c r="B56" s="745"/>
      <c r="C56" s="742"/>
      <c r="D56" s="747" t="s">
        <v>768</v>
      </c>
      <c r="E56" s="726"/>
      <c r="F56" s="727">
        <v>1</v>
      </c>
      <c r="G56" s="728">
        <v>6.39</v>
      </c>
      <c r="H56" s="729">
        <v>0.15</v>
      </c>
      <c r="I56" s="730">
        <v>0.3</v>
      </c>
      <c r="K56" s="750">
        <f t="shared" si="1"/>
        <v>0.28754999999999997</v>
      </c>
      <c r="L56" s="719"/>
      <c r="M56" s="719"/>
      <c r="N56" s="719"/>
    </row>
    <row r="57" spans="2:14" hidden="1" x14ac:dyDescent="0.25">
      <c r="B57" s="745"/>
      <c r="C57" s="742"/>
      <c r="D57" s="747" t="s">
        <v>769</v>
      </c>
      <c r="E57" s="726"/>
      <c r="F57" s="727">
        <v>1</v>
      </c>
      <c r="G57" s="728">
        <v>4.0049999999999999</v>
      </c>
      <c r="H57" s="729">
        <v>0.15</v>
      </c>
      <c r="I57" s="730">
        <v>0.3</v>
      </c>
      <c r="K57" s="750">
        <f t="shared" si="1"/>
        <v>0.180225</v>
      </c>
      <c r="L57" s="719"/>
      <c r="M57" s="719"/>
      <c r="N57" s="719"/>
    </row>
    <row r="58" spans="2:14" hidden="1" x14ac:dyDescent="0.25">
      <c r="B58" s="745"/>
      <c r="C58" s="742"/>
      <c r="D58" s="747" t="s">
        <v>770</v>
      </c>
      <c r="E58" s="726"/>
      <c r="F58" s="727">
        <v>1</v>
      </c>
      <c r="G58" s="728">
        <v>2.2000000000000002</v>
      </c>
      <c r="H58" s="729">
        <v>0.15</v>
      </c>
      <c r="I58" s="730">
        <v>0.3</v>
      </c>
      <c r="K58" s="750">
        <f t="shared" si="1"/>
        <v>9.9000000000000005E-2</v>
      </c>
      <c r="L58" s="719"/>
      <c r="M58" s="719"/>
      <c r="N58" s="719"/>
    </row>
    <row r="59" spans="2:14" hidden="1" x14ac:dyDescent="0.25">
      <c r="B59" s="745"/>
      <c r="C59" s="742"/>
      <c r="D59" s="747" t="s">
        <v>771</v>
      </c>
      <c r="E59" s="726"/>
      <c r="F59" s="727">
        <v>1</v>
      </c>
      <c r="G59" s="728">
        <v>7.75</v>
      </c>
      <c r="H59" s="729">
        <v>0.15</v>
      </c>
      <c r="I59" s="730">
        <v>0.3</v>
      </c>
      <c r="K59" s="750">
        <f t="shared" si="1"/>
        <v>0.34874999999999995</v>
      </c>
      <c r="L59" s="719"/>
      <c r="M59" s="719"/>
      <c r="N59" s="719"/>
    </row>
    <row r="60" spans="2:14" hidden="1" x14ac:dyDescent="0.25">
      <c r="B60" s="745"/>
      <c r="C60" s="742"/>
      <c r="D60" s="747" t="s">
        <v>772</v>
      </c>
      <c r="E60" s="726"/>
      <c r="F60" s="727">
        <v>1</v>
      </c>
      <c r="G60" s="728">
        <v>3.01</v>
      </c>
      <c r="H60" s="729">
        <v>0.15</v>
      </c>
      <c r="I60" s="730">
        <v>0.3</v>
      </c>
      <c r="K60" s="750">
        <f t="shared" si="1"/>
        <v>0.13544999999999999</v>
      </c>
      <c r="L60" s="719"/>
      <c r="M60" s="719"/>
      <c r="N60" s="719"/>
    </row>
    <row r="61" spans="2:14" hidden="1" x14ac:dyDescent="0.25">
      <c r="B61" s="745"/>
      <c r="C61" s="742"/>
      <c r="D61" s="747" t="s">
        <v>773</v>
      </c>
      <c r="E61" s="726"/>
      <c r="F61" s="727">
        <v>1</v>
      </c>
      <c r="G61" s="728">
        <v>3.01</v>
      </c>
      <c r="H61" s="729">
        <v>0.15</v>
      </c>
      <c r="I61" s="730">
        <v>0.3</v>
      </c>
      <c r="K61" s="750">
        <f t="shared" si="1"/>
        <v>0.13544999999999999</v>
      </c>
      <c r="L61" s="719"/>
      <c r="M61" s="719"/>
      <c r="N61" s="719"/>
    </row>
    <row r="62" spans="2:14" hidden="1" x14ac:dyDescent="0.25">
      <c r="B62" s="745"/>
      <c r="C62" s="742"/>
      <c r="D62" s="747" t="s">
        <v>774</v>
      </c>
      <c r="E62" s="726"/>
      <c r="F62" s="727">
        <v>1</v>
      </c>
      <c r="G62" s="728">
        <v>10.744999999999999</v>
      </c>
      <c r="H62" s="729">
        <v>0.15</v>
      </c>
      <c r="I62" s="730">
        <v>0.3</v>
      </c>
      <c r="K62" s="750">
        <f t="shared" si="1"/>
        <v>0.48352499999999993</v>
      </c>
      <c r="L62" s="719"/>
      <c r="M62" s="719"/>
      <c r="N62" s="719"/>
    </row>
    <row r="63" spans="2:14" hidden="1" x14ac:dyDescent="0.25">
      <c r="B63" s="745"/>
      <c r="C63" s="742"/>
      <c r="D63" s="747" t="s">
        <v>775</v>
      </c>
      <c r="E63" s="726"/>
      <c r="F63" s="727">
        <v>1</v>
      </c>
      <c r="G63" s="728">
        <v>5.2949999999999999</v>
      </c>
      <c r="H63" s="729">
        <v>0.15</v>
      </c>
      <c r="I63" s="730">
        <v>0.3</v>
      </c>
      <c r="K63" s="750">
        <f t="shared" si="1"/>
        <v>0.23827499999999999</v>
      </c>
      <c r="L63" s="719"/>
      <c r="M63" s="719"/>
      <c r="N63" s="719"/>
    </row>
    <row r="64" spans="2:14" hidden="1" x14ac:dyDescent="0.25">
      <c r="B64" s="745"/>
      <c r="C64" s="742"/>
      <c r="D64" s="747" t="s">
        <v>776</v>
      </c>
      <c r="E64" s="726"/>
      <c r="F64" s="727">
        <v>1</v>
      </c>
      <c r="G64" s="728">
        <v>5.68</v>
      </c>
      <c r="H64" s="729">
        <v>0.15</v>
      </c>
      <c r="I64" s="730">
        <v>0.3</v>
      </c>
      <c r="K64" s="750">
        <f t="shared" si="1"/>
        <v>0.25559999999999999</v>
      </c>
      <c r="L64" s="719"/>
      <c r="M64" s="719"/>
      <c r="N64" s="719"/>
    </row>
    <row r="65" spans="2:14" hidden="1" x14ac:dyDescent="0.25">
      <c r="B65" s="745"/>
      <c r="C65" s="742"/>
      <c r="D65" s="747" t="s">
        <v>777</v>
      </c>
      <c r="E65" s="726"/>
      <c r="F65" s="727">
        <v>1</v>
      </c>
      <c r="G65" s="728">
        <v>5.47</v>
      </c>
      <c r="H65" s="729">
        <v>0.15</v>
      </c>
      <c r="I65" s="730">
        <v>0.3</v>
      </c>
      <c r="K65" s="750">
        <f t="shared" si="1"/>
        <v>0.24614999999999995</v>
      </c>
      <c r="L65" s="719"/>
      <c r="M65" s="719"/>
      <c r="N65" s="719"/>
    </row>
    <row r="66" spans="2:14" hidden="1" x14ac:dyDescent="0.25">
      <c r="B66" s="745"/>
      <c r="C66" s="742"/>
      <c r="D66" s="747" t="s">
        <v>778</v>
      </c>
      <c r="E66" s="726"/>
      <c r="F66" s="727">
        <v>1</v>
      </c>
      <c r="G66" s="728">
        <v>2.69</v>
      </c>
      <c r="H66" s="729">
        <v>0.15</v>
      </c>
      <c r="I66" s="730">
        <v>0.3</v>
      </c>
      <c r="K66" s="750">
        <f t="shared" si="1"/>
        <v>0.12104999999999999</v>
      </c>
      <c r="L66" s="719"/>
      <c r="M66" s="719"/>
      <c r="N66" s="719"/>
    </row>
    <row r="67" spans="2:14" hidden="1" x14ac:dyDescent="0.25">
      <c r="B67" s="745"/>
      <c r="C67" s="742"/>
      <c r="D67" s="747" t="s">
        <v>779</v>
      </c>
      <c r="E67" s="726"/>
      <c r="F67" s="727">
        <v>1</v>
      </c>
      <c r="G67" s="728">
        <v>2.69</v>
      </c>
      <c r="H67" s="729">
        <v>0.15</v>
      </c>
      <c r="I67" s="730">
        <v>0.3</v>
      </c>
      <c r="K67" s="750">
        <f t="shared" si="1"/>
        <v>0.12104999999999999</v>
      </c>
      <c r="L67" s="719"/>
      <c r="M67" s="719"/>
      <c r="N67" s="719"/>
    </row>
    <row r="68" spans="2:14" hidden="1" x14ac:dyDescent="0.25">
      <c r="B68" s="723" t="s">
        <v>42</v>
      </c>
      <c r="C68" s="742">
        <v>96995</v>
      </c>
      <c r="D68" s="725" t="s">
        <v>44</v>
      </c>
      <c r="E68" s="726" t="s">
        <v>41</v>
      </c>
      <c r="F68" s="727"/>
      <c r="G68" s="728"/>
      <c r="H68" s="729"/>
      <c r="I68" s="730"/>
      <c r="K68" s="751">
        <f>G70*F70</f>
        <v>43.05</v>
      </c>
      <c r="L68" s="719"/>
      <c r="M68" s="719"/>
      <c r="N68" s="719"/>
    </row>
    <row r="69" spans="2:14" ht="21" hidden="1" x14ac:dyDescent="0.25">
      <c r="B69" s="723"/>
      <c r="C69" s="742"/>
      <c r="D69" s="752" t="s">
        <v>576</v>
      </c>
      <c r="E69" s="753"/>
      <c r="F69" s="754"/>
      <c r="G69" s="749"/>
      <c r="H69" s="755"/>
      <c r="I69" s="730"/>
      <c r="K69" s="250"/>
      <c r="L69" s="719"/>
      <c r="M69" s="719"/>
      <c r="N69" s="719"/>
    </row>
    <row r="70" spans="2:14" hidden="1" x14ac:dyDescent="0.25">
      <c r="B70" s="723"/>
      <c r="C70" s="742"/>
      <c r="D70" s="756" t="s">
        <v>608</v>
      </c>
      <c r="E70" s="753"/>
      <c r="F70" s="757">
        <v>1</v>
      </c>
      <c r="G70" s="758">
        <f>43.05</f>
        <v>43.05</v>
      </c>
      <c r="H70" s="759"/>
      <c r="I70" s="760"/>
      <c r="K70" s="250"/>
      <c r="L70" s="719"/>
      <c r="M70" s="719"/>
      <c r="N70" s="719"/>
    </row>
    <row r="71" spans="2:14" hidden="1" x14ac:dyDescent="0.25">
      <c r="B71" s="723"/>
      <c r="C71" s="742"/>
      <c r="D71" s="756" t="s">
        <v>609</v>
      </c>
      <c r="E71" s="753"/>
      <c r="F71" s="761"/>
      <c r="G71" s="762"/>
      <c r="H71" s="763"/>
      <c r="I71" s="764"/>
      <c r="K71" s="250"/>
      <c r="L71" s="719"/>
      <c r="M71" s="719"/>
      <c r="N71" s="719"/>
    </row>
    <row r="72" spans="2:14" ht="22.5" hidden="1" x14ac:dyDescent="0.25">
      <c r="B72" s="723" t="s">
        <v>45</v>
      </c>
      <c r="C72" s="742">
        <v>94319</v>
      </c>
      <c r="D72" s="765" t="s">
        <v>47</v>
      </c>
      <c r="E72" s="726" t="s">
        <v>41</v>
      </c>
      <c r="F72" s="727"/>
      <c r="G72" s="766" t="s">
        <v>1092</v>
      </c>
      <c r="H72" s="767"/>
      <c r="I72" s="768"/>
      <c r="K72" s="250">
        <v>0</v>
      </c>
      <c r="L72" s="719"/>
      <c r="M72" s="719"/>
      <c r="N72" s="719"/>
    </row>
    <row r="73" spans="2:14" x14ac:dyDescent="0.25">
      <c r="B73" s="743" t="s">
        <v>48</v>
      </c>
      <c r="C73" s="744" t="s">
        <v>49</v>
      </c>
      <c r="D73" s="725"/>
      <c r="E73" s="726"/>
      <c r="F73" s="727"/>
      <c r="G73" s="739"/>
      <c r="H73" s="769"/>
      <c r="I73" s="730"/>
      <c r="J73" s="719"/>
      <c r="K73" s="250"/>
      <c r="L73" s="719"/>
      <c r="M73" s="719"/>
      <c r="N73" s="719"/>
    </row>
    <row r="74" spans="2:14" ht="45" x14ac:dyDescent="0.25">
      <c r="B74" s="723" t="s">
        <v>50</v>
      </c>
      <c r="C74" s="724" t="s">
        <v>51</v>
      </c>
      <c r="D74" s="725" t="s">
        <v>52</v>
      </c>
      <c r="E74" s="726" t="s">
        <v>41</v>
      </c>
      <c r="F74" s="727"/>
      <c r="G74" s="770" t="s">
        <v>1076</v>
      </c>
      <c r="H74" s="771"/>
      <c r="I74" s="772"/>
      <c r="J74" s="251">
        <f>'BOLETIM DE MEDIÇÃO 10'!R26-'MEMORIAL DE CÁLCULO 10'!K74</f>
        <v>13.985410000000002</v>
      </c>
      <c r="K74" s="250">
        <f>41.33-3.62</f>
        <v>37.71</v>
      </c>
      <c r="L74" s="251">
        <f>J74+K74</f>
        <v>51.695410000000003</v>
      </c>
      <c r="M74" s="251">
        <f>'BOLETIM DE MEDIÇÃO 10'!G26</f>
        <v>55.32</v>
      </c>
      <c r="N74" s="251">
        <f>M74-L74</f>
        <v>3.6245899999999978</v>
      </c>
    </row>
    <row r="75" spans="2:14" ht="33.75" x14ac:dyDescent="0.25">
      <c r="B75" s="723"/>
      <c r="C75" s="724"/>
      <c r="D75" s="746" t="s">
        <v>780</v>
      </c>
      <c r="E75" s="726"/>
      <c r="F75" s="727"/>
      <c r="G75" s="773" t="s">
        <v>653</v>
      </c>
      <c r="H75" s="729" t="s">
        <v>649</v>
      </c>
      <c r="I75" s="774" t="s">
        <v>654</v>
      </c>
      <c r="J75" s="251"/>
      <c r="K75" s="250"/>
      <c r="L75" s="251"/>
      <c r="M75" s="251"/>
      <c r="N75" s="251"/>
    </row>
    <row r="76" spans="2:14" x14ac:dyDescent="0.25">
      <c r="B76" s="723"/>
      <c r="C76" s="724"/>
      <c r="D76" s="747" t="s">
        <v>656</v>
      </c>
      <c r="E76" s="726"/>
      <c r="F76" s="727"/>
      <c r="G76" s="775">
        <v>4.758</v>
      </c>
      <c r="H76" s="729">
        <v>0.2</v>
      </c>
      <c r="I76" s="730" t="s">
        <v>660</v>
      </c>
      <c r="J76" s="251"/>
      <c r="K76" s="251">
        <f>(0.62*G76)*H76</f>
        <v>0.58999199999999996</v>
      </c>
      <c r="L76" s="251"/>
      <c r="M76" s="251"/>
      <c r="N76" s="251"/>
    </row>
    <row r="77" spans="2:14" x14ac:dyDescent="0.25">
      <c r="B77" s="723"/>
      <c r="C77" s="724"/>
      <c r="D77" s="747" t="s">
        <v>657</v>
      </c>
      <c r="E77" s="726"/>
      <c r="F77" s="727"/>
      <c r="G77" s="775">
        <v>3.097</v>
      </c>
      <c r="H77" s="729">
        <v>0.2</v>
      </c>
      <c r="I77" s="730" t="s">
        <v>655</v>
      </c>
      <c r="J77" s="251"/>
      <c r="K77" s="251">
        <f>(((0.62+0.35)/2)*G77)*H77</f>
        <v>0.30040899999999998</v>
      </c>
      <c r="L77" s="251"/>
      <c r="M77" s="251"/>
      <c r="N77" s="251"/>
    </row>
    <row r="78" spans="2:14" x14ac:dyDescent="0.25">
      <c r="B78" s="723"/>
      <c r="C78" s="724"/>
      <c r="D78" s="747" t="s">
        <v>658</v>
      </c>
      <c r="E78" s="726"/>
      <c r="F78" s="727"/>
      <c r="G78" s="775">
        <v>3.0470000000000002</v>
      </c>
      <c r="H78" s="729">
        <v>0.2</v>
      </c>
      <c r="I78" s="730" t="s">
        <v>655</v>
      </c>
      <c r="J78" s="251"/>
      <c r="K78" s="251">
        <f>(((0.62+0.35)/2)*G78)*H78</f>
        <v>0.29555900000000002</v>
      </c>
      <c r="L78" s="251"/>
      <c r="M78" s="251"/>
      <c r="N78" s="251"/>
    </row>
    <row r="79" spans="2:14" x14ac:dyDescent="0.25">
      <c r="B79" s="723"/>
      <c r="C79" s="724"/>
      <c r="D79" s="747" t="s">
        <v>659</v>
      </c>
      <c r="E79" s="726"/>
      <c r="F79" s="727"/>
      <c r="G79" s="775">
        <v>5.109</v>
      </c>
      <c r="H79" s="729">
        <v>0.2</v>
      </c>
      <c r="I79" s="730" t="s">
        <v>660</v>
      </c>
      <c r="J79" s="251"/>
      <c r="K79" s="251">
        <f>(((0.62+0.35)/2)*G79)*H79</f>
        <v>0.49557300000000004</v>
      </c>
      <c r="L79" s="251"/>
      <c r="M79" s="251"/>
      <c r="N79" s="251"/>
    </row>
    <row r="80" spans="2:14" x14ac:dyDescent="0.25">
      <c r="B80" s="723"/>
      <c r="C80" s="724"/>
      <c r="D80" s="747" t="s">
        <v>661</v>
      </c>
      <c r="E80" s="726"/>
      <c r="F80" s="727"/>
      <c r="G80" s="775">
        <v>2.5640000000000001</v>
      </c>
      <c r="H80" s="729">
        <v>0.2</v>
      </c>
      <c r="I80" s="730" t="s">
        <v>664</v>
      </c>
      <c r="J80" s="251"/>
      <c r="K80" s="251">
        <f>(0.35*G80)*H80</f>
        <v>0.17948</v>
      </c>
      <c r="L80" s="251"/>
      <c r="M80" s="251"/>
      <c r="N80" s="251"/>
    </row>
    <row r="81" spans="2:14" x14ac:dyDescent="0.25">
      <c r="B81" s="723"/>
      <c r="C81" s="724"/>
      <c r="D81" s="747" t="s">
        <v>662</v>
      </c>
      <c r="E81" s="726"/>
      <c r="F81" s="727"/>
      <c r="G81" s="775">
        <v>1.6779999999999999</v>
      </c>
      <c r="H81" s="729">
        <v>0.2</v>
      </c>
      <c r="I81" s="730" t="s">
        <v>664</v>
      </c>
      <c r="J81" s="251"/>
      <c r="K81" s="251">
        <f>(0.35*G81)*H81</f>
        <v>0.11745999999999999</v>
      </c>
      <c r="L81" s="251"/>
      <c r="M81" s="251"/>
      <c r="N81" s="251"/>
    </row>
    <row r="82" spans="2:14" x14ac:dyDescent="0.25">
      <c r="B82" s="723"/>
      <c r="C82" s="724"/>
      <c r="D82" s="747" t="s">
        <v>663</v>
      </c>
      <c r="E82" s="726"/>
      <c r="F82" s="727"/>
      <c r="G82" s="775">
        <v>6.5330000000000004</v>
      </c>
      <c r="H82" s="729">
        <v>0.2</v>
      </c>
      <c r="I82" s="730" t="s">
        <v>665</v>
      </c>
      <c r="J82" s="251"/>
      <c r="K82" s="251">
        <f>(((0.41+0.58)/2)*G82)*H82</f>
        <v>0.64676700000000009</v>
      </c>
      <c r="L82" s="251"/>
      <c r="M82" s="251"/>
      <c r="N82" s="251"/>
    </row>
    <row r="83" spans="2:14" x14ac:dyDescent="0.25">
      <c r="B83" s="723"/>
      <c r="C83" s="724"/>
      <c r="D83" s="747" t="s">
        <v>666</v>
      </c>
      <c r="E83" s="726"/>
      <c r="F83" s="727"/>
      <c r="G83" s="728">
        <v>12.68</v>
      </c>
      <c r="H83" s="729">
        <v>0.2</v>
      </c>
      <c r="I83" s="730" t="s">
        <v>668</v>
      </c>
      <c r="J83" s="251"/>
      <c r="K83" s="251">
        <f>(((0.56+0.52)/2)*G83)*H83</f>
        <v>1.36944</v>
      </c>
      <c r="L83" s="251"/>
      <c r="M83" s="251"/>
      <c r="N83" s="251"/>
    </row>
    <row r="84" spans="2:14" x14ac:dyDescent="0.25">
      <c r="B84" s="723"/>
      <c r="C84" s="724"/>
      <c r="D84" s="747" t="s">
        <v>667</v>
      </c>
      <c r="E84" s="726"/>
      <c r="F84" s="727"/>
      <c r="G84" s="728">
        <v>1.85</v>
      </c>
      <c r="H84" s="729">
        <v>0.2</v>
      </c>
      <c r="I84" s="730" t="s">
        <v>669</v>
      </c>
      <c r="J84" s="251"/>
      <c r="K84" s="251">
        <f>(((0.52+0.48)/2)*G84)*H84</f>
        <v>0.18500000000000003</v>
      </c>
      <c r="L84" s="251"/>
      <c r="M84" s="251"/>
      <c r="N84" s="251"/>
    </row>
    <row r="85" spans="2:14" x14ac:dyDescent="0.25">
      <c r="B85" s="723"/>
      <c r="C85" s="724"/>
      <c r="D85" s="747" t="s">
        <v>671</v>
      </c>
      <c r="E85" s="726"/>
      <c r="F85" s="727"/>
      <c r="G85" s="728">
        <v>9.4600000000000009</v>
      </c>
      <c r="H85" s="729">
        <v>0.2</v>
      </c>
      <c r="I85" s="730" t="s">
        <v>670</v>
      </c>
      <c r="J85" s="251"/>
      <c r="K85" s="251">
        <f>(((0.48+0.55)/2)*G85)*H85</f>
        <v>0.97438000000000025</v>
      </c>
      <c r="L85" s="251"/>
      <c r="M85" s="251"/>
      <c r="N85" s="251"/>
    </row>
    <row r="86" spans="2:14" x14ac:dyDescent="0.25">
      <c r="B86" s="723"/>
      <c r="C86" s="724"/>
      <c r="D86" s="747" t="s">
        <v>673</v>
      </c>
      <c r="E86" s="726"/>
      <c r="F86" s="727"/>
      <c r="G86" s="728">
        <v>2.33</v>
      </c>
      <c r="H86" s="729">
        <v>0.2</v>
      </c>
      <c r="I86" s="730" t="s">
        <v>672</v>
      </c>
      <c r="J86" s="251"/>
      <c r="K86" s="251">
        <f>(0.55*G86)*H86</f>
        <v>0.25630000000000003</v>
      </c>
      <c r="L86" s="251"/>
      <c r="M86" s="251"/>
      <c r="N86" s="251"/>
    </row>
    <row r="87" spans="2:14" x14ac:dyDescent="0.25">
      <c r="B87" s="723"/>
      <c r="C87" s="724"/>
      <c r="D87" s="747" t="s">
        <v>674</v>
      </c>
      <c r="E87" s="726"/>
      <c r="F87" s="727"/>
      <c r="G87" s="728">
        <v>9.7899999999999991</v>
      </c>
      <c r="H87" s="729">
        <v>0.2</v>
      </c>
      <c r="I87" s="730" t="s">
        <v>675</v>
      </c>
      <c r="J87" s="251"/>
      <c r="K87" s="251">
        <f>(((0.55+0.52)/2)*G87)*H87</f>
        <v>1.0475299999999999</v>
      </c>
      <c r="L87" s="251"/>
      <c r="M87" s="251"/>
      <c r="N87" s="251"/>
    </row>
    <row r="88" spans="2:14" x14ac:dyDescent="0.25">
      <c r="B88" s="723"/>
      <c r="C88" s="724"/>
      <c r="D88" s="747" t="s">
        <v>677</v>
      </c>
      <c r="E88" s="726"/>
      <c r="F88" s="727"/>
      <c r="G88" s="728">
        <v>2.38</v>
      </c>
      <c r="H88" s="729">
        <v>0.2</v>
      </c>
      <c r="I88" s="730" t="s">
        <v>660</v>
      </c>
      <c r="J88" s="251"/>
      <c r="K88" s="251">
        <f>(0.55*G88)*H88</f>
        <v>0.26179999999999998</v>
      </c>
      <c r="L88" s="251"/>
      <c r="M88" s="251"/>
      <c r="N88" s="251"/>
    </row>
    <row r="89" spans="2:14" x14ac:dyDescent="0.25">
      <c r="B89" s="723"/>
      <c r="C89" s="724"/>
      <c r="D89" s="747" t="s">
        <v>678</v>
      </c>
      <c r="E89" s="726"/>
      <c r="F89" s="727"/>
      <c r="G89" s="728">
        <v>2.65</v>
      </c>
      <c r="H89" s="729">
        <v>0.2</v>
      </c>
      <c r="I89" s="730" t="s">
        <v>660</v>
      </c>
      <c r="J89" s="251"/>
      <c r="K89" s="251">
        <f>(0.62*G89)*H89</f>
        <v>0.3286</v>
      </c>
      <c r="L89" s="251"/>
      <c r="M89" s="251"/>
      <c r="N89" s="251"/>
    </row>
    <row r="90" spans="2:14" x14ac:dyDescent="0.25">
      <c r="B90" s="723"/>
      <c r="C90" s="724"/>
      <c r="D90" s="747" t="s">
        <v>1050</v>
      </c>
      <c r="E90" s="726"/>
      <c r="F90" s="727"/>
      <c r="G90" s="728">
        <v>2.38</v>
      </c>
      <c r="H90" s="729">
        <v>0.2</v>
      </c>
      <c r="I90" s="730" t="s">
        <v>660</v>
      </c>
      <c r="J90" s="251"/>
      <c r="K90" s="251">
        <f>(0.62*G90)*H90</f>
        <v>0.29511999999999999</v>
      </c>
      <c r="L90" s="251"/>
      <c r="M90" s="251"/>
      <c r="N90" s="251"/>
    </row>
    <row r="91" spans="2:14" x14ac:dyDescent="0.25">
      <c r="B91" s="723"/>
      <c r="C91" s="724"/>
      <c r="D91" s="747" t="s">
        <v>715</v>
      </c>
      <c r="E91" s="726"/>
      <c r="F91" s="727"/>
      <c r="G91" s="728">
        <v>15.175000000000001</v>
      </c>
      <c r="H91" s="729">
        <v>0.2</v>
      </c>
      <c r="I91" s="730" t="s">
        <v>716</v>
      </c>
      <c r="J91" s="251"/>
      <c r="K91" s="251">
        <f>(((0.53+0.2)/2)*G91)*H91</f>
        <v>1.107775</v>
      </c>
      <c r="L91" s="251"/>
      <c r="M91" s="251"/>
      <c r="N91" s="251"/>
    </row>
    <row r="92" spans="2:14" x14ac:dyDescent="0.25">
      <c r="B92" s="723"/>
      <c r="C92" s="724"/>
      <c r="D92" s="747" t="s">
        <v>717</v>
      </c>
      <c r="E92" s="726"/>
      <c r="F92" s="727"/>
      <c r="G92" s="728">
        <v>11</v>
      </c>
      <c r="H92" s="729">
        <v>0.2</v>
      </c>
      <c r="I92" s="730" t="s">
        <v>718</v>
      </c>
      <c r="J92" s="251"/>
      <c r="K92" s="251">
        <f>(0.2*G92)*H92</f>
        <v>0.44000000000000006</v>
      </c>
      <c r="L92" s="251"/>
      <c r="M92" s="251"/>
      <c r="N92" s="251"/>
    </row>
    <row r="93" spans="2:14" x14ac:dyDescent="0.25">
      <c r="B93" s="723"/>
      <c r="C93" s="724"/>
      <c r="D93" s="747" t="s">
        <v>719</v>
      </c>
      <c r="E93" s="726"/>
      <c r="F93" s="727"/>
      <c r="G93" s="728">
        <v>1.9</v>
      </c>
      <c r="H93" s="729">
        <v>0.2</v>
      </c>
      <c r="I93" s="730" t="s">
        <v>718</v>
      </c>
      <c r="J93" s="251"/>
      <c r="K93" s="251">
        <f>(0.2*G93)*H93</f>
        <v>7.6000000000000012E-2</v>
      </c>
      <c r="L93" s="251"/>
      <c r="M93" s="251"/>
      <c r="N93" s="251"/>
    </row>
    <row r="94" spans="2:14" x14ac:dyDescent="0.25">
      <c r="B94" s="723"/>
      <c r="C94" s="724"/>
      <c r="D94" s="747" t="s">
        <v>720</v>
      </c>
      <c r="E94" s="726"/>
      <c r="F94" s="727"/>
      <c r="G94" s="728">
        <v>6.38</v>
      </c>
      <c r="H94" s="729">
        <v>0.2</v>
      </c>
      <c r="I94" s="730" t="s">
        <v>721</v>
      </c>
      <c r="J94" s="251"/>
      <c r="K94" s="251">
        <f>(((0.29+0.2)/2)*G94)*H94</f>
        <v>0.31262000000000001</v>
      </c>
      <c r="L94" s="251"/>
      <c r="M94" s="251"/>
      <c r="N94" s="251"/>
    </row>
    <row r="95" spans="2:14" x14ac:dyDescent="0.25">
      <c r="B95" s="723"/>
      <c r="C95" s="724"/>
      <c r="D95" s="747" t="s">
        <v>722</v>
      </c>
      <c r="E95" s="726"/>
      <c r="F95" s="727"/>
      <c r="G95" s="728">
        <v>8.31</v>
      </c>
      <c r="H95" s="729">
        <v>0.2</v>
      </c>
      <c r="I95" s="730" t="s">
        <v>723</v>
      </c>
      <c r="J95" s="251"/>
      <c r="K95" s="251">
        <f>(((0.3+0.33)/2)*G95)*H95</f>
        <v>0.52353000000000005</v>
      </c>
      <c r="L95" s="251"/>
      <c r="M95" s="251"/>
      <c r="N95" s="251"/>
    </row>
    <row r="96" spans="2:14" x14ac:dyDescent="0.25">
      <c r="B96" s="723"/>
      <c r="C96" s="724"/>
      <c r="D96" s="747" t="s">
        <v>796</v>
      </c>
      <c r="E96" s="726"/>
      <c r="F96" s="727"/>
      <c r="G96" s="728">
        <v>24.074999999999999</v>
      </c>
      <c r="H96" s="729">
        <v>0.2</v>
      </c>
      <c r="I96" s="730" t="s">
        <v>797</v>
      </c>
      <c r="J96" s="251"/>
      <c r="K96" s="251">
        <f>(((0.2+0.6)/2)*G96)*H96</f>
        <v>1.9260000000000002</v>
      </c>
      <c r="L96" s="251"/>
      <c r="M96" s="251"/>
      <c r="N96" s="251"/>
    </row>
    <row r="97" spans="2:14" x14ac:dyDescent="0.25">
      <c r="B97" s="723"/>
      <c r="C97" s="724"/>
      <c r="D97" s="747" t="s">
        <v>724</v>
      </c>
      <c r="E97" s="726"/>
      <c r="F97" s="727"/>
      <c r="G97" s="728">
        <v>5.31</v>
      </c>
      <c r="H97" s="729">
        <v>0.2</v>
      </c>
      <c r="I97" s="730" t="s">
        <v>725</v>
      </c>
      <c r="J97" s="251"/>
      <c r="K97" s="251">
        <f>(((0.48+0.3)/2)*G97)*H97</f>
        <v>0.41417999999999999</v>
      </c>
      <c r="L97" s="251"/>
      <c r="M97" s="251"/>
      <c r="N97" s="251"/>
    </row>
    <row r="98" spans="2:14" x14ac:dyDescent="0.25">
      <c r="B98" s="723"/>
      <c r="C98" s="724"/>
      <c r="D98" s="747" t="s">
        <v>726</v>
      </c>
      <c r="E98" s="726"/>
      <c r="F98" s="727"/>
      <c r="G98" s="728">
        <v>5.47</v>
      </c>
      <c r="H98" s="729">
        <v>0.2</v>
      </c>
      <c r="I98" s="730" t="s">
        <v>727</v>
      </c>
      <c r="J98" s="251"/>
      <c r="K98" s="251">
        <f>(((0.38+0.24)/2)*G98)*H98</f>
        <v>0.33914</v>
      </c>
      <c r="L98" s="251"/>
      <c r="M98" s="251"/>
      <c r="N98" s="251"/>
    </row>
    <row r="99" spans="2:14" x14ac:dyDescent="0.25">
      <c r="B99" s="723"/>
      <c r="C99" s="724"/>
      <c r="D99" s="747" t="s">
        <v>816</v>
      </c>
      <c r="E99" s="726"/>
      <c r="F99" s="727"/>
      <c r="G99" s="728">
        <v>13.42</v>
      </c>
      <c r="H99" s="729">
        <v>0.2</v>
      </c>
      <c r="I99" s="730" t="s">
        <v>865</v>
      </c>
      <c r="J99" s="251"/>
      <c r="K99" s="251">
        <f>(((0.38+0.6)/2)*G99)*H99</f>
        <v>1.3151600000000001</v>
      </c>
      <c r="L99" s="251"/>
      <c r="M99" s="251"/>
      <c r="N99" s="251"/>
    </row>
    <row r="100" spans="2:14" x14ac:dyDescent="0.25">
      <c r="B100" s="723"/>
      <c r="C100" s="724"/>
      <c r="D100" s="747" t="s">
        <v>728</v>
      </c>
      <c r="E100" s="726"/>
      <c r="F100" s="727"/>
      <c r="G100" s="728">
        <v>5.31</v>
      </c>
      <c r="H100" s="729">
        <v>0.2</v>
      </c>
      <c r="I100" s="730" t="s">
        <v>729</v>
      </c>
      <c r="J100" s="251"/>
      <c r="K100" s="251">
        <f>(((0.43+0.35)/2)*G100)*H100</f>
        <v>0.41417999999999999</v>
      </c>
      <c r="L100" s="251"/>
      <c r="M100" s="251"/>
      <c r="N100" s="251"/>
    </row>
    <row r="101" spans="2:14" x14ac:dyDescent="0.25">
      <c r="B101" s="723"/>
      <c r="C101" s="724"/>
      <c r="D101" s="747" t="s">
        <v>730</v>
      </c>
      <c r="E101" s="726"/>
      <c r="F101" s="727"/>
      <c r="G101" s="728">
        <v>5.31</v>
      </c>
      <c r="H101" s="729">
        <v>0.2</v>
      </c>
      <c r="I101" s="730" t="s">
        <v>866</v>
      </c>
      <c r="J101" s="251"/>
      <c r="K101" s="251">
        <f>(((0.47+0.6)/2)*G101)*H101</f>
        <v>0.56816999999999984</v>
      </c>
      <c r="L101" s="251"/>
      <c r="M101" s="251"/>
      <c r="N101" s="251"/>
    </row>
    <row r="102" spans="2:14" x14ac:dyDescent="0.25">
      <c r="B102" s="723"/>
      <c r="C102" s="724"/>
      <c r="D102" s="747" t="s">
        <v>731</v>
      </c>
      <c r="E102" s="726"/>
      <c r="F102" s="727"/>
      <c r="G102" s="728">
        <v>19.97</v>
      </c>
      <c r="H102" s="729">
        <v>0.2</v>
      </c>
      <c r="I102" s="730" t="s">
        <v>830</v>
      </c>
      <c r="J102" s="251"/>
      <c r="K102" s="251">
        <f>(((0.62+0.5)/2)*G102)*H102</f>
        <v>2.2366400000000004</v>
      </c>
      <c r="L102" s="251"/>
      <c r="M102" s="251"/>
      <c r="N102" s="251"/>
    </row>
    <row r="103" spans="2:14" x14ac:dyDescent="0.25">
      <c r="B103" s="723"/>
      <c r="C103" s="724"/>
      <c r="D103" s="747" t="s">
        <v>732</v>
      </c>
      <c r="E103" s="726"/>
      <c r="F103" s="727"/>
      <c r="G103" s="728">
        <v>7.83</v>
      </c>
      <c r="H103" s="729">
        <v>0.2</v>
      </c>
      <c r="I103" s="730" t="s">
        <v>733</v>
      </c>
      <c r="J103" s="251"/>
      <c r="K103" s="251">
        <f>(((0.63+0.49)/2)*G103)*H103</f>
        <v>0.87696000000000007</v>
      </c>
      <c r="L103" s="251"/>
      <c r="M103" s="251"/>
      <c r="N103" s="251"/>
    </row>
    <row r="104" spans="2:14" x14ac:dyDescent="0.25">
      <c r="B104" s="723"/>
      <c r="C104" s="724"/>
      <c r="D104" s="747" t="s">
        <v>735</v>
      </c>
      <c r="E104" s="726"/>
      <c r="F104" s="727"/>
      <c r="G104" s="728">
        <v>2.5350000000000001</v>
      </c>
      <c r="H104" s="729">
        <v>0.2</v>
      </c>
      <c r="I104" s="730" t="s">
        <v>734</v>
      </c>
      <c r="J104" s="251"/>
      <c r="K104" s="251">
        <f>(((0.58+0.64)/2)*G104)*H104</f>
        <v>0.30927000000000004</v>
      </c>
      <c r="L104" s="251"/>
      <c r="M104" s="251"/>
      <c r="N104" s="251"/>
    </row>
    <row r="105" spans="2:14" x14ac:dyDescent="0.25">
      <c r="B105" s="723"/>
      <c r="C105" s="724"/>
      <c r="D105" s="747" t="s">
        <v>736</v>
      </c>
      <c r="E105" s="726"/>
      <c r="F105" s="727"/>
      <c r="G105" s="728">
        <v>6.39</v>
      </c>
      <c r="H105" s="729">
        <v>0.2</v>
      </c>
      <c r="I105" s="730" t="s">
        <v>737</v>
      </c>
      <c r="J105" s="251"/>
      <c r="K105" s="251">
        <f>(0.47*G105)*H105</f>
        <v>0.60065999999999997</v>
      </c>
      <c r="L105" s="251"/>
      <c r="M105" s="251"/>
      <c r="N105" s="251"/>
    </row>
    <row r="106" spans="2:14" x14ac:dyDescent="0.25">
      <c r="B106" s="723"/>
      <c r="C106" s="724"/>
      <c r="D106" s="747" t="s">
        <v>738</v>
      </c>
      <c r="E106" s="726"/>
      <c r="F106" s="727"/>
      <c r="G106" s="728">
        <v>4.0049999999999999</v>
      </c>
      <c r="H106" s="729">
        <v>0.2</v>
      </c>
      <c r="I106" s="730" t="s">
        <v>739</v>
      </c>
      <c r="J106" s="251"/>
      <c r="K106" s="251">
        <f>(0.49*G106)*H106</f>
        <v>0.39249000000000001</v>
      </c>
      <c r="L106" s="251"/>
      <c r="M106" s="251"/>
      <c r="N106" s="251"/>
    </row>
    <row r="107" spans="2:14" x14ac:dyDescent="0.25">
      <c r="B107" s="723"/>
      <c r="C107" s="724"/>
      <c r="D107" s="747" t="s">
        <v>817</v>
      </c>
      <c r="E107" s="726"/>
      <c r="F107" s="727"/>
      <c r="G107" s="728">
        <v>2.2000000000000002</v>
      </c>
      <c r="H107" s="729">
        <v>0.2</v>
      </c>
      <c r="I107" s="730" t="s">
        <v>740</v>
      </c>
      <c r="J107" s="251"/>
      <c r="K107" s="251">
        <f>(0.55*G107)*H107</f>
        <v>0.24200000000000005</v>
      </c>
      <c r="L107" s="251"/>
      <c r="M107" s="251"/>
      <c r="N107" s="251"/>
    </row>
    <row r="108" spans="2:14" x14ac:dyDescent="0.25">
      <c r="B108" s="723"/>
      <c r="C108" s="724"/>
      <c r="D108" s="747" t="s">
        <v>741</v>
      </c>
      <c r="E108" s="726"/>
      <c r="F108" s="727"/>
      <c r="G108" s="728">
        <v>7.75</v>
      </c>
      <c r="H108" s="729">
        <v>0.2</v>
      </c>
      <c r="I108" s="730" t="s">
        <v>742</v>
      </c>
      <c r="J108" s="251"/>
      <c r="K108" s="251">
        <f>(((0.56+0.48)/2)*G108)*H108</f>
        <v>0.80600000000000005</v>
      </c>
      <c r="L108" s="251"/>
      <c r="M108" s="251"/>
      <c r="N108" s="251"/>
    </row>
    <row r="109" spans="2:14" x14ac:dyDescent="0.25">
      <c r="B109" s="723"/>
      <c r="C109" s="724"/>
      <c r="D109" s="747" t="s">
        <v>743</v>
      </c>
      <c r="E109" s="726"/>
      <c r="F109" s="727"/>
      <c r="G109" s="728">
        <v>3.01</v>
      </c>
      <c r="H109" s="729">
        <v>0.2</v>
      </c>
      <c r="I109" s="730" t="s">
        <v>744</v>
      </c>
      <c r="J109" s="251"/>
      <c r="K109" s="251">
        <f>(0.3*G109)*H109</f>
        <v>0.18059999999999998</v>
      </c>
      <c r="L109" s="251"/>
      <c r="M109" s="251"/>
      <c r="N109" s="251"/>
    </row>
    <row r="110" spans="2:14" x14ac:dyDescent="0.25">
      <c r="B110" s="723"/>
      <c r="C110" s="724"/>
      <c r="D110" s="747" t="s">
        <v>745</v>
      </c>
      <c r="E110" s="726"/>
      <c r="F110" s="727"/>
      <c r="G110" s="728">
        <v>3.01</v>
      </c>
      <c r="H110" s="729">
        <v>0.2</v>
      </c>
      <c r="I110" s="730" t="s">
        <v>746</v>
      </c>
      <c r="J110" s="251"/>
      <c r="K110" s="251">
        <f>(((0.4+0.36)/2)*G110)*H110</f>
        <v>0.22875999999999999</v>
      </c>
      <c r="L110" s="251"/>
      <c r="M110" s="251"/>
      <c r="N110" s="251"/>
    </row>
    <row r="111" spans="2:14" x14ac:dyDescent="0.25">
      <c r="B111" s="723"/>
      <c r="C111" s="724"/>
      <c r="D111" s="747" t="s">
        <v>800</v>
      </c>
      <c r="E111" s="726"/>
      <c r="F111" s="727"/>
      <c r="G111" s="728">
        <v>22.225000000000001</v>
      </c>
      <c r="H111" s="729">
        <v>0.2</v>
      </c>
      <c r="I111" s="730" t="s">
        <v>801</v>
      </c>
      <c r="J111" s="251"/>
      <c r="K111" s="251">
        <f>(((0.4+0.23)/2)*G111)*H111</f>
        <v>1.4001750000000002</v>
      </c>
      <c r="L111" s="251"/>
      <c r="M111" s="251"/>
      <c r="N111" s="251"/>
    </row>
    <row r="112" spans="2:14" x14ac:dyDescent="0.25">
      <c r="B112" s="723"/>
      <c r="C112" s="724"/>
      <c r="D112" s="747" t="s">
        <v>747</v>
      </c>
      <c r="E112" s="726"/>
      <c r="F112" s="727"/>
      <c r="G112" s="728">
        <v>5.2949999999999999</v>
      </c>
      <c r="H112" s="729">
        <v>0.2</v>
      </c>
      <c r="I112" s="730" t="s">
        <v>748</v>
      </c>
      <c r="J112" s="251"/>
      <c r="K112" s="251">
        <f>(((0.3+0.34)/2)*G112)*H112</f>
        <v>0.33888000000000001</v>
      </c>
      <c r="L112" s="251"/>
      <c r="M112" s="251"/>
      <c r="N112" s="251"/>
    </row>
    <row r="113" spans="2:14" x14ac:dyDescent="0.25">
      <c r="B113" s="723"/>
      <c r="C113" s="724"/>
      <c r="D113" s="747" t="s">
        <v>810</v>
      </c>
      <c r="E113" s="726"/>
      <c r="F113" s="727"/>
      <c r="G113" s="728">
        <v>16.48</v>
      </c>
      <c r="H113" s="729">
        <v>0.2</v>
      </c>
      <c r="I113" s="730" t="s">
        <v>811</v>
      </c>
      <c r="J113" s="251"/>
      <c r="K113" s="251">
        <f>(((0.48+0.24)/2)*G113)*H113</f>
        <v>1.1865600000000001</v>
      </c>
      <c r="L113" s="251"/>
      <c r="M113" s="251"/>
      <c r="N113" s="251"/>
    </row>
    <row r="114" spans="2:14" x14ac:dyDescent="0.25">
      <c r="B114" s="723"/>
      <c r="C114" s="724"/>
      <c r="D114" s="747" t="s">
        <v>749</v>
      </c>
      <c r="E114" s="726"/>
      <c r="F114" s="727"/>
      <c r="G114" s="728">
        <v>5.47</v>
      </c>
      <c r="H114" s="729">
        <v>0.2</v>
      </c>
      <c r="I114" s="730" t="s">
        <v>750</v>
      </c>
      <c r="J114" s="251"/>
      <c r="K114" s="251">
        <f>(((0.34+0.4)/2)*G114)*H114</f>
        <v>0.40477999999999997</v>
      </c>
      <c r="L114" s="251"/>
      <c r="M114" s="251"/>
      <c r="N114" s="251"/>
    </row>
    <row r="115" spans="2:14" x14ac:dyDescent="0.25">
      <c r="B115" s="723"/>
      <c r="C115" s="724"/>
      <c r="D115" s="747" t="s">
        <v>751</v>
      </c>
      <c r="E115" s="726"/>
      <c r="F115" s="727"/>
      <c r="G115" s="728">
        <v>2.69</v>
      </c>
      <c r="H115" s="729">
        <v>0.2</v>
      </c>
      <c r="I115" s="730" t="s">
        <v>753</v>
      </c>
      <c r="J115" s="251"/>
      <c r="K115" s="251">
        <f>(((0.3+0.35)/2)*G115)*H115</f>
        <v>0.17484999999999998</v>
      </c>
      <c r="L115" s="251"/>
      <c r="M115" s="251"/>
      <c r="N115" s="251"/>
    </row>
    <row r="116" spans="2:14" x14ac:dyDescent="0.25">
      <c r="B116" s="723"/>
      <c r="C116" s="724"/>
      <c r="D116" s="747" t="s">
        <v>752</v>
      </c>
      <c r="E116" s="726"/>
      <c r="F116" s="727"/>
      <c r="G116" s="728">
        <v>2.69</v>
      </c>
      <c r="H116" s="729">
        <v>0.2</v>
      </c>
      <c r="I116" s="730" t="s">
        <v>754</v>
      </c>
      <c r="J116" s="251"/>
      <c r="K116" s="251">
        <f>(((0.32+0.38)/2)*G116)*H116</f>
        <v>0.1883</v>
      </c>
      <c r="L116" s="251"/>
      <c r="M116" s="251"/>
      <c r="N116" s="251"/>
    </row>
    <row r="117" spans="2:14" x14ac:dyDescent="0.25">
      <c r="B117" s="723"/>
      <c r="C117" s="724"/>
      <c r="D117" s="747" t="s">
        <v>786</v>
      </c>
      <c r="E117" s="726"/>
      <c r="F117" s="727"/>
      <c r="G117" s="728">
        <v>8.85</v>
      </c>
      <c r="H117" s="729">
        <v>0.2</v>
      </c>
      <c r="I117" s="730" t="s">
        <v>787</v>
      </c>
      <c r="J117" s="251"/>
      <c r="K117" s="251">
        <f>(((0.58+0.64)/2)*G117)*H117</f>
        <v>1.0796999999999999</v>
      </c>
      <c r="L117" s="251"/>
      <c r="M117" s="251"/>
      <c r="N117" s="251"/>
    </row>
    <row r="118" spans="2:14" x14ac:dyDescent="0.25">
      <c r="B118" s="723"/>
      <c r="C118" s="724"/>
      <c r="D118" s="747" t="s">
        <v>788</v>
      </c>
      <c r="E118" s="726"/>
      <c r="F118" s="727"/>
      <c r="G118" s="728">
        <v>4.9000000000000004</v>
      </c>
      <c r="H118" s="729">
        <v>0.2</v>
      </c>
      <c r="I118" s="730" t="s">
        <v>789</v>
      </c>
      <c r="J118" s="251"/>
      <c r="K118" s="251">
        <f>(((0.64+0.63)/2)*G118)*H118</f>
        <v>0.62230000000000008</v>
      </c>
      <c r="L118" s="251"/>
      <c r="M118" s="251"/>
      <c r="N118" s="251"/>
    </row>
    <row r="119" spans="2:14" x14ac:dyDescent="0.25">
      <c r="B119" s="723"/>
      <c r="C119" s="724"/>
      <c r="D119" s="747" t="s">
        <v>790</v>
      </c>
      <c r="E119" s="726"/>
      <c r="F119" s="727"/>
      <c r="G119" s="728">
        <v>7.21</v>
      </c>
      <c r="H119" s="729">
        <v>0.2</v>
      </c>
      <c r="I119" s="730" t="s">
        <v>791</v>
      </c>
      <c r="J119" s="251"/>
      <c r="K119" s="251">
        <f>(((0.64+0.5)/2)*G119)*H119</f>
        <v>0.82194000000000011</v>
      </c>
      <c r="L119" s="251"/>
      <c r="M119" s="251"/>
      <c r="N119" s="251"/>
    </row>
    <row r="120" spans="2:14" x14ac:dyDescent="0.25">
      <c r="B120" s="723"/>
      <c r="C120" s="724"/>
      <c r="D120" s="747" t="s">
        <v>792</v>
      </c>
      <c r="E120" s="726"/>
      <c r="F120" s="727"/>
      <c r="G120" s="728">
        <v>8.85</v>
      </c>
      <c r="H120" s="729">
        <v>0.2</v>
      </c>
      <c r="I120" s="730" t="s">
        <v>793</v>
      </c>
      <c r="J120" s="251"/>
      <c r="K120" s="251">
        <f>(((0.6+0.63)/2)*G120)*H120</f>
        <v>1.0885499999999999</v>
      </c>
      <c r="L120" s="251"/>
      <c r="M120" s="251"/>
      <c r="N120" s="251"/>
    </row>
    <row r="121" spans="2:14" x14ac:dyDescent="0.25">
      <c r="B121" s="723"/>
      <c r="C121" s="724"/>
      <c r="D121" s="747" t="s">
        <v>794</v>
      </c>
      <c r="E121" s="726"/>
      <c r="F121" s="727"/>
      <c r="G121" s="728">
        <v>2.46</v>
      </c>
      <c r="H121" s="729">
        <v>0.2</v>
      </c>
      <c r="I121" s="730" t="s">
        <v>795</v>
      </c>
      <c r="J121" s="251"/>
      <c r="K121" s="251">
        <f>(((0.5+0.63)/2)*G121)*H121</f>
        <v>0.27798</v>
      </c>
      <c r="L121" s="251"/>
      <c r="M121" s="251"/>
      <c r="N121" s="251"/>
    </row>
    <row r="122" spans="2:14" x14ac:dyDescent="0.25">
      <c r="B122" s="723"/>
      <c r="C122" s="724"/>
      <c r="D122" s="747" t="s">
        <v>802</v>
      </c>
      <c r="E122" s="726"/>
      <c r="F122" s="727"/>
      <c r="G122" s="728">
        <v>3.16</v>
      </c>
      <c r="H122" s="729">
        <v>0.2</v>
      </c>
      <c r="I122" s="730" t="s">
        <v>804</v>
      </c>
      <c r="J122" s="251"/>
      <c r="K122" s="251">
        <f>(((0.58+0.5)/2)*G122)*H122</f>
        <v>0.34128000000000003</v>
      </c>
      <c r="L122" s="251"/>
      <c r="M122" s="251"/>
      <c r="N122" s="251"/>
    </row>
    <row r="123" spans="2:14" x14ac:dyDescent="0.25">
      <c r="B123" s="723"/>
      <c r="C123" s="724"/>
      <c r="D123" s="747" t="s">
        <v>798</v>
      </c>
      <c r="E123" s="726"/>
      <c r="F123" s="727"/>
      <c r="G123" s="728">
        <v>5.7</v>
      </c>
      <c r="H123" s="729">
        <v>0.2</v>
      </c>
      <c r="I123" s="730" t="s">
        <v>799</v>
      </c>
      <c r="J123" s="251"/>
      <c r="K123" s="251">
        <f>(((0.56+0.5)/2)*G123)*H123</f>
        <v>0.60420000000000007</v>
      </c>
      <c r="L123" s="251"/>
      <c r="M123" s="251"/>
      <c r="N123" s="251"/>
    </row>
    <row r="124" spans="2:14" x14ac:dyDescent="0.25">
      <c r="B124" s="723"/>
      <c r="C124" s="724"/>
      <c r="D124" s="747" t="s">
        <v>803</v>
      </c>
      <c r="E124" s="726"/>
      <c r="F124" s="727"/>
      <c r="G124" s="728">
        <v>7.6849999999999996</v>
      </c>
      <c r="H124" s="729">
        <v>0.2</v>
      </c>
      <c r="I124" s="730" t="s">
        <v>805</v>
      </c>
      <c r="J124" s="251"/>
      <c r="K124" s="251">
        <f>(((0.5+0.46)/2)*G124)*H124</f>
        <v>0.73775999999999997</v>
      </c>
      <c r="L124" s="251"/>
      <c r="M124" s="251"/>
      <c r="N124" s="251"/>
    </row>
    <row r="125" spans="2:14" x14ac:dyDescent="0.25">
      <c r="B125" s="723"/>
      <c r="C125" s="724"/>
      <c r="D125" s="747" t="s">
        <v>806</v>
      </c>
      <c r="E125" s="726"/>
      <c r="F125" s="727"/>
      <c r="G125" s="728">
        <v>1.8</v>
      </c>
      <c r="H125" s="729">
        <v>0.2</v>
      </c>
      <c r="I125" s="730" t="s">
        <v>807</v>
      </c>
      <c r="J125" s="251"/>
      <c r="K125" s="251">
        <f>(0.42*G125)*H125</f>
        <v>0.1512</v>
      </c>
      <c r="L125" s="251"/>
      <c r="M125" s="251"/>
      <c r="N125" s="251"/>
    </row>
    <row r="126" spans="2:14" x14ac:dyDescent="0.25">
      <c r="B126" s="723"/>
      <c r="C126" s="724"/>
      <c r="D126" s="747" t="s">
        <v>808</v>
      </c>
      <c r="E126" s="726"/>
      <c r="F126" s="727"/>
      <c r="G126" s="728">
        <v>8.3000000000000007</v>
      </c>
      <c r="H126" s="729">
        <v>0.2</v>
      </c>
      <c r="I126" s="730" t="s">
        <v>809</v>
      </c>
      <c r="J126" s="251"/>
      <c r="K126" s="251">
        <f>(((0.42+0.33)/2)*G126)*H126</f>
        <v>0.62250000000000005</v>
      </c>
      <c r="L126" s="251"/>
      <c r="M126" s="251"/>
      <c r="N126" s="251"/>
    </row>
    <row r="127" spans="2:14" x14ac:dyDescent="0.25">
      <c r="B127" s="723"/>
      <c r="C127" s="724"/>
      <c r="D127" s="747" t="s">
        <v>812</v>
      </c>
      <c r="E127" s="726"/>
      <c r="F127" s="727"/>
      <c r="G127" s="728">
        <v>3.65</v>
      </c>
      <c r="H127" s="729">
        <v>0.2</v>
      </c>
      <c r="I127" s="730" t="s">
        <v>813</v>
      </c>
      <c r="J127" s="251"/>
      <c r="K127" s="251">
        <f>(((0.36+0.3)/2)*G127)*H127</f>
        <v>0.2409</v>
      </c>
      <c r="L127" s="251"/>
      <c r="M127" s="251"/>
      <c r="N127" s="251"/>
    </row>
    <row r="128" spans="2:14" x14ac:dyDescent="0.25">
      <c r="B128" s="723"/>
      <c r="C128" s="724"/>
      <c r="D128" s="747" t="s">
        <v>820</v>
      </c>
      <c r="E128" s="726"/>
      <c r="F128" s="727"/>
      <c r="G128" s="728">
        <v>2.0950000000000002</v>
      </c>
      <c r="H128" s="729">
        <v>0.2</v>
      </c>
      <c r="I128" s="730" t="s">
        <v>821</v>
      </c>
      <c r="J128" s="251"/>
      <c r="K128" s="251">
        <f>(((0.35+0.4)/2)*G128)*H128</f>
        <v>0.15712500000000001</v>
      </c>
      <c r="L128" s="251"/>
      <c r="M128" s="251"/>
      <c r="N128" s="251"/>
    </row>
    <row r="129" spans="2:14" x14ac:dyDescent="0.25">
      <c r="B129" s="723"/>
      <c r="C129" s="724"/>
      <c r="D129" s="747" t="s">
        <v>814</v>
      </c>
      <c r="E129" s="726"/>
      <c r="F129" s="727"/>
      <c r="G129" s="728">
        <v>4.3899999999999997</v>
      </c>
      <c r="H129" s="729">
        <v>0.2</v>
      </c>
      <c r="I129" s="730" t="s">
        <v>815</v>
      </c>
      <c r="J129" s="251"/>
      <c r="K129" s="251">
        <f>(((0.48+0.47)/2)*G129)*H129</f>
        <v>0.41704999999999998</v>
      </c>
      <c r="L129" s="251"/>
      <c r="M129" s="251"/>
      <c r="N129" s="251"/>
    </row>
    <row r="130" spans="2:14" x14ac:dyDescent="0.25">
      <c r="B130" s="723"/>
      <c r="C130" s="724"/>
      <c r="D130" s="747" t="s">
        <v>818</v>
      </c>
      <c r="E130" s="726"/>
      <c r="F130" s="727"/>
      <c r="G130" s="728">
        <v>2.95</v>
      </c>
      <c r="H130" s="729">
        <v>0.2</v>
      </c>
      <c r="I130" s="730" t="s">
        <v>819</v>
      </c>
      <c r="J130" s="251"/>
      <c r="K130" s="251">
        <f>(((0.35+0.3)/2)*G130)*H130</f>
        <v>0.19174999999999998</v>
      </c>
      <c r="L130" s="251"/>
      <c r="M130" s="251"/>
      <c r="N130" s="251"/>
    </row>
    <row r="131" spans="2:14" x14ac:dyDescent="0.25">
      <c r="B131" s="723"/>
      <c r="C131" s="724"/>
      <c r="D131" s="747" t="s">
        <v>822</v>
      </c>
      <c r="E131" s="726"/>
      <c r="F131" s="727"/>
      <c r="G131" s="728">
        <v>2.95</v>
      </c>
      <c r="H131" s="729">
        <v>0.2</v>
      </c>
      <c r="I131" s="730" t="s">
        <v>823</v>
      </c>
      <c r="J131" s="251"/>
      <c r="K131" s="251">
        <f>(((0.4+0.32)/2)*G131)*H131</f>
        <v>0.21240000000000003</v>
      </c>
      <c r="L131" s="251"/>
      <c r="M131" s="251"/>
      <c r="N131" s="251"/>
    </row>
    <row r="132" spans="2:14" x14ac:dyDescent="0.25">
      <c r="B132" s="723"/>
      <c r="C132" s="724"/>
      <c r="D132" s="747" t="s">
        <v>824</v>
      </c>
      <c r="E132" s="726"/>
      <c r="F132" s="727"/>
      <c r="G132" s="728">
        <v>2.0950000000000002</v>
      </c>
      <c r="H132" s="729">
        <v>0.2</v>
      </c>
      <c r="I132" s="730" t="s">
        <v>825</v>
      </c>
      <c r="J132" s="251"/>
      <c r="K132" s="251">
        <f>(((0.32+0.3)/2)*G132)*H132</f>
        <v>0.12989000000000003</v>
      </c>
      <c r="L132" s="251"/>
      <c r="M132" s="251"/>
      <c r="N132" s="251"/>
    </row>
    <row r="133" spans="2:14" x14ac:dyDescent="0.25">
      <c r="B133" s="723"/>
      <c r="C133" s="724"/>
      <c r="D133" s="747" t="s">
        <v>826</v>
      </c>
      <c r="E133" s="726"/>
      <c r="F133" s="727"/>
      <c r="G133" s="728">
        <v>6.9</v>
      </c>
      <c r="H133" s="729">
        <v>0.2</v>
      </c>
      <c r="I133" s="730" t="s">
        <v>827</v>
      </c>
      <c r="J133" s="251"/>
      <c r="K133" s="251">
        <f>(((0.5+0.48)/2)*G133)*H133</f>
        <v>0.67620000000000013</v>
      </c>
      <c r="L133" s="251"/>
      <c r="M133" s="251"/>
      <c r="N133" s="251"/>
    </row>
    <row r="134" spans="2:14" x14ac:dyDescent="0.25">
      <c r="B134" s="723"/>
      <c r="C134" s="724"/>
      <c r="D134" s="747" t="s">
        <v>828</v>
      </c>
      <c r="E134" s="726"/>
      <c r="F134" s="727"/>
      <c r="G134" s="728">
        <v>5.83</v>
      </c>
      <c r="H134" s="729">
        <v>0.2</v>
      </c>
      <c r="I134" s="730" t="s">
        <v>829</v>
      </c>
      <c r="J134" s="251"/>
      <c r="K134" s="251">
        <f>(((0.37+0.31)/2)*G134)*H134</f>
        <v>0.39643999999999996</v>
      </c>
      <c r="L134" s="251"/>
      <c r="M134" s="251"/>
      <c r="N134" s="251"/>
    </row>
    <row r="135" spans="2:14" ht="22.5" x14ac:dyDescent="0.25">
      <c r="B135" s="723"/>
      <c r="C135" s="724"/>
      <c r="D135" s="748" t="s">
        <v>1051</v>
      </c>
      <c r="E135" s="726"/>
      <c r="F135" s="730"/>
      <c r="G135" s="750"/>
      <c r="H135" s="729"/>
      <c r="I135" s="730"/>
      <c r="J135" s="251"/>
      <c r="K135" s="251"/>
      <c r="L135" s="251"/>
      <c r="M135" s="251"/>
      <c r="N135" s="251"/>
    </row>
    <row r="136" spans="2:14" ht="33.75" x14ac:dyDescent="0.25">
      <c r="B136" s="723"/>
      <c r="C136" s="724"/>
      <c r="D136" s="747" t="s">
        <v>1052</v>
      </c>
      <c r="E136" s="726"/>
      <c r="F136" s="730"/>
      <c r="G136" s="750">
        <v>0.92700000000000005</v>
      </c>
      <c r="H136" s="729">
        <v>0.2</v>
      </c>
      <c r="I136" s="730" t="s">
        <v>1063</v>
      </c>
      <c r="J136" s="251"/>
      <c r="K136" s="251">
        <f>G136*H136*0.41</f>
        <v>7.6013999999999998E-2</v>
      </c>
      <c r="L136" s="251"/>
      <c r="M136" s="251"/>
      <c r="N136" s="251"/>
    </row>
    <row r="137" spans="2:14" ht="33.75" x14ac:dyDescent="0.25">
      <c r="B137" s="723"/>
      <c r="C137" s="724"/>
      <c r="D137" s="747" t="s">
        <v>1053</v>
      </c>
      <c r="E137" s="726"/>
      <c r="F137" s="730"/>
      <c r="G137" s="750">
        <v>0.8</v>
      </c>
      <c r="H137" s="729">
        <v>0.2</v>
      </c>
      <c r="I137" s="730" t="s">
        <v>1064</v>
      </c>
      <c r="J137" s="251"/>
      <c r="K137" s="251">
        <f>(((0.41+0.64)/2)*G132)*H132</f>
        <v>0.21997500000000003</v>
      </c>
      <c r="L137" s="251"/>
      <c r="M137" s="251"/>
      <c r="N137" s="251"/>
    </row>
    <row r="138" spans="2:14" x14ac:dyDescent="0.25">
      <c r="B138" s="723"/>
      <c r="C138" s="724"/>
      <c r="D138" s="747" t="s">
        <v>1054</v>
      </c>
      <c r="E138" s="726"/>
      <c r="F138" s="730"/>
      <c r="G138" s="750">
        <f>(1.7+0.15+1.855)</f>
        <v>3.7050000000000001</v>
      </c>
      <c r="H138" s="729">
        <v>0.2</v>
      </c>
      <c r="I138" s="730" t="s">
        <v>1065</v>
      </c>
      <c r="J138" s="251"/>
      <c r="K138" s="251">
        <f>(((0.62+0.55)/2)*G133)*H133</f>
        <v>0.80730000000000013</v>
      </c>
      <c r="L138" s="251"/>
      <c r="M138" s="251"/>
      <c r="N138" s="251"/>
    </row>
    <row r="139" spans="2:14" x14ac:dyDescent="0.25">
      <c r="B139" s="723"/>
      <c r="C139" s="724"/>
      <c r="D139" s="747" t="s">
        <v>1055</v>
      </c>
      <c r="E139" s="726"/>
      <c r="F139" s="730"/>
      <c r="G139" s="750">
        <v>2.7</v>
      </c>
      <c r="H139" s="729">
        <v>0.2</v>
      </c>
      <c r="I139" s="730" t="s">
        <v>1066</v>
      </c>
      <c r="J139" s="251"/>
      <c r="K139" s="251">
        <f>(((0.2+0.35)/2)*G134)*H134</f>
        <v>0.32065000000000005</v>
      </c>
      <c r="L139" s="251"/>
      <c r="M139" s="251"/>
      <c r="N139" s="251"/>
    </row>
    <row r="140" spans="2:14" ht="22.5" x14ac:dyDescent="0.25">
      <c r="B140" s="723"/>
      <c r="C140" s="724"/>
      <c r="D140" s="747" t="s">
        <v>1056</v>
      </c>
      <c r="E140" s="726"/>
      <c r="F140" s="730"/>
      <c r="G140" s="750"/>
      <c r="H140" s="729"/>
      <c r="I140" s="730"/>
      <c r="J140" s="251"/>
      <c r="K140" s="251"/>
      <c r="L140" s="251"/>
      <c r="M140" s="251"/>
      <c r="N140" s="251"/>
    </row>
    <row r="141" spans="2:14" x14ac:dyDescent="0.25">
      <c r="B141" s="723"/>
      <c r="C141" s="724"/>
      <c r="D141" s="747"/>
      <c r="E141" s="726"/>
      <c r="F141" s="730"/>
      <c r="G141" s="750"/>
      <c r="H141" s="729"/>
      <c r="I141" s="730"/>
      <c r="J141" s="251"/>
      <c r="K141" s="251"/>
      <c r="L141" s="251"/>
      <c r="M141" s="251"/>
      <c r="N141" s="251"/>
    </row>
    <row r="142" spans="2:14" ht="23.25" x14ac:dyDescent="0.25">
      <c r="B142" s="723"/>
      <c r="C142" s="724"/>
      <c r="D142" s="776" t="s">
        <v>1057</v>
      </c>
      <c r="E142" s="777"/>
      <c r="F142" s="778"/>
      <c r="G142" s="779" t="s">
        <v>833</v>
      </c>
      <c r="H142" s="780" t="s">
        <v>834</v>
      </c>
      <c r="I142" s="781" t="s">
        <v>835</v>
      </c>
      <c r="J142" s="251"/>
      <c r="K142" s="777"/>
      <c r="L142" s="251"/>
      <c r="M142" s="251"/>
      <c r="N142" s="251"/>
    </row>
    <row r="143" spans="2:14" ht="22.5" x14ac:dyDescent="0.25">
      <c r="B143" s="723"/>
      <c r="C143" s="724"/>
      <c r="D143" s="782" t="s">
        <v>879</v>
      </c>
      <c r="E143" s="777"/>
      <c r="F143" s="783">
        <v>1</v>
      </c>
      <c r="G143" s="784">
        <v>12.5</v>
      </c>
      <c r="H143" s="729">
        <v>0.1</v>
      </c>
      <c r="I143" s="783">
        <v>0.36</v>
      </c>
      <c r="J143" s="251"/>
      <c r="K143" s="729">
        <f>((I143+H143/2)*G143)*0.2</f>
        <v>1.0250000000000001</v>
      </c>
      <c r="L143" s="251"/>
      <c r="M143" s="251"/>
      <c r="N143" s="251"/>
    </row>
    <row r="144" spans="2:14" ht="22.5" x14ac:dyDescent="0.25">
      <c r="B144" s="723"/>
      <c r="C144" s="724"/>
      <c r="D144" s="782" t="s">
        <v>876</v>
      </c>
      <c r="E144" s="777"/>
      <c r="F144" s="783">
        <v>1</v>
      </c>
      <c r="G144" s="784">
        <v>11.67</v>
      </c>
      <c r="H144" s="729">
        <v>0.36</v>
      </c>
      <c r="I144" s="783">
        <v>0.53</v>
      </c>
      <c r="J144" s="251"/>
      <c r="K144" s="729">
        <f>((I144+H144/2)*G144)*0.2</f>
        <v>1.6571400000000001</v>
      </c>
      <c r="L144" s="251"/>
      <c r="M144" s="251"/>
      <c r="N144" s="251"/>
    </row>
    <row r="145" spans="2:14" ht="33.75" x14ac:dyDescent="0.25">
      <c r="B145" s="723"/>
      <c r="C145" s="724"/>
      <c r="D145" s="782" t="s">
        <v>880</v>
      </c>
      <c r="E145" s="777"/>
      <c r="F145" s="783">
        <v>1</v>
      </c>
      <c r="G145" s="784">
        <v>27.1</v>
      </c>
      <c r="H145" s="729">
        <v>0.53</v>
      </c>
      <c r="I145" s="783">
        <v>0.74</v>
      </c>
      <c r="J145" s="251"/>
      <c r="K145" s="729">
        <f>((I145+H145/2)*G145)*0.2</f>
        <v>5.4470999999999998</v>
      </c>
      <c r="L145" s="251"/>
      <c r="M145" s="251"/>
      <c r="N145" s="251"/>
    </row>
    <row r="146" spans="2:14" ht="33.75" x14ac:dyDescent="0.25">
      <c r="B146" s="723"/>
      <c r="C146" s="724"/>
      <c r="D146" s="782" t="s">
        <v>881</v>
      </c>
      <c r="E146" s="777"/>
      <c r="F146" s="783">
        <v>1</v>
      </c>
      <c r="G146" s="784">
        <v>33.9</v>
      </c>
      <c r="H146" s="729">
        <v>0.74</v>
      </c>
      <c r="I146" s="783">
        <v>0.61</v>
      </c>
      <c r="J146" s="251"/>
      <c r="K146" s="729">
        <f>((I146+H146/2)*G146)*0.2</f>
        <v>6.644400000000001</v>
      </c>
      <c r="L146" s="251"/>
      <c r="M146" s="251"/>
      <c r="N146" s="251"/>
    </row>
    <row r="147" spans="2:14" ht="22.5" x14ac:dyDescent="0.25">
      <c r="B147" s="723"/>
      <c r="C147" s="724"/>
      <c r="D147" s="782" t="s">
        <v>882</v>
      </c>
      <c r="E147" s="777"/>
      <c r="F147" s="783">
        <v>1</v>
      </c>
      <c r="G147" s="784">
        <v>12.4</v>
      </c>
      <c r="H147" s="729">
        <v>0.61</v>
      </c>
      <c r="I147" s="783">
        <v>0.38</v>
      </c>
      <c r="J147" s="251"/>
      <c r="K147" s="729">
        <f>((I147+H147/2)*G147)*0.2</f>
        <v>1.6988000000000003</v>
      </c>
      <c r="L147" s="251"/>
      <c r="M147" s="251"/>
      <c r="N147" s="251"/>
    </row>
    <row r="148" spans="2:14" ht="33.75" x14ac:dyDescent="0.25">
      <c r="B148" s="723"/>
      <c r="C148" s="724"/>
      <c r="D148" s="776" t="s">
        <v>1058</v>
      </c>
      <c r="E148" s="777"/>
      <c r="F148" s="783"/>
      <c r="G148" s="785" t="s">
        <v>1067</v>
      </c>
      <c r="H148" s="786" t="s">
        <v>1068</v>
      </c>
      <c r="I148" s="783" t="s">
        <v>649</v>
      </c>
      <c r="J148" s="251"/>
      <c r="K148" s="729"/>
      <c r="L148" s="251"/>
      <c r="M148" s="251"/>
      <c r="N148" s="251"/>
    </row>
    <row r="149" spans="2:14" x14ac:dyDescent="0.25">
      <c r="B149" s="723"/>
      <c r="C149" s="724"/>
      <c r="D149" s="787" t="s">
        <v>1059</v>
      </c>
      <c r="E149" s="777"/>
      <c r="F149" s="783">
        <v>1</v>
      </c>
      <c r="G149" s="784">
        <f>(11.1+9.1+13.6+1.9+16.3+22.8+5.1+6.3+5.4+2.45+5.4+10.9)</f>
        <v>110.35000000000001</v>
      </c>
      <c r="H149" s="729">
        <v>0.15</v>
      </c>
      <c r="I149" s="783">
        <v>0.2</v>
      </c>
      <c r="J149" s="251"/>
      <c r="K149" s="729">
        <f>(G149*H149*I149*F149)</f>
        <v>3.3105000000000007</v>
      </c>
      <c r="L149" s="251"/>
      <c r="M149" s="251"/>
      <c r="N149" s="251"/>
    </row>
    <row r="150" spans="2:14" ht="33.75" x14ac:dyDescent="0.25">
      <c r="B150" s="723"/>
      <c r="C150" s="724"/>
      <c r="D150" s="776" t="s">
        <v>1060</v>
      </c>
      <c r="E150" s="777"/>
      <c r="F150" s="783"/>
      <c r="G150" s="785" t="s">
        <v>1067</v>
      </c>
      <c r="H150" s="786" t="s">
        <v>1068</v>
      </c>
      <c r="I150" s="783" t="s">
        <v>649</v>
      </c>
      <c r="J150" s="251"/>
      <c r="K150" s="729"/>
      <c r="L150" s="251"/>
      <c r="M150" s="251"/>
      <c r="N150" s="251"/>
    </row>
    <row r="151" spans="2:14" x14ac:dyDescent="0.25">
      <c r="B151" s="723"/>
      <c r="C151" s="724"/>
      <c r="D151" s="787"/>
      <c r="E151" s="777"/>
      <c r="F151" s="783">
        <v>1</v>
      </c>
      <c r="G151" s="784">
        <f>(6.8+3.6)</f>
        <v>10.4</v>
      </c>
      <c r="H151" s="729">
        <v>0.15</v>
      </c>
      <c r="I151" s="783">
        <v>0.2</v>
      </c>
      <c r="J151" s="251"/>
      <c r="K151" s="729">
        <f>(G151*H151*I151*F151)</f>
        <v>0.31200000000000006</v>
      </c>
      <c r="L151" s="251"/>
      <c r="M151" s="251"/>
      <c r="N151" s="251"/>
    </row>
    <row r="152" spans="2:14" ht="33.75" x14ac:dyDescent="0.25">
      <c r="B152" s="723"/>
      <c r="C152" s="724"/>
      <c r="D152" s="776" t="s">
        <v>1061</v>
      </c>
      <c r="E152" s="777"/>
      <c r="F152" s="783"/>
      <c r="G152" s="785" t="s">
        <v>1067</v>
      </c>
      <c r="H152" s="786" t="s">
        <v>1068</v>
      </c>
      <c r="I152" s="783" t="s">
        <v>649</v>
      </c>
      <c r="J152" s="251"/>
      <c r="K152" s="729"/>
      <c r="L152" s="251"/>
      <c r="M152" s="251"/>
      <c r="N152" s="251"/>
    </row>
    <row r="153" spans="2:14" x14ac:dyDescent="0.25">
      <c r="B153" s="723"/>
      <c r="C153" s="724"/>
      <c r="D153" s="787" t="s">
        <v>1062</v>
      </c>
      <c r="E153" s="777"/>
      <c r="F153" s="783">
        <v>1</v>
      </c>
      <c r="G153" s="784">
        <f>(3.55*2)+(5.06*2)</f>
        <v>17.22</v>
      </c>
      <c r="H153" s="729">
        <v>0.2</v>
      </c>
      <c r="I153" s="783">
        <v>0.2</v>
      </c>
      <c r="J153" s="251"/>
      <c r="K153" s="729">
        <f>(G153*H153*I153*F153)</f>
        <v>0.68880000000000008</v>
      </c>
      <c r="L153" s="251"/>
      <c r="M153" s="251"/>
      <c r="N153" s="251"/>
    </row>
    <row r="154" spans="2:14" x14ac:dyDescent="0.25">
      <c r="B154" s="723"/>
      <c r="C154" s="724"/>
      <c r="D154" s="787"/>
      <c r="E154" s="777"/>
      <c r="F154" s="783"/>
      <c r="G154" s="784"/>
      <c r="H154" s="729"/>
      <c r="I154" s="783"/>
      <c r="J154" s="251"/>
      <c r="K154" s="729"/>
      <c r="L154" s="251"/>
      <c r="M154" s="251"/>
      <c r="N154" s="251"/>
    </row>
    <row r="155" spans="2:14" x14ac:dyDescent="0.25">
      <c r="B155" s="723"/>
      <c r="C155" s="724"/>
      <c r="D155" s="747"/>
      <c r="E155" s="726"/>
      <c r="F155" s="727"/>
      <c r="G155" s="728"/>
      <c r="H155" s="729"/>
      <c r="I155" s="730"/>
      <c r="J155" s="251"/>
      <c r="K155" s="251"/>
      <c r="L155" s="251"/>
      <c r="M155" s="251"/>
      <c r="N155" s="251"/>
    </row>
    <row r="156" spans="2:14" ht="22.5" hidden="1" x14ac:dyDescent="0.25">
      <c r="B156" s="723" t="s">
        <v>53</v>
      </c>
      <c r="C156" s="742">
        <v>101616</v>
      </c>
      <c r="D156" s="725" t="s">
        <v>55</v>
      </c>
      <c r="E156" s="726" t="s">
        <v>17</v>
      </c>
      <c r="F156" s="727"/>
      <c r="G156" s="728"/>
      <c r="H156" s="729">
        <v>0.2</v>
      </c>
      <c r="I156" s="730"/>
      <c r="J156" s="251"/>
      <c r="K156" s="250">
        <f>SUM(K158:K164)</f>
        <v>10.64</v>
      </c>
      <c r="L156" s="251"/>
      <c r="M156" s="251"/>
      <c r="N156" s="251"/>
    </row>
    <row r="157" spans="2:14" hidden="1" x14ac:dyDescent="0.25">
      <c r="B157" s="723"/>
      <c r="C157" s="742"/>
      <c r="D157" s="746" t="s">
        <v>588</v>
      </c>
      <c r="E157" s="726"/>
      <c r="F157" s="727"/>
      <c r="G157" s="728"/>
      <c r="H157" s="729">
        <v>0.2</v>
      </c>
      <c r="I157" s="730"/>
      <c r="J157" s="251"/>
      <c r="K157" s="250"/>
      <c r="L157" s="251"/>
      <c r="M157" s="251"/>
      <c r="N157" s="251"/>
    </row>
    <row r="158" spans="2:14" ht="33.75" hidden="1" x14ac:dyDescent="0.25">
      <c r="B158" s="723"/>
      <c r="C158" s="742"/>
      <c r="D158" s="747" t="s">
        <v>569</v>
      </c>
      <c r="E158" s="726"/>
      <c r="F158" s="727">
        <v>32</v>
      </c>
      <c r="G158" s="728">
        <v>0.6</v>
      </c>
      <c r="H158" s="729">
        <v>0.2</v>
      </c>
      <c r="I158" s="788"/>
      <c r="J158" s="251"/>
      <c r="K158" s="251">
        <f t="shared" ref="K158:K164" si="2">F158*(G158*H158)</f>
        <v>3.84</v>
      </c>
      <c r="L158" s="251"/>
      <c r="M158" s="251"/>
      <c r="N158" s="251"/>
    </row>
    <row r="159" spans="2:14" ht="45" hidden="1" x14ac:dyDescent="0.25">
      <c r="B159" s="723"/>
      <c r="C159" s="742"/>
      <c r="D159" s="747" t="s">
        <v>570</v>
      </c>
      <c r="E159" s="726"/>
      <c r="F159" s="727">
        <v>40</v>
      </c>
      <c r="G159" s="728">
        <v>0.6</v>
      </c>
      <c r="H159" s="729">
        <v>0.2</v>
      </c>
      <c r="I159" s="788"/>
      <c r="J159" s="251"/>
      <c r="K159" s="251">
        <f t="shared" si="2"/>
        <v>4.8</v>
      </c>
      <c r="L159" s="251"/>
      <c r="M159" s="251"/>
      <c r="N159" s="251"/>
    </row>
    <row r="160" spans="2:14" hidden="1" x14ac:dyDescent="0.25">
      <c r="B160" s="723"/>
      <c r="C160" s="742"/>
      <c r="D160" s="747" t="s">
        <v>571</v>
      </c>
      <c r="E160" s="726"/>
      <c r="F160" s="727">
        <v>1</v>
      </c>
      <c r="G160" s="728">
        <v>0.6</v>
      </c>
      <c r="H160" s="729">
        <v>0.2</v>
      </c>
      <c r="I160" s="788"/>
      <c r="J160" s="251"/>
      <c r="K160" s="251">
        <f t="shared" si="2"/>
        <v>0.12</v>
      </c>
      <c r="L160" s="251"/>
      <c r="M160" s="251"/>
      <c r="N160" s="251"/>
    </row>
    <row r="161" spans="2:14" hidden="1" x14ac:dyDescent="0.25">
      <c r="B161" s="723"/>
      <c r="C161" s="742"/>
      <c r="D161" s="747" t="s">
        <v>572</v>
      </c>
      <c r="E161" s="726"/>
      <c r="F161" s="727">
        <v>2</v>
      </c>
      <c r="G161" s="728">
        <v>0.9</v>
      </c>
      <c r="H161" s="729">
        <v>0.2</v>
      </c>
      <c r="I161" s="788"/>
      <c r="J161" s="251"/>
      <c r="K161" s="251">
        <f t="shared" si="2"/>
        <v>0.36000000000000004</v>
      </c>
      <c r="L161" s="251"/>
      <c r="M161" s="251"/>
      <c r="N161" s="251"/>
    </row>
    <row r="162" spans="2:14" hidden="1" x14ac:dyDescent="0.25">
      <c r="B162" s="723"/>
      <c r="C162" s="742"/>
      <c r="D162" s="747" t="s">
        <v>573</v>
      </c>
      <c r="E162" s="726"/>
      <c r="F162" s="727">
        <v>7</v>
      </c>
      <c r="G162" s="728">
        <v>0.65</v>
      </c>
      <c r="H162" s="729">
        <v>0.2</v>
      </c>
      <c r="I162" s="788"/>
      <c r="J162" s="251"/>
      <c r="K162" s="251">
        <f t="shared" si="2"/>
        <v>0.91</v>
      </c>
      <c r="L162" s="251"/>
      <c r="M162" s="251"/>
      <c r="N162" s="251"/>
    </row>
    <row r="163" spans="2:14" hidden="1" x14ac:dyDescent="0.25">
      <c r="B163" s="723"/>
      <c r="C163" s="742"/>
      <c r="D163" s="747" t="s">
        <v>574</v>
      </c>
      <c r="E163" s="726"/>
      <c r="F163" s="727">
        <v>3</v>
      </c>
      <c r="G163" s="728">
        <v>0.65</v>
      </c>
      <c r="H163" s="729">
        <v>0.2</v>
      </c>
      <c r="I163" s="788"/>
      <c r="J163" s="251"/>
      <c r="K163" s="251">
        <f t="shared" si="2"/>
        <v>0.39</v>
      </c>
      <c r="L163" s="251"/>
      <c r="M163" s="251"/>
      <c r="N163" s="251"/>
    </row>
    <row r="164" spans="2:14" hidden="1" x14ac:dyDescent="0.25">
      <c r="B164" s="723"/>
      <c r="C164" s="742"/>
      <c r="D164" s="747" t="s">
        <v>575</v>
      </c>
      <c r="E164" s="726"/>
      <c r="F164" s="727">
        <v>2</v>
      </c>
      <c r="G164" s="728">
        <v>0.55000000000000004</v>
      </c>
      <c r="H164" s="729">
        <v>0.2</v>
      </c>
      <c r="I164" s="788"/>
      <c r="J164" s="251"/>
      <c r="K164" s="251">
        <f t="shared" si="2"/>
        <v>0.22000000000000003</v>
      </c>
      <c r="L164" s="251"/>
      <c r="M164" s="251"/>
      <c r="N164" s="251"/>
    </row>
    <row r="165" spans="2:14" ht="33.75" hidden="1" x14ac:dyDescent="0.25">
      <c r="B165" s="723" t="s">
        <v>56</v>
      </c>
      <c r="C165" s="742">
        <v>96619</v>
      </c>
      <c r="D165" s="789" t="s">
        <v>58</v>
      </c>
      <c r="E165" s="726" t="s">
        <v>17</v>
      </c>
      <c r="F165" s="727"/>
      <c r="G165" s="728"/>
      <c r="H165" s="729">
        <v>0.2</v>
      </c>
      <c r="I165" s="730"/>
      <c r="J165" s="251"/>
      <c r="K165" s="250">
        <f>SUM(K167:K173)</f>
        <v>10.64</v>
      </c>
      <c r="L165" s="251"/>
      <c r="M165" s="251"/>
      <c r="N165" s="251"/>
    </row>
    <row r="166" spans="2:14" hidden="1" x14ac:dyDescent="0.25">
      <c r="B166" s="723"/>
      <c r="C166" s="742"/>
      <c r="D166" s="746" t="s">
        <v>588</v>
      </c>
      <c r="E166" s="726"/>
      <c r="F166" s="727"/>
      <c r="G166" s="728"/>
      <c r="H166" s="729">
        <v>0.2</v>
      </c>
      <c r="I166" s="730"/>
      <c r="J166" s="251"/>
      <c r="K166" s="250"/>
      <c r="L166" s="251"/>
      <c r="M166" s="251"/>
      <c r="N166" s="251"/>
    </row>
    <row r="167" spans="2:14" ht="33.75" hidden="1" x14ac:dyDescent="0.25">
      <c r="B167" s="723"/>
      <c r="C167" s="742"/>
      <c r="D167" s="747" t="s">
        <v>569</v>
      </c>
      <c r="E167" s="726"/>
      <c r="F167" s="727">
        <v>32</v>
      </c>
      <c r="G167" s="728">
        <v>0.6</v>
      </c>
      <c r="H167" s="729">
        <v>0.2</v>
      </c>
      <c r="I167" s="730"/>
      <c r="J167" s="251"/>
      <c r="K167" s="251">
        <f t="shared" ref="K167:K173" si="3">F167*(G167*H167)</f>
        <v>3.84</v>
      </c>
      <c r="L167" s="251"/>
      <c r="M167" s="251"/>
      <c r="N167" s="251"/>
    </row>
    <row r="168" spans="2:14" ht="45" hidden="1" x14ac:dyDescent="0.25">
      <c r="B168" s="723"/>
      <c r="C168" s="742"/>
      <c r="D168" s="747" t="s">
        <v>570</v>
      </c>
      <c r="E168" s="726"/>
      <c r="F168" s="727">
        <v>40</v>
      </c>
      <c r="G168" s="728">
        <v>0.6</v>
      </c>
      <c r="H168" s="729">
        <v>0.2</v>
      </c>
      <c r="I168" s="730"/>
      <c r="J168" s="251"/>
      <c r="K168" s="251">
        <f t="shared" si="3"/>
        <v>4.8</v>
      </c>
      <c r="L168" s="251"/>
      <c r="M168" s="251"/>
      <c r="N168" s="251"/>
    </row>
    <row r="169" spans="2:14" hidden="1" x14ac:dyDescent="0.25">
      <c r="B169" s="723"/>
      <c r="C169" s="742"/>
      <c r="D169" s="747" t="s">
        <v>571</v>
      </c>
      <c r="E169" s="726"/>
      <c r="F169" s="727">
        <v>1</v>
      </c>
      <c r="G169" s="728">
        <v>0.6</v>
      </c>
      <c r="H169" s="729">
        <v>0.2</v>
      </c>
      <c r="I169" s="730"/>
      <c r="J169" s="251"/>
      <c r="K169" s="251">
        <f t="shared" si="3"/>
        <v>0.12</v>
      </c>
      <c r="L169" s="251"/>
      <c r="M169" s="251"/>
      <c r="N169" s="251"/>
    </row>
    <row r="170" spans="2:14" hidden="1" x14ac:dyDescent="0.25">
      <c r="B170" s="723"/>
      <c r="C170" s="742"/>
      <c r="D170" s="747" t="s">
        <v>572</v>
      </c>
      <c r="E170" s="726"/>
      <c r="F170" s="727">
        <v>2</v>
      </c>
      <c r="G170" s="728">
        <v>0.9</v>
      </c>
      <c r="H170" s="729">
        <v>0.2</v>
      </c>
      <c r="I170" s="730"/>
      <c r="J170" s="251"/>
      <c r="K170" s="251">
        <f t="shared" si="3"/>
        <v>0.36000000000000004</v>
      </c>
      <c r="L170" s="251"/>
      <c r="M170" s="251"/>
      <c r="N170" s="251"/>
    </row>
    <row r="171" spans="2:14" hidden="1" x14ac:dyDescent="0.25">
      <c r="B171" s="723"/>
      <c r="C171" s="742"/>
      <c r="D171" s="747" t="s">
        <v>573</v>
      </c>
      <c r="E171" s="726"/>
      <c r="F171" s="727">
        <v>7</v>
      </c>
      <c r="G171" s="728">
        <v>0.65</v>
      </c>
      <c r="H171" s="729">
        <v>0.2</v>
      </c>
      <c r="I171" s="730"/>
      <c r="J171" s="251"/>
      <c r="K171" s="251">
        <f t="shared" si="3"/>
        <v>0.91</v>
      </c>
      <c r="L171" s="251"/>
      <c r="M171" s="251"/>
      <c r="N171" s="251"/>
    </row>
    <row r="172" spans="2:14" hidden="1" x14ac:dyDescent="0.25">
      <c r="B172" s="723"/>
      <c r="C172" s="742"/>
      <c r="D172" s="747" t="s">
        <v>574</v>
      </c>
      <c r="E172" s="726"/>
      <c r="F172" s="727">
        <v>3</v>
      </c>
      <c r="G172" s="728">
        <v>0.65</v>
      </c>
      <c r="H172" s="729">
        <v>0.2</v>
      </c>
      <c r="I172" s="730"/>
      <c r="J172" s="251"/>
      <c r="K172" s="251">
        <f t="shared" si="3"/>
        <v>0.39</v>
      </c>
      <c r="L172" s="251"/>
      <c r="M172" s="251"/>
      <c r="N172" s="251"/>
    </row>
    <row r="173" spans="2:14" hidden="1" x14ac:dyDescent="0.25">
      <c r="B173" s="723"/>
      <c r="C173" s="742"/>
      <c r="D173" s="747" t="s">
        <v>575</v>
      </c>
      <c r="E173" s="726"/>
      <c r="F173" s="727">
        <v>2</v>
      </c>
      <c r="G173" s="728">
        <v>0.55000000000000004</v>
      </c>
      <c r="H173" s="729">
        <v>0.2</v>
      </c>
      <c r="I173" s="730"/>
      <c r="J173" s="251"/>
      <c r="K173" s="251">
        <f t="shared" si="3"/>
        <v>0.22000000000000003</v>
      </c>
      <c r="L173" s="251"/>
      <c r="M173" s="251"/>
      <c r="N173" s="251"/>
    </row>
    <row r="174" spans="2:14" ht="22.5" x14ac:dyDescent="0.25">
      <c r="B174" s="723" t="s">
        <v>59</v>
      </c>
      <c r="C174" s="742">
        <v>96545</v>
      </c>
      <c r="D174" s="725" t="s">
        <v>61</v>
      </c>
      <c r="E174" s="726" t="s">
        <v>62</v>
      </c>
      <c r="F174" s="727"/>
      <c r="G174" s="770" t="s">
        <v>1077</v>
      </c>
      <c r="H174" s="771"/>
      <c r="I174" s="772"/>
      <c r="J174" s="251">
        <f>'BOLETIM DE MEDIÇÃO 10'!R29-'MEMORIAL DE CÁLCULO 10'!K174</f>
        <v>537.29984999999999</v>
      </c>
      <c r="K174" s="250">
        <v>17.75</v>
      </c>
      <c r="L174" s="251">
        <f>J174+K174</f>
        <v>555.04984999999999</v>
      </c>
      <c r="M174" s="251">
        <f>'BOLETIM DE MEDIÇÃO 10'!G29</f>
        <v>555.04999999999995</v>
      </c>
      <c r="N174" s="251">
        <f>M174-L174</f>
        <v>1.4999999996234692E-4</v>
      </c>
    </row>
    <row r="175" spans="2:14" x14ac:dyDescent="0.25">
      <c r="B175" s="723"/>
      <c r="C175" s="742"/>
      <c r="D175" s="746" t="s">
        <v>1069</v>
      </c>
      <c r="E175" s="726"/>
      <c r="F175" s="727">
        <v>1</v>
      </c>
      <c r="G175" s="790">
        <f>'[1]BOLETIM - ADITIVO 01'!G29</f>
        <v>537.29999999999995</v>
      </c>
      <c r="H175" s="791"/>
      <c r="I175" s="792"/>
      <c r="J175" s="251"/>
      <c r="K175" s="251">
        <f>G175</f>
        <v>537.29999999999995</v>
      </c>
      <c r="L175" s="251"/>
      <c r="M175" s="251"/>
      <c r="N175" s="251"/>
    </row>
    <row r="176" spans="2:14" ht="22.5" x14ac:dyDescent="0.25">
      <c r="B176" s="723"/>
      <c r="C176" s="742"/>
      <c r="D176" s="793" t="s">
        <v>1070</v>
      </c>
      <c r="E176" s="726"/>
      <c r="F176" s="727">
        <v>1</v>
      </c>
      <c r="G176" s="773" t="s">
        <v>1071</v>
      </c>
      <c r="H176" s="794" t="s">
        <v>1072</v>
      </c>
      <c r="I176" s="795" t="s">
        <v>611</v>
      </c>
      <c r="J176" s="251"/>
      <c r="K176" s="796"/>
      <c r="L176" s="251"/>
      <c r="M176" s="251"/>
      <c r="N176" s="251"/>
    </row>
    <row r="177" spans="2:14" ht="33.75" x14ac:dyDescent="0.25">
      <c r="B177" s="723"/>
      <c r="C177" s="742"/>
      <c r="D177" s="747" t="s">
        <v>1052</v>
      </c>
      <c r="E177" s="726"/>
      <c r="F177" s="730">
        <v>1</v>
      </c>
      <c r="G177" s="750">
        <v>0.92700000000000005</v>
      </c>
      <c r="H177" s="794">
        <v>4</v>
      </c>
      <c r="I177" s="795">
        <v>0.39500000000000002</v>
      </c>
      <c r="J177" s="251"/>
      <c r="K177" s="797">
        <f>G177*H177*I177</f>
        <v>1.4646600000000001</v>
      </c>
      <c r="L177" s="251"/>
      <c r="M177" s="251"/>
      <c r="N177" s="251"/>
    </row>
    <row r="178" spans="2:14" ht="33.75" x14ac:dyDescent="0.25">
      <c r="B178" s="723"/>
      <c r="C178" s="742"/>
      <c r="D178" s="747" t="s">
        <v>1053</v>
      </c>
      <c r="E178" s="726"/>
      <c r="F178" s="730">
        <v>1</v>
      </c>
      <c r="G178" s="750">
        <v>0.8</v>
      </c>
      <c r="H178" s="794">
        <v>4</v>
      </c>
      <c r="I178" s="795">
        <v>0.39500000000000002</v>
      </c>
      <c r="J178" s="251"/>
      <c r="K178" s="797">
        <f>G178*H178*I178</f>
        <v>1.2640000000000002</v>
      </c>
      <c r="L178" s="251"/>
      <c r="M178" s="251"/>
      <c r="N178" s="251"/>
    </row>
    <row r="179" spans="2:14" x14ac:dyDescent="0.25">
      <c r="B179" s="723"/>
      <c r="C179" s="742"/>
      <c r="D179" s="747" t="s">
        <v>1054</v>
      </c>
      <c r="E179" s="726"/>
      <c r="F179" s="730">
        <v>1</v>
      </c>
      <c r="G179" s="750">
        <f>(1.7+0.15+1.855)</f>
        <v>3.7050000000000001</v>
      </c>
      <c r="H179" s="794">
        <v>4</v>
      </c>
      <c r="I179" s="795">
        <v>0.39500000000000002</v>
      </c>
      <c r="J179" s="251"/>
      <c r="K179" s="797">
        <f>G179*H179*I179</f>
        <v>5.8539000000000003</v>
      </c>
      <c r="L179" s="251"/>
      <c r="M179" s="251"/>
      <c r="N179" s="251"/>
    </row>
    <row r="180" spans="2:14" x14ac:dyDescent="0.25">
      <c r="B180" s="723"/>
      <c r="C180" s="742"/>
      <c r="D180" s="747" t="s">
        <v>1055</v>
      </c>
      <c r="E180" s="726"/>
      <c r="F180" s="730">
        <v>1</v>
      </c>
      <c r="G180" s="750">
        <v>2.7</v>
      </c>
      <c r="H180" s="794">
        <v>4</v>
      </c>
      <c r="I180" s="795">
        <v>0.39500000000000002</v>
      </c>
      <c r="J180" s="251"/>
      <c r="K180" s="797">
        <f>G180*H180*I180</f>
        <v>4.2660000000000009</v>
      </c>
      <c r="L180" s="251"/>
      <c r="M180" s="251"/>
      <c r="N180" s="251"/>
    </row>
    <row r="181" spans="2:14" ht="22.5" x14ac:dyDescent="0.25">
      <c r="B181" s="723"/>
      <c r="C181" s="742"/>
      <c r="D181" s="747" t="s">
        <v>1073</v>
      </c>
      <c r="E181" s="726"/>
      <c r="F181" s="730">
        <v>2</v>
      </c>
      <c r="G181" s="750">
        <v>3.1</v>
      </c>
      <c r="H181" s="794">
        <v>4</v>
      </c>
      <c r="I181" s="795">
        <v>0.39500000000000002</v>
      </c>
      <c r="J181" s="251"/>
      <c r="K181" s="797">
        <f>G181*H181*I181</f>
        <v>4.8980000000000006</v>
      </c>
      <c r="L181" s="251"/>
      <c r="M181" s="251"/>
      <c r="N181" s="251"/>
    </row>
    <row r="182" spans="2:14" x14ac:dyDescent="0.25">
      <c r="B182" s="723"/>
      <c r="C182" s="742"/>
      <c r="D182" s="747"/>
      <c r="E182" s="726"/>
      <c r="F182" s="730"/>
      <c r="G182" s="798"/>
      <c r="H182" s="799"/>
      <c r="I182" s="800"/>
      <c r="J182" s="251"/>
      <c r="K182" s="797"/>
      <c r="L182" s="251"/>
      <c r="M182" s="251"/>
      <c r="N182" s="251"/>
    </row>
    <row r="183" spans="2:14" x14ac:dyDescent="0.25">
      <c r="B183" s="723"/>
      <c r="C183" s="742"/>
      <c r="D183" s="747"/>
      <c r="E183" s="726"/>
      <c r="F183" s="730"/>
      <c r="G183" s="798"/>
      <c r="H183" s="799"/>
      <c r="I183" s="800"/>
      <c r="J183" s="251"/>
      <c r="K183" s="797"/>
      <c r="L183" s="251"/>
      <c r="M183" s="251"/>
      <c r="N183" s="251"/>
    </row>
    <row r="184" spans="2:14" x14ac:dyDescent="0.25">
      <c r="B184" s="723"/>
      <c r="C184" s="742"/>
      <c r="D184" s="747"/>
      <c r="E184" s="726"/>
      <c r="F184" s="727"/>
      <c r="G184" s="801"/>
      <c r="H184" s="799"/>
      <c r="I184" s="800"/>
      <c r="J184" s="251"/>
      <c r="K184" s="797"/>
      <c r="L184" s="251"/>
      <c r="M184" s="251"/>
      <c r="N184" s="251"/>
    </row>
    <row r="185" spans="2:14" ht="33.75" x14ac:dyDescent="0.25">
      <c r="B185" s="723" t="s">
        <v>63</v>
      </c>
      <c r="C185" s="742">
        <v>94966</v>
      </c>
      <c r="D185" s="725" t="s">
        <v>65</v>
      </c>
      <c r="E185" s="726" t="s">
        <v>41</v>
      </c>
      <c r="F185" s="727"/>
      <c r="G185" s="770" t="s">
        <v>1078</v>
      </c>
      <c r="H185" s="771"/>
      <c r="I185" s="772"/>
      <c r="J185" s="251">
        <f>'BOLETIM DE MEDIÇÃO 10'!R30-'MEMORIAL DE CÁLCULO 10'!K185</f>
        <v>21.159974999999996</v>
      </c>
      <c r="K185" s="250">
        <v>1.73</v>
      </c>
      <c r="L185" s="251">
        <f>J185+K185</f>
        <v>22.889974999999996</v>
      </c>
      <c r="M185" s="251">
        <f>'BOLETIM DE MEDIÇÃO 10'!G30</f>
        <v>22.89</v>
      </c>
      <c r="N185" s="251">
        <f>M185-L185</f>
        <v>2.5000000004382628E-5</v>
      </c>
    </row>
    <row r="186" spans="2:14" x14ac:dyDescent="0.25">
      <c r="B186" s="723"/>
      <c r="C186" s="742"/>
      <c r="D186" s="802" t="s">
        <v>588</v>
      </c>
      <c r="E186" s="726"/>
      <c r="F186" s="727"/>
      <c r="G186" s="739"/>
      <c r="H186" s="740"/>
      <c r="I186" s="741"/>
      <c r="J186" s="251"/>
      <c r="K186" s="251"/>
      <c r="L186" s="251"/>
      <c r="M186" s="251"/>
      <c r="N186" s="251"/>
    </row>
    <row r="187" spans="2:14" ht="33.75" x14ac:dyDescent="0.25">
      <c r="B187" s="723"/>
      <c r="C187" s="742"/>
      <c r="D187" s="747" t="s">
        <v>569</v>
      </c>
      <c r="E187" s="726"/>
      <c r="F187" s="727">
        <v>32</v>
      </c>
      <c r="G187" s="728">
        <v>0.6</v>
      </c>
      <c r="H187" s="729">
        <v>0.7</v>
      </c>
      <c r="I187" s="730">
        <v>0.25</v>
      </c>
      <c r="J187" s="251"/>
      <c r="K187" s="251">
        <f t="shared" ref="K187:K193" si="4">F187*(G187*H187*I187)</f>
        <v>3.36</v>
      </c>
      <c r="L187" s="251"/>
      <c r="M187" s="251"/>
      <c r="N187" s="251"/>
    </row>
    <row r="188" spans="2:14" ht="45" x14ac:dyDescent="0.25">
      <c r="B188" s="723"/>
      <c r="C188" s="742"/>
      <c r="D188" s="747" t="s">
        <v>570</v>
      </c>
      <c r="E188" s="726"/>
      <c r="F188" s="727">
        <v>41</v>
      </c>
      <c r="G188" s="728">
        <v>0.6</v>
      </c>
      <c r="H188" s="729">
        <v>0.7</v>
      </c>
      <c r="I188" s="730">
        <v>0.25</v>
      </c>
      <c r="J188" s="251"/>
      <c r="K188" s="251">
        <f t="shared" si="4"/>
        <v>4.3049999999999997</v>
      </c>
      <c r="L188" s="251"/>
      <c r="M188" s="251"/>
      <c r="N188" s="251"/>
    </row>
    <row r="189" spans="2:14" x14ac:dyDescent="0.25">
      <c r="B189" s="723"/>
      <c r="C189" s="742"/>
      <c r="D189" s="747" t="s">
        <v>571</v>
      </c>
      <c r="E189" s="726"/>
      <c r="F189" s="727">
        <v>1</v>
      </c>
      <c r="G189" s="728">
        <v>0.6</v>
      </c>
      <c r="H189" s="729">
        <v>0.8</v>
      </c>
      <c r="I189" s="730">
        <v>0.25</v>
      </c>
      <c r="J189" s="251"/>
      <c r="K189" s="251">
        <f t="shared" si="4"/>
        <v>0.12</v>
      </c>
      <c r="L189" s="251"/>
      <c r="M189" s="251"/>
      <c r="N189" s="251"/>
    </row>
    <row r="190" spans="2:14" x14ac:dyDescent="0.25">
      <c r="B190" s="723"/>
      <c r="C190" s="742"/>
      <c r="D190" s="747" t="s">
        <v>572</v>
      </c>
      <c r="E190" s="726"/>
      <c r="F190" s="727">
        <v>2</v>
      </c>
      <c r="G190" s="728">
        <v>0.9</v>
      </c>
      <c r="H190" s="729">
        <v>0.9</v>
      </c>
      <c r="I190" s="730">
        <v>0.25</v>
      </c>
      <c r="J190" s="251"/>
      <c r="K190" s="251">
        <f t="shared" si="4"/>
        <v>0.40500000000000003</v>
      </c>
      <c r="L190" s="251"/>
      <c r="M190" s="251"/>
      <c r="N190" s="251"/>
    </row>
    <row r="191" spans="2:14" x14ac:dyDescent="0.25">
      <c r="B191" s="723"/>
      <c r="C191" s="742"/>
      <c r="D191" s="747" t="s">
        <v>573</v>
      </c>
      <c r="E191" s="726"/>
      <c r="F191" s="727">
        <v>7</v>
      </c>
      <c r="G191" s="728">
        <v>0.65</v>
      </c>
      <c r="H191" s="729">
        <v>0.65</v>
      </c>
      <c r="I191" s="730">
        <v>0.25</v>
      </c>
      <c r="J191" s="251"/>
      <c r="K191" s="251">
        <f t="shared" si="4"/>
        <v>0.73937500000000012</v>
      </c>
      <c r="L191" s="251"/>
      <c r="M191" s="251"/>
      <c r="N191" s="251"/>
    </row>
    <row r="192" spans="2:14" x14ac:dyDescent="0.25">
      <c r="B192" s="723"/>
      <c r="C192" s="742"/>
      <c r="D192" s="747" t="s">
        <v>574</v>
      </c>
      <c r="E192" s="726"/>
      <c r="F192" s="727">
        <v>3</v>
      </c>
      <c r="G192" s="728">
        <v>0.65</v>
      </c>
      <c r="H192" s="729">
        <v>0.75</v>
      </c>
      <c r="I192" s="730">
        <v>0.25</v>
      </c>
      <c r="J192" s="251"/>
      <c r="K192" s="251">
        <f t="shared" si="4"/>
        <v>0.36562500000000003</v>
      </c>
      <c r="L192" s="251"/>
      <c r="M192" s="251"/>
      <c r="N192" s="251"/>
    </row>
    <row r="193" spans="2:14" x14ac:dyDescent="0.25">
      <c r="B193" s="723"/>
      <c r="C193" s="742"/>
      <c r="D193" s="747" t="s">
        <v>575</v>
      </c>
      <c r="E193" s="726"/>
      <c r="F193" s="727">
        <v>2</v>
      </c>
      <c r="G193" s="728">
        <v>0.55000000000000004</v>
      </c>
      <c r="H193" s="729">
        <v>0.95</v>
      </c>
      <c r="I193" s="730">
        <v>0.25</v>
      </c>
      <c r="J193" s="251"/>
      <c r="K193" s="251">
        <f t="shared" si="4"/>
        <v>0.26124999999999998</v>
      </c>
      <c r="L193" s="251"/>
      <c r="M193" s="251"/>
      <c r="N193" s="251"/>
    </row>
    <row r="194" spans="2:14" ht="27.75" customHeight="1" x14ac:dyDescent="0.25">
      <c r="B194" s="723"/>
      <c r="C194" s="742"/>
      <c r="D194" s="746" t="s">
        <v>646</v>
      </c>
      <c r="E194" s="726"/>
      <c r="F194" s="727"/>
      <c r="G194" s="790" t="s">
        <v>679</v>
      </c>
      <c r="H194" s="803"/>
      <c r="I194" s="730" t="s">
        <v>651</v>
      </c>
      <c r="J194" s="251"/>
      <c r="K194" s="251"/>
      <c r="L194" s="251"/>
      <c r="M194" s="251"/>
      <c r="N194" s="251"/>
    </row>
    <row r="195" spans="2:14" x14ac:dyDescent="0.25">
      <c r="B195" s="723"/>
      <c r="C195" s="742"/>
      <c r="D195" s="747" t="s">
        <v>614</v>
      </c>
      <c r="E195" s="726"/>
      <c r="F195" s="727">
        <v>1</v>
      </c>
      <c r="G195" s="739" t="s">
        <v>680</v>
      </c>
      <c r="H195" s="769"/>
      <c r="I195" s="730">
        <v>1.85</v>
      </c>
      <c r="J195" s="251"/>
      <c r="K195" s="251">
        <f xml:space="preserve"> (0.15*0.25)*I195*2</f>
        <v>0.13875000000000001</v>
      </c>
      <c r="L195" s="251"/>
      <c r="M195" s="251"/>
      <c r="N195" s="251"/>
    </row>
    <row r="196" spans="2:14" x14ac:dyDescent="0.25">
      <c r="B196" s="723"/>
      <c r="C196" s="742"/>
      <c r="D196" s="747" t="s">
        <v>633</v>
      </c>
      <c r="E196" s="726"/>
      <c r="F196" s="727">
        <v>1</v>
      </c>
      <c r="G196" s="739" t="s">
        <v>681</v>
      </c>
      <c r="H196" s="769"/>
      <c r="I196" s="730">
        <v>1.87</v>
      </c>
      <c r="J196" s="251"/>
      <c r="K196" s="251">
        <f xml:space="preserve"> ((0.2*0.25)*I196) + ((0.15*0.3)*I196)</f>
        <v>0.17765000000000003</v>
      </c>
      <c r="L196" s="251"/>
      <c r="M196" s="251"/>
      <c r="N196" s="251"/>
    </row>
    <row r="197" spans="2:14" ht="22.5" x14ac:dyDescent="0.25">
      <c r="B197" s="723"/>
      <c r="C197" s="742"/>
      <c r="D197" s="747" t="s">
        <v>629</v>
      </c>
      <c r="E197" s="726"/>
      <c r="F197" s="727">
        <v>1</v>
      </c>
      <c r="G197" s="739" t="s">
        <v>682</v>
      </c>
      <c r="H197" s="769"/>
      <c r="I197" s="730">
        <v>1.9</v>
      </c>
      <c r="J197" s="251"/>
      <c r="K197" s="251">
        <f xml:space="preserve"> ((0.2*0.25)*3*I197) + ((0.2*0.2)*I197) + ((0.15*0.2)*I197)</f>
        <v>0.41800000000000004</v>
      </c>
      <c r="L197" s="251"/>
      <c r="M197" s="251"/>
      <c r="N197" s="251"/>
    </row>
    <row r="198" spans="2:14" x14ac:dyDescent="0.25">
      <c r="B198" s="723"/>
      <c r="C198" s="742"/>
      <c r="D198" s="747" t="s">
        <v>630</v>
      </c>
      <c r="E198" s="726"/>
      <c r="F198" s="727">
        <v>1</v>
      </c>
      <c r="G198" s="739" t="s">
        <v>684</v>
      </c>
      <c r="H198" s="769"/>
      <c r="I198" s="730">
        <v>1.92</v>
      </c>
      <c r="J198" s="251"/>
      <c r="K198" s="251">
        <f xml:space="preserve"> ((0.2*0.25)*I198) + ((0.15*0.25)*I198*2)</f>
        <v>0.24</v>
      </c>
      <c r="L198" s="251"/>
      <c r="M198" s="251"/>
      <c r="N198" s="251"/>
    </row>
    <row r="199" spans="2:14" x14ac:dyDescent="0.25">
      <c r="B199" s="723"/>
      <c r="C199" s="742"/>
      <c r="D199" s="747" t="s">
        <v>615</v>
      </c>
      <c r="E199" s="726"/>
      <c r="F199" s="727">
        <v>1</v>
      </c>
      <c r="G199" s="739" t="s">
        <v>683</v>
      </c>
      <c r="H199" s="769"/>
      <c r="I199" s="252">
        <v>1.94</v>
      </c>
      <c r="J199" s="251"/>
      <c r="K199" s="251">
        <f xml:space="preserve"> ((0.15*0.3)*I199*3)</f>
        <v>0.26189999999999997</v>
      </c>
      <c r="L199" s="251"/>
      <c r="M199" s="251"/>
      <c r="N199" s="251"/>
    </row>
    <row r="200" spans="2:14" ht="22.5" x14ac:dyDescent="0.25">
      <c r="B200" s="723"/>
      <c r="C200" s="742"/>
      <c r="D200" s="747" t="s">
        <v>616</v>
      </c>
      <c r="E200" s="726"/>
      <c r="F200" s="727">
        <v>1</v>
      </c>
      <c r="G200" s="739" t="s">
        <v>685</v>
      </c>
      <c r="H200" s="769"/>
      <c r="I200" s="252">
        <v>1.96</v>
      </c>
      <c r="J200" s="251"/>
      <c r="K200" s="251">
        <f xml:space="preserve"> ((0.2*0.25)*I200*3) + ((0.15*0.25)*I200*2)</f>
        <v>0.44100000000000006</v>
      </c>
      <c r="L200" s="251"/>
      <c r="M200" s="251"/>
      <c r="N200" s="251"/>
    </row>
    <row r="201" spans="2:14" ht="22.5" x14ac:dyDescent="0.25">
      <c r="B201" s="723"/>
      <c r="C201" s="742"/>
      <c r="D201" s="747" t="s">
        <v>617</v>
      </c>
      <c r="E201" s="726"/>
      <c r="F201" s="727">
        <v>1</v>
      </c>
      <c r="G201" s="790" t="s">
        <v>686</v>
      </c>
      <c r="H201" s="803"/>
      <c r="I201" s="252">
        <v>1.95</v>
      </c>
      <c r="J201" s="251"/>
      <c r="K201" s="251">
        <f xml:space="preserve"> ((0.2*0.25)*I201*3) + ((0.15*0.25)*I201*2) + ((0.2*0.3)*I201)</f>
        <v>0.55574999999999997</v>
      </c>
      <c r="L201" s="251"/>
      <c r="M201" s="251"/>
      <c r="N201" s="251"/>
    </row>
    <row r="202" spans="2:14" x14ac:dyDescent="0.25">
      <c r="B202" s="723"/>
      <c r="C202" s="742"/>
      <c r="D202" s="747" t="s">
        <v>618</v>
      </c>
      <c r="E202" s="726"/>
      <c r="F202" s="727">
        <v>1</v>
      </c>
      <c r="G202" s="739" t="s">
        <v>687</v>
      </c>
      <c r="H202" s="769"/>
      <c r="I202" s="252">
        <v>1.97</v>
      </c>
      <c r="J202" s="251"/>
      <c r="K202" s="251">
        <f xml:space="preserve"> ((0.2 * 0.25)*I202*2) + ((0.15*0.25)*I202*1)</f>
        <v>0.27087499999999998</v>
      </c>
      <c r="L202" s="251"/>
      <c r="M202" s="251"/>
      <c r="N202" s="251"/>
    </row>
    <row r="203" spans="2:14" x14ac:dyDescent="0.25">
      <c r="B203" s="723"/>
      <c r="C203" s="742"/>
      <c r="D203" s="747" t="s">
        <v>631</v>
      </c>
      <c r="E203" s="726"/>
      <c r="F203" s="727">
        <v>1</v>
      </c>
      <c r="G203" s="739" t="s">
        <v>688</v>
      </c>
      <c r="H203" s="769"/>
      <c r="I203" s="252">
        <v>1.9</v>
      </c>
      <c r="J203" s="251"/>
      <c r="K203" s="251">
        <f xml:space="preserve"> ((0.15 * 0.25)*I203*3)</f>
        <v>0.21375</v>
      </c>
      <c r="L203" s="251"/>
      <c r="M203" s="251"/>
      <c r="N203" s="251"/>
    </row>
    <row r="204" spans="2:14" x14ac:dyDescent="0.25">
      <c r="B204" s="723"/>
      <c r="C204" s="742"/>
      <c r="D204" s="747" t="s">
        <v>632</v>
      </c>
      <c r="E204" s="726"/>
      <c r="F204" s="727">
        <v>1</v>
      </c>
      <c r="G204" s="790" t="s">
        <v>689</v>
      </c>
      <c r="H204" s="803"/>
      <c r="I204" s="252">
        <v>1.86</v>
      </c>
      <c r="J204" s="251"/>
      <c r="K204" s="251">
        <f xml:space="preserve"> ((0.2*0.25)*I204) + ((0.15*0.25)*I204) + ((0.2*0.35)*I204)</f>
        <v>0.29294999999999999</v>
      </c>
      <c r="L204" s="251"/>
      <c r="M204" s="251"/>
      <c r="N204" s="251"/>
    </row>
    <row r="205" spans="2:14" x14ac:dyDescent="0.25">
      <c r="B205" s="723"/>
      <c r="C205" s="742"/>
      <c r="D205" s="747" t="s">
        <v>634</v>
      </c>
      <c r="E205" s="726"/>
      <c r="F205" s="727">
        <v>1</v>
      </c>
      <c r="G205" s="739" t="s">
        <v>690</v>
      </c>
      <c r="H205" s="769"/>
      <c r="I205" s="252">
        <v>1.87</v>
      </c>
      <c r="J205" s="251"/>
      <c r="K205" s="251">
        <f xml:space="preserve"> ((0.2*0.25)*I205) + ((0.15*0.3)*2*I205)</f>
        <v>0.26180000000000003</v>
      </c>
      <c r="L205" s="251"/>
      <c r="M205" s="251"/>
      <c r="N205" s="251"/>
    </row>
    <row r="206" spans="2:14" x14ac:dyDescent="0.25">
      <c r="B206" s="723"/>
      <c r="C206" s="742"/>
      <c r="D206" s="747" t="s">
        <v>619</v>
      </c>
      <c r="E206" s="726"/>
      <c r="F206" s="727">
        <v>1</v>
      </c>
      <c r="G206" s="790" t="s">
        <v>691</v>
      </c>
      <c r="H206" s="803"/>
      <c r="I206" s="252">
        <v>1.9</v>
      </c>
      <c r="J206" s="251"/>
      <c r="K206" s="251">
        <f xml:space="preserve"> ((0.2*0.3)*I206) + ((0.15*0.3)*I206) +  ((0.15*0.25)*I206) + ((0.15*0.35)*I206)</f>
        <v>0.3705</v>
      </c>
      <c r="L206" s="251"/>
      <c r="M206" s="251"/>
      <c r="N206" s="251"/>
    </row>
    <row r="207" spans="2:14" x14ac:dyDescent="0.25">
      <c r="B207" s="723"/>
      <c r="C207" s="742"/>
      <c r="D207" s="747" t="s">
        <v>620</v>
      </c>
      <c r="E207" s="726"/>
      <c r="F207" s="727">
        <v>1</v>
      </c>
      <c r="G207" s="739" t="s">
        <v>692</v>
      </c>
      <c r="H207" s="769"/>
      <c r="I207" s="252">
        <v>1.91</v>
      </c>
      <c r="J207" s="251"/>
      <c r="K207" s="251">
        <f>((0.15*0.25)*I207) +  ((0.2*0.3)*I207)</f>
        <v>0.18622499999999997</v>
      </c>
      <c r="L207" s="251"/>
      <c r="M207" s="251"/>
      <c r="N207" s="251"/>
    </row>
    <row r="208" spans="2:14" ht="22.5" x14ac:dyDescent="0.25">
      <c r="B208" s="723"/>
      <c r="C208" s="742"/>
      <c r="D208" s="747" t="s">
        <v>621</v>
      </c>
      <c r="E208" s="726"/>
      <c r="F208" s="727">
        <v>1</v>
      </c>
      <c r="G208" s="739" t="s">
        <v>693</v>
      </c>
      <c r="H208" s="769"/>
      <c r="I208" s="252">
        <v>1.94</v>
      </c>
      <c r="J208" s="251"/>
      <c r="K208" s="251">
        <f>((0.15*0.25)*5*I208) +  ((0.25*0.25)*I208)</f>
        <v>0.48499999999999999</v>
      </c>
      <c r="L208" s="251"/>
      <c r="M208" s="251"/>
      <c r="N208" s="251"/>
    </row>
    <row r="209" spans="2:14" x14ac:dyDescent="0.25">
      <c r="B209" s="723"/>
      <c r="C209" s="742"/>
      <c r="D209" s="747" t="s">
        <v>622</v>
      </c>
      <c r="E209" s="726"/>
      <c r="F209" s="727">
        <v>1</v>
      </c>
      <c r="G209" s="790" t="s">
        <v>694</v>
      </c>
      <c r="H209" s="803"/>
      <c r="I209" s="252">
        <v>1.93</v>
      </c>
      <c r="J209" s="251"/>
      <c r="K209" s="251">
        <f xml:space="preserve"> ((0.2*0.25)*I209) + ((0.15*0.25)*I209) + ((0.25*0.25)*I209)</f>
        <v>0.28949999999999998</v>
      </c>
      <c r="L209" s="251"/>
      <c r="M209" s="251"/>
      <c r="N209" s="251"/>
    </row>
    <row r="210" spans="2:14" x14ac:dyDescent="0.25">
      <c r="B210" s="723"/>
      <c r="C210" s="742"/>
      <c r="D210" s="747" t="s">
        <v>635</v>
      </c>
      <c r="E210" s="726"/>
      <c r="F210" s="727">
        <v>1</v>
      </c>
      <c r="G210" s="739" t="s">
        <v>695</v>
      </c>
      <c r="H210" s="769"/>
      <c r="I210" s="252">
        <v>1.92</v>
      </c>
      <c r="J210" s="251"/>
      <c r="K210" s="251">
        <f xml:space="preserve"> ((0.15*0.25)*2*I210) + ((0.25*0.25)*I210)</f>
        <v>0.26400000000000001</v>
      </c>
      <c r="L210" s="251"/>
      <c r="M210" s="251"/>
      <c r="N210" s="251"/>
    </row>
    <row r="211" spans="2:14" x14ac:dyDescent="0.25">
      <c r="B211" s="723"/>
      <c r="C211" s="742"/>
      <c r="D211" s="747" t="s">
        <v>623</v>
      </c>
      <c r="E211" s="726"/>
      <c r="F211" s="727">
        <v>1</v>
      </c>
      <c r="G211" s="739" t="s">
        <v>696</v>
      </c>
      <c r="H211" s="769"/>
      <c r="I211" s="252">
        <v>1.87</v>
      </c>
      <c r="J211" s="251"/>
      <c r="K211" s="251">
        <f xml:space="preserve"> ((0.15*0.25)*2*I211) + ((0.2*0.25)*2*I211)</f>
        <v>0.32725000000000004</v>
      </c>
      <c r="L211" s="251"/>
      <c r="M211" s="251"/>
      <c r="N211" s="251"/>
    </row>
    <row r="212" spans="2:14" x14ac:dyDescent="0.25">
      <c r="B212" s="723"/>
      <c r="C212" s="742"/>
      <c r="D212" s="747" t="s">
        <v>624</v>
      </c>
      <c r="E212" s="726"/>
      <c r="F212" s="727">
        <v>1</v>
      </c>
      <c r="G212" s="739" t="s">
        <v>697</v>
      </c>
      <c r="H212" s="769"/>
      <c r="I212" s="252">
        <v>1.88</v>
      </c>
      <c r="J212" s="251"/>
      <c r="K212" s="251">
        <f xml:space="preserve"> ((0.15*0.25)*3*I212) + ((0.2*0.25)*I212)</f>
        <v>0.30549999999999999</v>
      </c>
      <c r="L212" s="251"/>
      <c r="M212" s="251"/>
      <c r="N212" s="251"/>
    </row>
    <row r="213" spans="2:14" x14ac:dyDescent="0.25">
      <c r="B213" s="723"/>
      <c r="C213" s="742"/>
      <c r="D213" s="747" t="s">
        <v>625</v>
      </c>
      <c r="E213" s="726"/>
      <c r="F213" s="727">
        <v>1</v>
      </c>
      <c r="G213" s="739" t="s">
        <v>698</v>
      </c>
      <c r="H213" s="769"/>
      <c r="I213" s="252">
        <v>1.9</v>
      </c>
      <c r="J213" s="251"/>
      <c r="K213" s="251">
        <f xml:space="preserve"> ((0.2*0.25)*3*I213) + ((0.25*0.25)*I213)</f>
        <v>0.40375000000000005</v>
      </c>
      <c r="L213" s="251"/>
      <c r="M213" s="251"/>
      <c r="N213" s="251"/>
    </row>
    <row r="214" spans="2:14" x14ac:dyDescent="0.25">
      <c r="B214" s="723"/>
      <c r="C214" s="742"/>
      <c r="D214" s="747" t="s">
        <v>637</v>
      </c>
      <c r="E214" s="726"/>
      <c r="F214" s="727">
        <v>1</v>
      </c>
      <c r="G214" s="739" t="s">
        <v>699</v>
      </c>
      <c r="H214" s="769"/>
      <c r="I214" s="252">
        <v>1.9</v>
      </c>
      <c r="J214" s="251"/>
      <c r="K214" s="251">
        <f xml:space="preserve"> ((0.2*0.2)*I214)</f>
        <v>7.6000000000000012E-2</v>
      </c>
      <c r="L214" s="251"/>
      <c r="M214" s="251"/>
      <c r="N214" s="251"/>
    </row>
    <row r="215" spans="2:14" x14ac:dyDescent="0.25">
      <c r="B215" s="723"/>
      <c r="C215" s="742"/>
      <c r="D215" s="747" t="s">
        <v>636</v>
      </c>
      <c r="E215" s="726"/>
      <c r="F215" s="727">
        <v>1</v>
      </c>
      <c r="G215" s="739" t="s">
        <v>700</v>
      </c>
      <c r="H215" s="769"/>
      <c r="I215" s="252">
        <v>1.97</v>
      </c>
      <c r="J215" s="251"/>
      <c r="K215" s="251">
        <f xml:space="preserve"> ((0.2*0.25)*I215) + ((0.15*0.25)*I215)</f>
        <v>0.172375</v>
      </c>
      <c r="L215" s="251"/>
      <c r="M215" s="251"/>
      <c r="N215" s="251"/>
    </row>
    <row r="216" spans="2:14" x14ac:dyDescent="0.25">
      <c r="B216" s="723"/>
      <c r="C216" s="742"/>
      <c r="D216" s="747" t="s">
        <v>638</v>
      </c>
      <c r="E216" s="726"/>
      <c r="F216" s="727">
        <v>1</v>
      </c>
      <c r="G216" s="739" t="s">
        <v>701</v>
      </c>
      <c r="H216" s="769"/>
      <c r="I216" s="252">
        <v>2</v>
      </c>
      <c r="J216" s="251"/>
      <c r="K216" s="251">
        <f>((0.2*0.25)*I216) + ((0.15*0.25)*2*I216)</f>
        <v>0.25</v>
      </c>
      <c r="L216" s="251"/>
      <c r="M216" s="251"/>
      <c r="N216" s="251"/>
    </row>
    <row r="217" spans="2:14" ht="22.5" x14ac:dyDescent="0.25">
      <c r="B217" s="723"/>
      <c r="C217" s="742"/>
      <c r="D217" s="747" t="s">
        <v>626</v>
      </c>
      <c r="E217" s="726"/>
      <c r="F217" s="727">
        <v>1</v>
      </c>
      <c r="G217" s="790" t="s">
        <v>702</v>
      </c>
      <c r="H217" s="803"/>
      <c r="I217" s="252">
        <v>2.0099999999999998</v>
      </c>
      <c r="J217" s="251"/>
      <c r="K217" s="251">
        <f>((0.2*0.3)*I217) + ((0.15*0.25)*5*I217)  + ((0.25*0.25)*I217)</f>
        <v>0.62309999999999999</v>
      </c>
      <c r="L217" s="251"/>
      <c r="M217" s="251"/>
      <c r="N217" s="251"/>
    </row>
    <row r="218" spans="2:14" x14ac:dyDescent="0.25">
      <c r="B218" s="723"/>
      <c r="C218" s="742"/>
      <c r="D218" s="747" t="s">
        <v>639</v>
      </c>
      <c r="E218" s="726"/>
      <c r="F218" s="727">
        <v>1</v>
      </c>
      <c r="G218" s="739" t="s">
        <v>704</v>
      </c>
      <c r="H218" s="769"/>
      <c r="I218" s="252">
        <v>1.86</v>
      </c>
      <c r="J218" s="251"/>
      <c r="K218" s="251">
        <f xml:space="preserve"> ((0.15*0.3)*I218)</f>
        <v>8.3699999999999997E-2</v>
      </c>
      <c r="L218" s="251"/>
      <c r="M218" s="251"/>
      <c r="N218" s="251"/>
    </row>
    <row r="219" spans="2:14" x14ac:dyDescent="0.25">
      <c r="B219" s="723"/>
      <c r="C219" s="742"/>
      <c r="D219" s="747" t="s">
        <v>640</v>
      </c>
      <c r="E219" s="726"/>
      <c r="F219" s="727">
        <v>1</v>
      </c>
      <c r="G219" s="739" t="s">
        <v>703</v>
      </c>
      <c r="H219" s="769"/>
      <c r="I219" s="252">
        <v>1.87</v>
      </c>
      <c r="J219" s="251"/>
      <c r="K219" s="251">
        <f xml:space="preserve"> ((0.15*0.3)*I219)</f>
        <v>8.4150000000000003E-2</v>
      </c>
      <c r="L219" s="251"/>
      <c r="M219" s="251"/>
      <c r="N219" s="251"/>
    </row>
    <row r="220" spans="2:14" x14ac:dyDescent="0.25">
      <c r="B220" s="723"/>
      <c r="C220" s="742"/>
      <c r="D220" s="747" t="s">
        <v>641</v>
      </c>
      <c r="E220" s="726"/>
      <c r="F220" s="727">
        <v>1</v>
      </c>
      <c r="G220" s="739" t="s">
        <v>703</v>
      </c>
      <c r="H220" s="769"/>
      <c r="I220" s="252">
        <v>1.89</v>
      </c>
      <c r="J220" s="251"/>
      <c r="K220" s="251">
        <f xml:space="preserve"> ((0.15*0.5)*I220)</f>
        <v>0.14174999999999999</v>
      </c>
      <c r="L220" s="251"/>
      <c r="M220" s="251"/>
      <c r="N220" s="251"/>
    </row>
    <row r="221" spans="2:14" x14ac:dyDescent="0.25">
      <c r="B221" s="723"/>
      <c r="C221" s="742"/>
      <c r="D221" s="747" t="s">
        <v>642</v>
      </c>
      <c r="E221" s="726"/>
      <c r="F221" s="727">
        <v>1</v>
      </c>
      <c r="G221" s="739" t="s">
        <v>705</v>
      </c>
      <c r="H221" s="769"/>
      <c r="I221" s="252">
        <v>1.9</v>
      </c>
      <c r="J221" s="251"/>
      <c r="K221" s="251">
        <f xml:space="preserve"> ((0.15*0.25)*I221)</f>
        <v>7.1249999999999994E-2</v>
      </c>
      <c r="L221" s="251"/>
      <c r="M221" s="251"/>
      <c r="N221" s="251"/>
    </row>
    <row r="222" spans="2:14" x14ac:dyDescent="0.25">
      <c r="B222" s="723"/>
      <c r="C222" s="742"/>
      <c r="D222" s="747" t="s">
        <v>643</v>
      </c>
      <c r="E222" s="726"/>
      <c r="F222" s="727">
        <v>1</v>
      </c>
      <c r="G222" s="739" t="s">
        <v>704</v>
      </c>
      <c r="H222" s="769"/>
      <c r="I222" s="252">
        <v>1.92</v>
      </c>
      <c r="J222" s="251"/>
      <c r="K222" s="251">
        <f xml:space="preserve"> ((0.15*0.3)*I222)</f>
        <v>8.6399999999999991E-2</v>
      </c>
      <c r="L222" s="251"/>
      <c r="M222" s="251"/>
      <c r="N222" s="251"/>
    </row>
    <row r="223" spans="2:14" x14ac:dyDescent="0.25">
      <c r="B223" s="723"/>
      <c r="C223" s="742"/>
      <c r="D223" s="747" t="s">
        <v>644</v>
      </c>
      <c r="E223" s="726"/>
      <c r="F223" s="727">
        <v>1</v>
      </c>
      <c r="G223" s="739" t="s">
        <v>705</v>
      </c>
      <c r="H223" s="769"/>
      <c r="I223" s="252">
        <v>1.9</v>
      </c>
      <c r="J223" s="251"/>
      <c r="K223" s="251">
        <f xml:space="preserve"> ((0.15*0.25)*I223)</f>
        <v>7.1249999999999994E-2</v>
      </c>
      <c r="L223" s="251"/>
      <c r="M223" s="251"/>
      <c r="N223" s="251"/>
    </row>
    <row r="224" spans="2:14" x14ac:dyDescent="0.25">
      <c r="B224" s="723"/>
      <c r="C224" s="742"/>
      <c r="D224" s="747" t="s">
        <v>645</v>
      </c>
      <c r="E224" s="726"/>
      <c r="F224" s="727">
        <v>1</v>
      </c>
      <c r="G224" s="739" t="s">
        <v>704</v>
      </c>
      <c r="H224" s="769"/>
      <c r="I224" s="252">
        <v>1.98</v>
      </c>
      <c r="J224" s="251"/>
      <c r="K224" s="251">
        <f xml:space="preserve"> ((0.15*0.3)*I224)</f>
        <v>8.9099999999999999E-2</v>
      </c>
      <c r="L224" s="251"/>
      <c r="M224" s="251"/>
      <c r="N224" s="251"/>
    </row>
    <row r="225" spans="2:14" x14ac:dyDescent="0.25">
      <c r="B225" s="723"/>
      <c r="C225" s="742"/>
      <c r="D225" s="747" t="s">
        <v>707</v>
      </c>
      <c r="E225" s="726"/>
      <c r="F225" s="727">
        <v>1</v>
      </c>
      <c r="G225" s="739">
        <v>9.6</v>
      </c>
      <c r="H225" s="740"/>
      <c r="I225" s="741"/>
      <c r="J225" s="251"/>
      <c r="K225" s="251">
        <f>F225*G225*-1</f>
        <v>-9.6</v>
      </c>
      <c r="L225" s="251"/>
      <c r="M225" s="251"/>
      <c r="N225" s="251"/>
    </row>
    <row r="226" spans="2:14" x14ac:dyDescent="0.25">
      <c r="B226" s="723"/>
      <c r="C226" s="742"/>
      <c r="D226" s="746" t="s">
        <v>1069</v>
      </c>
      <c r="E226" s="726"/>
      <c r="F226" s="727">
        <v>1</v>
      </c>
      <c r="G226" s="739">
        <v>14.85</v>
      </c>
      <c r="H226" s="740"/>
      <c r="I226" s="741"/>
      <c r="J226" s="251"/>
      <c r="K226" s="251">
        <f>F226*G226</f>
        <v>14.85</v>
      </c>
      <c r="L226" s="251"/>
      <c r="M226" s="251"/>
      <c r="N226" s="251"/>
    </row>
    <row r="227" spans="2:14" ht="22.5" x14ac:dyDescent="0.25">
      <c r="B227" s="723"/>
      <c r="C227" s="742"/>
      <c r="D227" s="793" t="s">
        <v>1074</v>
      </c>
      <c r="E227" s="726"/>
      <c r="F227" s="727">
        <v>1</v>
      </c>
      <c r="G227" s="728" t="s">
        <v>1075</v>
      </c>
      <c r="H227" s="729" t="s">
        <v>649</v>
      </c>
      <c r="I227" s="730" t="s">
        <v>651</v>
      </c>
      <c r="J227" s="251"/>
      <c r="K227" s="251"/>
      <c r="L227" s="251"/>
      <c r="M227" s="251"/>
      <c r="N227" s="251"/>
    </row>
    <row r="228" spans="2:14" ht="33.75" x14ac:dyDescent="0.25">
      <c r="B228" s="723"/>
      <c r="C228" s="742"/>
      <c r="D228" s="747" t="s">
        <v>1052</v>
      </c>
      <c r="E228" s="726"/>
      <c r="F228" s="730">
        <v>1</v>
      </c>
      <c r="G228" s="750">
        <v>0.92700000000000005</v>
      </c>
      <c r="H228" s="729">
        <v>0.15</v>
      </c>
      <c r="I228" s="730">
        <v>0.2</v>
      </c>
      <c r="J228" s="251"/>
      <c r="K228" s="251">
        <f>F228*G228*H228*I228</f>
        <v>2.7810000000000001E-2</v>
      </c>
      <c r="L228" s="251"/>
      <c r="M228" s="251"/>
      <c r="N228" s="251"/>
    </row>
    <row r="229" spans="2:14" ht="33.75" x14ac:dyDescent="0.25">
      <c r="B229" s="723"/>
      <c r="C229" s="742"/>
      <c r="D229" s="747" t="s">
        <v>1053</v>
      </c>
      <c r="E229" s="726"/>
      <c r="F229" s="730">
        <v>1</v>
      </c>
      <c r="G229" s="750">
        <v>0.8</v>
      </c>
      <c r="H229" s="729">
        <v>0.15</v>
      </c>
      <c r="I229" s="730">
        <v>0.2</v>
      </c>
      <c r="J229" s="251"/>
      <c r="K229" s="251">
        <f>F229*G229*H229*I229</f>
        <v>2.4E-2</v>
      </c>
      <c r="L229" s="251"/>
      <c r="M229" s="251"/>
      <c r="N229" s="251"/>
    </row>
    <row r="230" spans="2:14" x14ac:dyDescent="0.25">
      <c r="B230" s="723"/>
      <c r="C230" s="742"/>
      <c r="D230" s="747" t="s">
        <v>1054</v>
      </c>
      <c r="E230" s="726"/>
      <c r="F230" s="730">
        <v>1</v>
      </c>
      <c r="G230" s="750">
        <f>(1.7+0.15+1.855)</f>
        <v>3.7050000000000001</v>
      </c>
      <c r="H230" s="729">
        <v>0.15</v>
      </c>
      <c r="I230" s="730">
        <v>0.2</v>
      </c>
      <c r="J230" s="251"/>
      <c r="K230" s="251">
        <f>F230*G230*H230*I230</f>
        <v>0.11115</v>
      </c>
      <c r="L230" s="251"/>
      <c r="M230" s="251"/>
      <c r="N230" s="251"/>
    </row>
    <row r="231" spans="2:14" x14ac:dyDescent="0.25">
      <c r="B231" s="723"/>
      <c r="C231" s="742"/>
      <c r="D231" s="747" t="s">
        <v>1055</v>
      </c>
      <c r="E231" s="726"/>
      <c r="F231" s="730">
        <v>1</v>
      </c>
      <c r="G231" s="750">
        <v>2.7</v>
      </c>
      <c r="H231" s="729">
        <v>0.15</v>
      </c>
      <c r="I231" s="730">
        <v>0.2</v>
      </c>
      <c r="J231" s="251"/>
      <c r="K231" s="251">
        <f>F231*G231*H231*I231</f>
        <v>8.1000000000000016E-2</v>
      </c>
      <c r="L231" s="251"/>
      <c r="M231" s="251"/>
      <c r="N231" s="251"/>
    </row>
    <row r="232" spans="2:14" ht="22.5" x14ac:dyDescent="0.25">
      <c r="B232" s="723"/>
      <c r="C232" s="742"/>
      <c r="D232" s="747" t="s">
        <v>1073</v>
      </c>
      <c r="E232" s="726"/>
      <c r="F232" s="730">
        <v>2</v>
      </c>
      <c r="G232" s="750">
        <v>3.1</v>
      </c>
      <c r="H232" s="729">
        <v>0.15</v>
      </c>
      <c r="I232" s="730">
        <v>0.2</v>
      </c>
      <c r="J232" s="251"/>
      <c r="K232" s="251">
        <f>F232*G232*H232*I232</f>
        <v>0.186</v>
      </c>
      <c r="L232" s="251"/>
      <c r="M232" s="251"/>
      <c r="N232" s="251"/>
    </row>
    <row r="233" spans="2:14" x14ac:dyDescent="0.25">
      <c r="B233" s="723"/>
      <c r="C233" s="742"/>
      <c r="D233" s="747"/>
      <c r="E233" s="726"/>
      <c r="F233" s="727"/>
      <c r="G233" s="728"/>
      <c r="H233" s="729"/>
      <c r="I233" s="730"/>
      <c r="J233" s="251"/>
      <c r="K233" s="251"/>
      <c r="L233" s="251"/>
      <c r="M233" s="251"/>
      <c r="N233" s="251"/>
    </row>
    <row r="234" spans="2:14" ht="33.75" hidden="1" x14ac:dyDescent="0.25">
      <c r="B234" s="723" t="s">
        <v>66</v>
      </c>
      <c r="C234" s="742">
        <v>94964</v>
      </c>
      <c r="D234" s="725" t="s">
        <v>68</v>
      </c>
      <c r="E234" s="726" t="s">
        <v>41</v>
      </c>
      <c r="F234" s="727"/>
      <c r="G234" s="804" t="s">
        <v>874</v>
      </c>
      <c r="H234" s="805"/>
      <c r="I234" s="806"/>
      <c r="J234" s="251"/>
      <c r="K234" s="250">
        <f>G236</f>
        <v>9.6</v>
      </c>
      <c r="L234" s="251"/>
      <c r="M234" s="251"/>
      <c r="N234" s="251"/>
    </row>
    <row r="235" spans="2:14" hidden="1" x14ac:dyDescent="0.25">
      <c r="B235" s="723"/>
      <c r="C235" s="742"/>
      <c r="D235" s="802" t="s">
        <v>588</v>
      </c>
      <c r="E235" s="726"/>
      <c r="F235" s="727"/>
      <c r="G235" s="739"/>
      <c r="H235" s="740"/>
      <c r="I235" s="741"/>
      <c r="J235" s="251"/>
      <c r="K235" s="251"/>
      <c r="L235" s="251"/>
      <c r="M235" s="251"/>
      <c r="N235" s="251"/>
    </row>
    <row r="236" spans="2:14" hidden="1" x14ac:dyDescent="0.25">
      <c r="B236" s="723"/>
      <c r="C236" s="742"/>
      <c r="D236" s="747" t="s">
        <v>590</v>
      </c>
      <c r="E236" s="726"/>
      <c r="F236" s="727"/>
      <c r="G236" s="739">
        <v>9.6</v>
      </c>
      <c r="H236" s="740"/>
      <c r="I236" s="741"/>
      <c r="J236" s="251"/>
      <c r="K236" s="251"/>
      <c r="L236" s="251"/>
      <c r="M236" s="251"/>
      <c r="N236" s="251"/>
    </row>
    <row r="237" spans="2:14" ht="22.5" x14ac:dyDescent="0.25">
      <c r="B237" s="723" t="s">
        <v>69</v>
      </c>
      <c r="C237" s="742">
        <v>103670</v>
      </c>
      <c r="D237" s="725" t="s">
        <v>71</v>
      </c>
      <c r="E237" s="726" t="s">
        <v>41</v>
      </c>
      <c r="F237" s="727"/>
      <c r="G237" s="731" t="s">
        <v>1079</v>
      </c>
      <c r="H237" s="732"/>
      <c r="I237" s="733"/>
      <c r="J237" s="251">
        <f>'BOLETIM DE MEDIÇÃO 10'!R32-'MEMORIAL DE CÁLCULO 10'!K237</f>
        <v>30.760024999999995</v>
      </c>
      <c r="K237" s="250">
        <v>1.73</v>
      </c>
      <c r="L237" s="251">
        <f>J237+K237</f>
        <v>32.490024999999996</v>
      </c>
      <c r="M237" s="251">
        <f>'BOLETIM DE MEDIÇÃO 10'!G32</f>
        <v>32.49</v>
      </c>
      <c r="N237" s="251">
        <f>M237-L237</f>
        <v>-2.4999999993724487E-5</v>
      </c>
    </row>
    <row r="238" spans="2:14" x14ac:dyDescent="0.25">
      <c r="B238" s="723"/>
      <c r="C238" s="742"/>
      <c r="D238" s="734" t="s">
        <v>1080</v>
      </c>
      <c r="E238" s="726"/>
      <c r="F238" s="727">
        <v>1</v>
      </c>
      <c r="G238" s="739">
        <v>30.76</v>
      </c>
      <c r="H238" s="740"/>
      <c r="I238" s="741"/>
      <c r="J238" s="251"/>
      <c r="K238" s="251"/>
      <c r="L238" s="251"/>
      <c r="M238" s="251"/>
      <c r="N238" s="251"/>
    </row>
    <row r="239" spans="2:14" x14ac:dyDescent="0.25">
      <c r="B239" s="723"/>
      <c r="C239" s="742"/>
      <c r="D239" s="734" t="s">
        <v>1081</v>
      </c>
      <c r="E239" s="726"/>
      <c r="F239" s="727">
        <v>1</v>
      </c>
      <c r="G239" s="739">
        <f>K185+9.6</f>
        <v>11.33</v>
      </c>
      <c r="H239" s="740"/>
      <c r="I239" s="741"/>
      <c r="J239" s="251"/>
      <c r="K239" s="251"/>
      <c r="L239" s="251"/>
      <c r="M239" s="251"/>
      <c r="N239" s="251"/>
    </row>
    <row r="240" spans="2:14" x14ac:dyDescent="0.25">
      <c r="B240" s="723"/>
      <c r="C240" s="742"/>
      <c r="D240" s="734"/>
      <c r="E240" s="726"/>
      <c r="F240" s="727"/>
      <c r="G240" s="801"/>
      <c r="H240" s="798"/>
      <c r="I240" s="807"/>
      <c r="J240" s="251"/>
      <c r="K240" s="251"/>
      <c r="L240" s="251"/>
      <c r="M240" s="251"/>
      <c r="N240" s="251"/>
    </row>
    <row r="241" spans="2:14" x14ac:dyDescent="0.25">
      <c r="B241" s="723"/>
      <c r="C241" s="742"/>
      <c r="D241" s="734"/>
      <c r="E241" s="726"/>
      <c r="F241" s="727"/>
      <c r="G241" s="801"/>
      <c r="H241" s="798"/>
      <c r="I241" s="807"/>
      <c r="J241" s="251"/>
      <c r="K241" s="251"/>
      <c r="L241" s="251"/>
      <c r="M241" s="251"/>
      <c r="N241" s="251"/>
    </row>
    <row r="242" spans="2:14" ht="22.5" x14ac:dyDescent="0.25">
      <c r="B242" s="723" t="s">
        <v>72</v>
      </c>
      <c r="C242" s="742">
        <v>96543</v>
      </c>
      <c r="D242" s="725" t="s">
        <v>74</v>
      </c>
      <c r="E242" s="726" t="s">
        <v>62</v>
      </c>
      <c r="F242" s="727"/>
      <c r="G242" s="770" t="s">
        <v>1093</v>
      </c>
      <c r="H242" s="771"/>
      <c r="I242" s="772"/>
      <c r="J242" s="251">
        <f>'BOLETIM DE MEDIÇÃO 10'!R33-'MEMORIAL DE CÁLCULO 10'!K242</f>
        <v>404.39804319999996</v>
      </c>
      <c r="K242" s="250">
        <v>47.49</v>
      </c>
      <c r="L242" s="251">
        <f>J242+K242</f>
        <v>451.88804319999997</v>
      </c>
      <c r="M242" s="251">
        <f>'BOLETIM DE MEDIÇÃO 10'!G33</f>
        <v>451.89</v>
      </c>
      <c r="N242" s="251">
        <f>M242-L242</f>
        <v>1.9568000000163011E-3</v>
      </c>
    </row>
    <row r="243" spans="2:14" ht="29.45" customHeight="1" x14ac:dyDescent="0.25">
      <c r="B243" s="723"/>
      <c r="C243" s="742"/>
      <c r="D243" s="746" t="s">
        <v>646</v>
      </c>
      <c r="E243" s="726"/>
      <c r="F243" s="727"/>
      <c r="G243" s="790" t="s">
        <v>647</v>
      </c>
      <c r="H243" s="803"/>
      <c r="I243" s="774" t="s">
        <v>611</v>
      </c>
      <c r="J243" s="251"/>
      <c r="K243" s="251"/>
      <c r="L243" s="251"/>
      <c r="M243" s="251"/>
      <c r="N243" s="251"/>
    </row>
    <row r="244" spans="2:14" x14ac:dyDescent="0.25">
      <c r="B244" s="723"/>
      <c r="C244" s="742"/>
      <c r="D244" s="747" t="s">
        <v>614</v>
      </c>
      <c r="E244" s="726"/>
      <c r="F244" s="730">
        <v>1</v>
      </c>
      <c r="G244" s="739">
        <f xml:space="preserve"> ((0.59*(1.85/0.1)) * 2)</f>
        <v>21.83</v>
      </c>
      <c r="H244" s="769"/>
      <c r="I244" s="795">
        <v>0.154</v>
      </c>
      <c r="J244" s="251"/>
      <c r="K244" s="251">
        <f t="shared" ref="K244:K273" si="5">F244*G244*I244</f>
        <v>3.3618199999999998</v>
      </c>
      <c r="L244" s="251"/>
      <c r="M244" s="251"/>
      <c r="N244" s="251"/>
    </row>
    <row r="245" spans="2:14" x14ac:dyDescent="0.25">
      <c r="B245" s="723"/>
      <c r="C245" s="742"/>
      <c r="D245" s="747" t="s">
        <v>633</v>
      </c>
      <c r="E245" s="726"/>
      <c r="F245" s="730">
        <v>1</v>
      </c>
      <c r="G245" s="739">
        <f>(0.69*(1.87/0.1)) + (0.79*(1.87/0.1))</f>
        <v>27.675999999999998</v>
      </c>
      <c r="H245" s="769"/>
      <c r="I245" s="795">
        <v>0.154</v>
      </c>
      <c r="J245" s="251"/>
      <c r="K245" s="251">
        <f t="shared" si="5"/>
        <v>4.2621039999999999</v>
      </c>
      <c r="L245" s="251"/>
      <c r="M245" s="251"/>
      <c r="N245" s="251"/>
    </row>
    <row r="246" spans="2:14" ht="22.5" x14ac:dyDescent="0.25">
      <c r="B246" s="723"/>
      <c r="C246" s="742"/>
      <c r="D246" s="747" t="s">
        <v>629</v>
      </c>
      <c r="E246" s="726"/>
      <c r="F246" s="730">
        <v>1</v>
      </c>
      <c r="G246" s="739">
        <f>((0.69*(1.9/0.1))*3) + ((0.59*(1.87/0.1))*2)</f>
        <v>61.395999999999987</v>
      </c>
      <c r="H246" s="769"/>
      <c r="I246" s="795">
        <v>0.154</v>
      </c>
      <c r="J246" s="251"/>
      <c r="K246" s="251">
        <f t="shared" si="5"/>
        <v>9.4549839999999978</v>
      </c>
      <c r="L246" s="251"/>
      <c r="M246" s="251"/>
      <c r="N246" s="251"/>
    </row>
    <row r="247" spans="2:14" x14ac:dyDescent="0.25">
      <c r="B247" s="723"/>
      <c r="C247" s="742"/>
      <c r="D247" s="747" t="s">
        <v>630</v>
      </c>
      <c r="E247" s="726"/>
      <c r="F247" s="730">
        <v>1</v>
      </c>
      <c r="G247" s="739">
        <f>((0.69*(1.92/0.1))*1) + ((0.59*(1.92/0.1))*2)</f>
        <v>35.903999999999996</v>
      </c>
      <c r="H247" s="769"/>
      <c r="I247" s="795">
        <v>0.154</v>
      </c>
      <c r="J247" s="251"/>
      <c r="K247" s="251">
        <f t="shared" si="5"/>
        <v>5.529215999999999</v>
      </c>
      <c r="L247" s="251"/>
      <c r="M247" s="251"/>
      <c r="N247" s="251"/>
    </row>
    <row r="248" spans="2:14" x14ac:dyDescent="0.25">
      <c r="B248" s="723"/>
      <c r="C248" s="742"/>
      <c r="D248" s="747" t="s">
        <v>615</v>
      </c>
      <c r="E248" s="726"/>
      <c r="F248" s="730">
        <v>1</v>
      </c>
      <c r="G248" s="739">
        <f>((0.79*(1.94/0.1))*3)</f>
        <v>45.977999999999994</v>
      </c>
      <c r="H248" s="769"/>
      <c r="I248" s="795">
        <v>0.154</v>
      </c>
      <c r="J248" s="251"/>
      <c r="K248" s="251">
        <f t="shared" si="5"/>
        <v>7.0806119999999995</v>
      </c>
      <c r="L248" s="251"/>
      <c r="M248" s="251"/>
      <c r="N248" s="251"/>
    </row>
    <row r="249" spans="2:14" ht="22.5" x14ac:dyDescent="0.25">
      <c r="B249" s="723"/>
      <c r="C249" s="742"/>
      <c r="D249" s="747" t="s">
        <v>616</v>
      </c>
      <c r="E249" s="726"/>
      <c r="F249" s="730">
        <v>1</v>
      </c>
      <c r="G249" s="739">
        <f>((0.69*(1.96/0.1))*3) + ((0.59*(1.96/0.1))*2)</f>
        <v>63.699999999999989</v>
      </c>
      <c r="H249" s="769"/>
      <c r="I249" s="795">
        <v>0.154</v>
      </c>
      <c r="J249" s="251"/>
      <c r="K249" s="251">
        <f t="shared" si="5"/>
        <v>9.8097999999999974</v>
      </c>
      <c r="L249" s="251"/>
      <c r="M249" s="251"/>
      <c r="N249" s="251"/>
    </row>
    <row r="250" spans="2:14" ht="22.5" x14ac:dyDescent="0.25">
      <c r="B250" s="723"/>
      <c r="C250" s="742"/>
      <c r="D250" s="747" t="s">
        <v>617</v>
      </c>
      <c r="E250" s="726"/>
      <c r="F250" s="730">
        <v>1</v>
      </c>
      <c r="G250" s="739">
        <f>((0.59*(1.95/0.1))*2) + ((0.69*(1.95/0.1))*3) +((0.79*(1.95/0.1))*1)</f>
        <v>78.78</v>
      </c>
      <c r="H250" s="769"/>
      <c r="I250" s="795">
        <v>0.154</v>
      </c>
      <c r="J250" s="251"/>
      <c r="K250" s="251">
        <f t="shared" si="5"/>
        <v>12.13212</v>
      </c>
      <c r="L250" s="251"/>
      <c r="M250" s="251"/>
      <c r="N250" s="251"/>
    </row>
    <row r="251" spans="2:14" x14ac:dyDescent="0.25">
      <c r="B251" s="723"/>
      <c r="C251" s="742"/>
      <c r="D251" s="747" t="s">
        <v>618</v>
      </c>
      <c r="E251" s="726"/>
      <c r="F251" s="730">
        <v>1</v>
      </c>
      <c r="G251" s="739">
        <f>((0.59*(1.97/0.1))*1)  +((0.79*(1.97/0.1))*2)</f>
        <v>42.749000000000002</v>
      </c>
      <c r="H251" s="769"/>
      <c r="I251" s="795">
        <v>0.154</v>
      </c>
      <c r="J251" s="251"/>
      <c r="K251" s="251">
        <f t="shared" si="5"/>
        <v>6.5833460000000006</v>
      </c>
      <c r="L251" s="251"/>
      <c r="M251" s="251"/>
      <c r="N251" s="251"/>
    </row>
    <row r="252" spans="2:14" x14ac:dyDescent="0.25">
      <c r="B252" s="723"/>
      <c r="C252" s="742"/>
      <c r="D252" s="747" t="s">
        <v>631</v>
      </c>
      <c r="E252" s="726"/>
      <c r="F252" s="730">
        <v>1</v>
      </c>
      <c r="G252" s="739">
        <f>((0.59*(1.9/0.1))*3)</f>
        <v>33.629999999999995</v>
      </c>
      <c r="H252" s="769"/>
      <c r="I252" s="795">
        <v>0.154</v>
      </c>
      <c r="J252" s="251"/>
      <c r="K252" s="251">
        <f t="shared" si="5"/>
        <v>5.1790199999999995</v>
      </c>
      <c r="L252" s="251"/>
      <c r="M252" s="251"/>
      <c r="N252" s="251"/>
    </row>
    <row r="253" spans="2:14" x14ac:dyDescent="0.25">
      <c r="B253" s="723"/>
      <c r="C253" s="742"/>
      <c r="D253" s="747" t="s">
        <v>632</v>
      </c>
      <c r="E253" s="726"/>
      <c r="F253" s="730">
        <v>1</v>
      </c>
      <c r="G253" s="739">
        <f>((0.69*(1.86/0.1))*1) + ((0.69*(1.86/0.1))*1) + ((0.89*(1.86/0.1))*1)</f>
        <v>42.222000000000001</v>
      </c>
      <c r="H253" s="769"/>
      <c r="I253" s="795">
        <v>0.154</v>
      </c>
      <c r="J253" s="251"/>
      <c r="K253" s="251">
        <f t="shared" si="5"/>
        <v>6.5021880000000003</v>
      </c>
      <c r="L253" s="251"/>
      <c r="M253" s="251"/>
      <c r="N253" s="251"/>
    </row>
    <row r="254" spans="2:14" x14ac:dyDescent="0.25">
      <c r="B254" s="723"/>
      <c r="C254" s="742"/>
      <c r="D254" s="747" t="s">
        <v>634</v>
      </c>
      <c r="E254" s="726"/>
      <c r="F254" s="730">
        <v>1</v>
      </c>
      <c r="G254" s="739">
        <f>((0.69*(1.87/0.1))*3)</f>
        <v>38.708999999999996</v>
      </c>
      <c r="H254" s="769"/>
      <c r="I254" s="795">
        <v>0.154</v>
      </c>
      <c r="J254" s="251"/>
      <c r="K254" s="251">
        <f t="shared" si="5"/>
        <v>5.9611859999999997</v>
      </c>
      <c r="L254" s="251"/>
      <c r="M254" s="251"/>
      <c r="N254" s="251"/>
    </row>
    <row r="255" spans="2:14" x14ac:dyDescent="0.25">
      <c r="B255" s="723"/>
      <c r="C255" s="742"/>
      <c r="D255" s="747" t="s">
        <v>619</v>
      </c>
      <c r="E255" s="726"/>
      <c r="F255" s="730">
        <v>1</v>
      </c>
      <c r="G255" s="739">
        <f>((0.69*(1.9/0.1))*1) + ((0.79*(1.9/0.1))*2) + ((0.59*(1.9/0.1))*1)</f>
        <v>54.339999999999989</v>
      </c>
      <c r="H255" s="769"/>
      <c r="I255" s="795">
        <v>0.154</v>
      </c>
      <c r="J255" s="251"/>
      <c r="K255" s="251">
        <f t="shared" si="5"/>
        <v>8.3683599999999974</v>
      </c>
      <c r="L255" s="251"/>
      <c r="M255" s="251"/>
      <c r="N255" s="251"/>
    </row>
    <row r="256" spans="2:14" x14ac:dyDescent="0.25">
      <c r="B256" s="723"/>
      <c r="C256" s="742"/>
      <c r="D256" s="747" t="s">
        <v>620</v>
      </c>
      <c r="E256" s="726"/>
      <c r="F256" s="730">
        <v>1</v>
      </c>
      <c r="G256" s="739">
        <f>((0.79*(1.91/0.1))*1) +((0.59*(1.91/0.1))*1)</f>
        <v>26.357999999999997</v>
      </c>
      <c r="H256" s="769"/>
      <c r="I256" s="795">
        <v>0.154</v>
      </c>
      <c r="J256" s="251"/>
      <c r="K256" s="251">
        <f t="shared" si="5"/>
        <v>4.0591319999999991</v>
      </c>
      <c r="L256" s="251"/>
      <c r="M256" s="251"/>
      <c r="N256" s="251"/>
    </row>
    <row r="257" spans="2:14" ht="22.5" x14ac:dyDescent="0.25">
      <c r="B257" s="723"/>
      <c r="C257" s="742"/>
      <c r="D257" s="747" t="s">
        <v>621</v>
      </c>
      <c r="E257" s="726"/>
      <c r="F257" s="730">
        <v>1</v>
      </c>
      <c r="G257" s="739">
        <f>((0.79*(1.94/0.1))*1) +((0.59*(1.94/0.1))*5)</f>
        <v>72.555999999999983</v>
      </c>
      <c r="H257" s="769"/>
      <c r="I257" s="795">
        <v>0.154</v>
      </c>
      <c r="J257" s="251"/>
      <c r="K257" s="251">
        <f t="shared" si="5"/>
        <v>11.173623999999997</v>
      </c>
      <c r="L257" s="251"/>
      <c r="M257" s="251"/>
      <c r="N257" s="251"/>
    </row>
    <row r="258" spans="2:14" x14ac:dyDescent="0.25">
      <c r="B258" s="723"/>
      <c r="C258" s="742"/>
      <c r="D258" s="747" t="s">
        <v>622</v>
      </c>
      <c r="E258" s="726"/>
      <c r="F258" s="730">
        <v>1</v>
      </c>
      <c r="G258" s="739">
        <f>((0.69*(1.92/0.1))*2) + ((0.69*(1.92/0.1))*1)</f>
        <v>39.744</v>
      </c>
      <c r="H258" s="769"/>
      <c r="I258" s="795">
        <v>0.154</v>
      </c>
      <c r="J258" s="251"/>
      <c r="K258" s="251">
        <f t="shared" si="5"/>
        <v>6.1205759999999998</v>
      </c>
      <c r="L258" s="251"/>
      <c r="M258" s="251"/>
      <c r="N258" s="251"/>
    </row>
    <row r="259" spans="2:14" x14ac:dyDescent="0.25">
      <c r="B259" s="723"/>
      <c r="C259" s="742"/>
      <c r="D259" s="747" t="s">
        <v>635</v>
      </c>
      <c r="E259" s="726"/>
      <c r="F259" s="730">
        <v>1</v>
      </c>
      <c r="G259" s="739">
        <f>((0.59*(1.93/0.1))*2) + ((0.79*(1.93/0.1))*1)</f>
        <v>38.020999999999994</v>
      </c>
      <c r="H259" s="769"/>
      <c r="I259" s="795">
        <v>0.154</v>
      </c>
      <c r="J259" s="251"/>
      <c r="K259" s="251">
        <f t="shared" si="5"/>
        <v>5.8552339999999994</v>
      </c>
      <c r="L259" s="251"/>
      <c r="M259" s="251"/>
      <c r="N259" s="251"/>
    </row>
    <row r="260" spans="2:14" x14ac:dyDescent="0.25">
      <c r="B260" s="723"/>
      <c r="C260" s="742"/>
      <c r="D260" s="747" t="s">
        <v>623</v>
      </c>
      <c r="E260" s="726"/>
      <c r="F260" s="730">
        <v>1</v>
      </c>
      <c r="G260" s="739">
        <f>((0.59*(1.87/0.1))*2) + ((0.69*(1.87/0.1))*2)</f>
        <v>47.872</v>
      </c>
      <c r="H260" s="769"/>
      <c r="I260" s="795">
        <v>0.154</v>
      </c>
      <c r="J260" s="251"/>
      <c r="K260" s="251">
        <f t="shared" si="5"/>
        <v>7.3722880000000002</v>
      </c>
      <c r="L260" s="251"/>
      <c r="M260" s="251"/>
      <c r="N260" s="251"/>
    </row>
    <row r="261" spans="2:14" x14ac:dyDescent="0.25">
      <c r="B261" s="723"/>
      <c r="C261" s="742"/>
      <c r="D261" s="747" t="s">
        <v>624</v>
      </c>
      <c r="E261" s="726"/>
      <c r="F261" s="730">
        <v>1</v>
      </c>
      <c r="G261" s="739">
        <f>((0.59*(1.88/0.1))*3) + ((0.69*(1.88/0.1))*1)</f>
        <v>46.24799999999999</v>
      </c>
      <c r="H261" s="769"/>
      <c r="I261" s="795">
        <v>0.154</v>
      </c>
      <c r="J261" s="251"/>
      <c r="K261" s="251">
        <f t="shared" si="5"/>
        <v>7.1221919999999983</v>
      </c>
      <c r="L261" s="251"/>
      <c r="M261" s="251"/>
      <c r="N261" s="251"/>
    </row>
    <row r="262" spans="2:14" x14ac:dyDescent="0.25">
      <c r="B262" s="723"/>
      <c r="C262" s="742"/>
      <c r="D262" s="747" t="s">
        <v>625</v>
      </c>
      <c r="E262" s="726"/>
      <c r="F262" s="730">
        <v>1</v>
      </c>
      <c r="G262" s="739">
        <f>((0.79*(1.9/0.1))*1) + ((0.69*(1.9/0.1))*3)</f>
        <v>54.339999999999982</v>
      </c>
      <c r="H262" s="769"/>
      <c r="I262" s="795">
        <v>0.154</v>
      </c>
      <c r="J262" s="251"/>
      <c r="K262" s="251">
        <f t="shared" si="5"/>
        <v>8.3683599999999974</v>
      </c>
      <c r="L262" s="251"/>
      <c r="M262" s="251"/>
      <c r="N262" s="251"/>
    </row>
    <row r="263" spans="2:14" x14ac:dyDescent="0.25">
      <c r="B263" s="723"/>
      <c r="C263" s="742"/>
      <c r="D263" s="747" t="s">
        <v>637</v>
      </c>
      <c r="E263" s="726"/>
      <c r="F263" s="730">
        <v>1</v>
      </c>
      <c r="G263" s="739">
        <f>((0.59*(1.9/0.1))*1)</f>
        <v>11.209999999999997</v>
      </c>
      <c r="H263" s="769"/>
      <c r="I263" s="795">
        <v>0.154</v>
      </c>
      <c r="J263" s="251"/>
      <c r="K263" s="251">
        <f t="shared" si="5"/>
        <v>1.7263399999999995</v>
      </c>
      <c r="L263" s="251"/>
      <c r="M263" s="251"/>
      <c r="N263" s="251"/>
    </row>
    <row r="264" spans="2:14" x14ac:dyDescent="0.25">
      <c r="B264" s="723"/>
      <c r="C264" s="742"/>
      <c r="D264" s="747" t="s">
        <v>636</v>
      </c>
      <c r="E264" s="726"/>
      <c r="F264" s="730">
        <v>1</v>
      </c>
      <c r="G264" s="739">
        <f>((0.69*(1.87/0.1))*1) + ((0.59*(1.87/0.1))*1)</f>
        <v>23.936</v>
      </c>
      <c r="H264" s="769"/>
      <c r="I264" s="795">
        <v>0.154</v>
      </c>
      <c r="J264" s="251"/>
      <c r="K264" s="251">
        <f t="shared" si="5"/>
        <v>3.6861440000000001</v>
      </c>
      <c r="L264" s="251"/>
      <c r="M264" s="251"/>
      <c r="N264" s="251"/>
    </row>
    <row r="265" spans="2:14" x14ac:dyDescent="0.25">
      <c r="B265" s="723"/>
      <c r="C265" s="742"/>
      <c r="D265" s="747" t="s">
        <v>638</v>
      </c>
      <c r="E265" s="726"/>
      <c r="F265" s="730">
        <v>1</v>
      </c>
      <c r="G265" s="739">
        <f>((0.69*(2/0.1))*1) + ((0.59*(2/0.1))*2)</f>
        <v>37.4</v>
      </c>
      <c r="H265" s="769"/>
      <c r="I265" s="795">
        <v>0.154</v>
      </c>
      <c r="J265" s="251"/>
      <c r="K265" s="251">
        <f t="shared" si="5"/>
        <v>5.7595999999999998</v>
      </c>
      <c r="L265" s="251"/>
      <c r="M265" s="251"/>
      <c r="N265" s="251"/>
    </row>
    <row r="266" spans="2:14" ht="22.5" x14ac:dyDescent="0.25">
      <c r="B266" s="723"/>
      <c r="C266" s="742"/>
      <c r="D266" s="747" t="s">
        <v>626</v>
      </c>
      <c r="E266" s="726"/>
      <c r="F266" s="730">
        <v>1</v>
      </c>
      <c r="G266" s="739">
        <f>((0.69*(2.01/0.1))*1) + ((0.59*(2.01/0.1))*5) + ((0.79*(2.01/0.1))*1)</f>
        <v>89.042999999999992</v>
      </c>
      <c r="H266" s="769"/>
      <c r="I266" s="795">
        <v>0.154</v>
      </c>
      <c r="J266" s="251"/>
      <c r="K266" s="251">
        <f t="shared" si="5"/>
        <v>13.712621999999998</v>
      </c>
      <c r="L266" s="251"/>
      <c r="M266" s="251"/>
      <c r="N266" s="251"/>
    </row>
    <row r="267" spans="2:14" x14ac:dyDescent="0.25">
      <c r="B267" s="723"/>
      <c r="C267" s="742"/>
      <c r="D267" s="747" t="s">
        <v>639</v>
      </c>
      <c r="E267" s="726"/>
      <c r="F267" s="730">
        <v>1</v>
      </c>
      <c r="G267" s="739">
        <f>(((1.39+0.47+0.47))*(1.86/0.15))</f>
        <v>28.892000000000003</v>
      </c>
      <c r="H267" s="769"/>
      <c r="I267" s="795">
        <v>0.154</v>
      </c>
      <c r="J267" s="251"/>
      <c r="K267" s="251">
        <f t="shared" si="5"/>
        <v>4.4493680000000007</v>
      </c>
      <c r="L267" s="251"/>
      <c r="M267" s="251"/>
      <c r="N267" s="251"/>
    </row>
    <row r="268" spans="2:14" x14ac:dyDescent="0.25">
      <c r="B268" s="723"/>
      <c r="C268" s="742"/>
      <c r="D268" s="747" t="s">
        <v>640</v>
      </c>
      <c r="E268" s="726"/>
      <c r="F268" s="730">
        <v>1</v>
      </c>
      <c r="G268" s="739">
        <f>(((1.09+0.022))*(1.87/0.15))</f>
        <v>13.862933333333336</v>
      </c>
      <c r="H268" s="769"/>
      <c r="I268" s="795">
        <v>0.154</v>
      </c>
      <c r="J268" s="251"/>
      <c r="K268" s="251">
        <f t="shared" si="5"/>
        <v>2.1348917333333337</v>
      </c>
      <c r="L268" s="251"/>
      <c r="M268" s="251"/>
      <c r="N268" s="251"/>
    </row>
    <row r="269" spans="2:14" x14ac:dyDescent="0.25">
      <c r="B269" s="723"/>
      <c r="C269" s="742"/>
      <c r="D269" s="747" t="s">
        <v>641</v>
      </c>
      <c r="E269" s="726"/>
      <c r="F269" s="730">
        <v>1</v>
      </c>
      <c r="G269" s="739">
        <f>(((1.09+0.022))*(1.89/0.15))</f>
        <v>14.011200000000001</v>
      </c>
      <c r="H269" s="769"/>
      <c r="I269" s="795">
        <v>0.154</v>
      </c>
      <c r="J269" s="251"/>
      <c r="K269" s="251">
        <f t="shared" si="5"/>
        <v>2.1577248</v>
      </c>
      <c r="L269" s="251"/>
      <c r="M269" s="251"/>
      <c r="N269" s="251"/>
    </row>
    <row r="270" spans="2:14" x14ac:dyDescent="0.25">
      <c r="B270" s="723"/>
      <c r="C270" s="742"/>
      <c r="D270" s="747" t="s">
        <v>642</v>
      </c>
      <c r="E270" s="726"/>
      <c r="F270" s="730">
        <v>1</v>
      </c>
      <c r="G270" s="739">
        <f>(((0.59))*(1.9/0.15))</f>
        <v>7.4733333333333327</v>
      </c>
      <c r="H270" s="769"/>
      <c r="I270" s="795">
        <v>0.154</v>
      </c>
      <c r="J270" s="251"/>
      <c r="K270" s="251">
        <f t="shared" si="5"/>
        <v>1.1508933333333333</v>
      </c>
      <c r="L270" s="251"/>
      <c r="M270" s="251"/>
      <c r="N270" s="251"/>
    </row>
    <row r="271" spans="2:14" x14ac:dyDescent="0.25">
      <c r="B271" s="723"/>
      <c r="C271" s="742"/>
      <c r="D271" s="747" t="s">
        <v>643</v>
      </c>
      <c r="E271" s="726"/>
      <c r="F271" s="730">
        <v>1</v>
      </c>
      <c r="G271" s="739">
        <f>(((0.59))*(1.92/0.15))</f>
        <v>7.5519999999999996</v>
      </c>
      <c r="H271" s="769"/>
      <c r="I271" s="795">
        <v>0.154</v>
      </c>
      <c r="J271" s="251"/>
      <c r="K271" s="251">
        <f t="shared" si="5"/>
        <v>1.1630079999999998</v>
      </c>
      <c r="L271" s="251"/>
      <c r="M271" s="251"/>
      <c r="N271" s="251"/>
    </row>
    <row r="272" spans="2:14" x14ac:dyDescent="0.25">
      <c r="B272" s="723"/>
      <c r="C272" s="742"/>
      <c r="D272" s="747" t="s">
        <v>644</v>
      </c>
      <c r="E272" s="726"/>
      <c r="F272" s="730">
        <v>1</v>
      </c>
      <c r="G272" s="739">
        <f>(((0.59))*(1.9/0.15))</f>
        <v>7.4733333333333327</v>
      </c>
      <c r="H272" s="769"/>
      <c r="I272" s="795">
        <v>0.154</v>
      </c>
      <c r="J272" s="251"/>
      <c r="K272" s="251">
        <f t="shared" si="5"/>
        <v>1.1508933333333333</v>
      </c>
      <c r="L272" s="251"/>
      <c r="M272" s="251"/>
      <c r="N272" s="251"/>
    </row>
    <row r="273" spans="2:14" x14ac:dyDescent="0.25">
      <c r="B273" s="723"/>
      <c r="C273" s="742"/>
      <c r="D273" s="747" t="s">
        <v>645</v>
      </c>
      <c r="E273" s="726"/>
      <c r="F273" s="730">
        <v>1</v>
      </c>
      <c r="G273" s="739">
        <f>(((0.69))*(1.98/0.15))</f>
        <v>9.1080000000000005</v>
      </c>
      <c r="H273" s="769"/>
      <c r="I273" s="795">
        <v>0.154</v>
      </c>
      <c r="J273" s="251"/>
      <c r="K273" s="251">
        <f t="shared" si="5"/>
        <v>1.4026320000000001</v>
      </c>
      <c r="L273" s="251"/>
      <c r="M273" s="251"/>
      <c r="N273" s="251"/>
    </row>
    <row r="274" spans="2:14" x14ac:dyDescent="0.25">
      <c r="B274" s="723"/>
      <c r="C274" s="742"/>
      <c r="D274" s="746" t="s">
        <v>1069</v>
      </c>
      <c r="E274" s="726"/>
      <c r="F274" s="727">
        <v>1</v>
      </c>
      <c r="G274" s="790">
        <v>268.7</v>
      </c>
      <c r="H274" s="791"/>
      <c r="I274" s="792"/>
      <c r="J274" s="251"/>
      <c r="K274" s="797">
        <f>F274*G274</f>
        <v>268.7</v>
      </c>
      <c r="L274" s="251"/>
      <c r="M274" s="251"/>
      <c r="N274" s="251"/>
    </row>
    <row r="275" spans="2:14" ht="22.5" x14ac:dyDescent="0.25">
      <c r="B275" s="723"/>
      <c r="C275" s="742"/>
      <c r="D275" s="793" t="s">
        <v>1082</v>
      </c>
      <c r="E275" s="726"/>
      <c r="F275" s="727">
        <v>1</v>
      </c>
      <c r="G275" s="790" t="s">
        <v>647</v>
      </c>
      <c r="H275" s="803"/>
      <c r="I275" s="774" t="s">
        <v>611</v>
      </c>
      <c r="J275" s="251"/>
      <c r="K275" s="251"/>
      <c r="L275" s="251"/>
      <c r="M275" s="251"/>
      <c r="N275" s="251"/>
    </row>
    <row r="276" spans="2:14" ht="33.75" x14ac:dyDescent="0.25">
      <c r="B276" s="723"/>
      <c r="C276" s="742"/>
      <c r="D276" s="747" t="s">
        <v>1052</v>
      </c>
      <c r="E276" s="726"/>
      <c r="F276" s="727">
        <v>1</v>
      </c>
      <c r="G276" s="739">
        <f>(((0.59))*(0.93/0.12))</f>
        <v>4.5725000000000007</v>
      </c>
      <c r="H276" s="769"/>
      <c r="I276" s="795">
        <v>0.154</v>
      </c>
      <c r="J276" s="251"/>
      <c r="K276" s="251">
        <f>F276*G276*I276</f>
        <v>0.70416500000000004</v>
      </c>
      <c r="L276" s="251"/>
      <c r="M276" s="251"/>
      <c r="N276" s="251"/>
    </row>
    <row r="277" spans="2:14" ht="33.75" x14ac:dyDescent="0.25">
      <c r="B277" s="723"/>
      <c r="C277" s="742"/>
      <c r="D277" s="747" t="s">
        <v>1053</v>
      </c>
      <c r="E277" s="726"/>
      <c r="F277" s="727">
        <v>1</v>
      </c>
      <c r="G277" s="739">
        <f>(((0.59))*(0.8/0.12))</f>
        <v>3.9333333333333331</v>
      </c>
      <c r="H277" s="769"/>
      <c r="I277" s="795">
        <v>0.154</v>
      </c>
      <c r="J277" s="251"/>
      <c r="K277" s="251">
        <f>F277*G277*I277</f>
        <v>0.60573333333333335</v>
      </c>
      <c r="L277" s="251"/>
      <c r="M277" s="251"/>
      <c r="N277" s="251"/>
    </row>
    <row r="278" spans="2:14" x14ac:dyDescent="0.25">
      <c r="B278" s="723"/>
      <c r="C278" s="742"/>
      <c r="D278" s="747" t="s">
        <v>1054</v>
      </c>
      <c r="E278" s="726"/>
      <c r="F278" s="727">
        <v>1</v>
      </c>
      <c r="G278" s="739">
        <f t="shared" ref="G278" si="6">(((0.59))*(3.1/0.12))</f>
        <v>15.241666666666667</v>
      </c>
      <c r="H278" s="769"/>
      <c r="I278" s="795">
        <v>0.154</v>
      </c>
      <c r="J278" s="251"/>
      <c r="K278" s="251">
        <f>F278*G278*I278</f>
        <v>2.3472166666666667</v>
      </c>
      <c r="L278" s="251"/>
      <c r="M278" s="251"/>
      <c r="N278" s="251"/>
    </row>
    <row r="279" spans="2:14" x14ac:dyDescent="0.25">
      <c r="B279" s="723"/>
      <c r="C279" s="742"/>
      <c r="D279" s="747" t="s">
        <v>1055</v>
      </c>
      <c r="E279" s="726"/>
      <c r="F279" s="727">
        <v>1</v>
      </c>
      <c r="G279" s="739">
        <f>(((0.59))*(2.7/0.12))</f>
        <v>13.275000000000002</v>
      </c>
      <c r="H279" s="769"/>
      <c r="I279" s="795">
        <v>0.154</v>
      </c>
      <c r="J279" s="251"/>
      <c r="K279" s="251">
        <f>F279*G279*I279</f>
        <v>2.0443500000000001</v>
      </c>
      <c r="L279" s="251"/>
      <c r="M279" s="251"/>
      <c r="N279" s="251"/>
    </row>
    <row r="280" spans="2:14" ht="22.5" x14ac:dyDescent="0.25">
      <c r="B280" s="723"/>
      <c r="C280" s="742"/>
      <c r="D280" s="747" t="s">
        <v>1073</v>
      </c>
      <c r="E280" s="726"/>
      <c r="F280" s="730">
        <v>2</v>
      </c>
      <c r="G280" s="739">
        <f>(((0.59))*(3.1/0.12))</f>
        <v>15.241666666666667</v>
      </c>
      <c r="H280" s="769"/>
      <c r="I280" s="795">
        <v>0.154</v>
      </c>
      <c r="J280" s="251"/>
      <c r="K280" s="251">
        <f>F280*G280*I280</f>
        <v>4.6944333333333335</v>
      </c>
      <c r="L280" s="251"/>
      <c r="M280" s="251"/>
      <c r="N280" s="251"/>
    </row>
    <row r="281" spans="2:14" x14ac:dyDescent="0.25">
      <c r="B281" s="723"/>
      <c r="C281" s="742"/>
      <c r="D281" s="747"/>
      <c r="E281" s="726"/>
      <c r="F281" s="727"/>
      <c r="G281" s="739"/>
      <c r="H281" s="769"/>
      <c r="I281" s="795"/>
      <c r="J281" s="251"/>
      <c r="K281" s="251"/>
      <c r="L281" s="251"/>
      <c r="M281" s="251"/>
      <c r="N281" s="251"/>
    </row>
    <row r="282" spans="2:14" ht="33.75" hidden="1" x14ac:dyDescent="0.25">
      <c r="B282" s="723" t="s">
        <v>75</v>
      </c>
      <c r="C282" s="742">
        <v>96544</v>
      </c>
      <c r="D282" s="725" t="s">
        <v>77</v>
      </c>
      <c r="E282" s="726" t="s">
        <v>62</v>
      </c>
      <c r="F282" s="727"/>
      <c r="G282" s="728"/>
      <c r="H282" s="729"/>
      <c r="I282" s="730"/>
      <c r="J282" s="251"/>
      <c r="K282" s="250">
        <f>SUM(K283)</f>
        <v>295</v>
      </c>
      <c r="L282" s="251"/>
      <c r="M282" s="251"/>
      <c r="N282" s="251"/>
    </row>
    <row r="283" spans="2:14" hidden="1" x14ac:dyDescent="0.25">
      <c r="B283" s="723"/>
      <c r="C283" s="742"/>
      <c r="D283" s="734" t="s">
        <v>588</v>
      </c>
      <c r="E283" s="726"/>
      <c r="F283" s="727">
        <v>1</v>
      </c>
      <c r="G283" s="739">
        <v>295</v>
      </c>
      <c r="H283" s="740"/>
      <c r="I283" s="741"/>
      <c r="J283" s="251"/>
      <c r="K283" s="251">
        <f>F283*G283</f>
        <v>295</v>
      </c>
      <c r="L283" s="251"/>
      <c r="M283" s="251"/>
      <c r="N283" s="251"/>
    </row>
    <row r="284" spans="2:14" ht="33.75" x14ac:dyDescent="0.25">
      <c r="B284" s="723" t="s">
        <v>78</v>
      </c>
      <c r="C284" s="742">
        <v>96546</v>
      </c>
      <c r="D284" s="725" t="s">
        <v>80</v>
      </c>
      <c r="E284" s="726" t="s">
        <v>62</v>
      </c>
      <c r="F284" s="727"/>
      <c r="G284" s="770" t="s">
        <v>1087</v>
      </c>
      <c r="H284" s="771"/>
      <c r="I284" s="772"/>
      <c r="J284" s="251">
        <f>'BOLETIM DE MEDIÇÃO 10'!R35-'MEMORIAL DE CÁLCULO 10'!K284</f>
        <v>534.1</v>
      </c>
      <c r="K284" s="250">
        <v>151.88999999999999</v>
      </c>
      <c r="L284" s="251">
        <f>J284+K284</f>
        <v>685.99</v>
      </c>
      <c r="M284" s="251">
        <f>'BOLETIM DE MEDIÇÃO 10'!G35</f>
        <v>685.99</v>
      </c>
      <c r="N284" s="251">
        <f>M284-L284</f>
        <v>0</v>
      </c>
    </row>
    <row r="285" spans="2:14" x14ac:dyDescent="0.25">
      <c r="B285" s="723"/>
      <c r="C285" s="742"/>
      <c r="D285" s="725" t="s">
        <v>588</v>
      </c>
      <c r="E285" s="726"/>
      <c r="F285" s="727"/>
      <c r="G285" s="728"/>
      <c r="H285" s="729"/>
      <c r="I285" s="730"/>
      <c r="J285" s="251"/>
      <c r="K285" s="250"/>
      <c r="L285" s="251"/>
      <c r="M285" s="251"/>
      <c r="N285" s="251"/>
    </row>
    <row r="286" spans="2:14" ht="28.15" customHeight="1" x14ac:dyDescent="0.25">
      <c r="B286" s="723"/>
      <c r="C286" s="742"/>
      <c r="D286" s="746" t="s">
        <v>627</v>
      </c>
      <c r="E286" s="726"/>
      <c r="F286" s="727"/>
      <c r="G286" s="790" t="s">
        <v>628</v>
      </c>
      <c r="H286" s="803"/>
      <c r="I286" s="774" t="s">
        <v>611</v>
      </c>
      <c r="J286" s="251"/>
      <c r="K286" s="250"/>
      <c r="L286" s="251"/>
      <c r="M286" s="251"/>
      <c r="N286" s="251"/>
    </row>
    <row r="287" spans="2:14" x14ac:dyDescent="0.25">
      <c r="B287" s="723"/>
      <c r="C287" s="742"/>
      <c r="D287" s="747" t="s">
        <v>614</v>
      </c>
      <c r="E287" s="726"/>
      <c r="F287" s="727">
        <v>1</v>
      </c>
      <c r="G287" s="739">
        <f xml:space="preserve"> (4*(0.2+0.25+1.85+0.33)) * 2</f>
        <v>21.040000000000003</v>
      </c>
      <c r="H287" s="769"/>
      <c r="I287" s="795">
        <v>0.61699999999999999</v>
      </c>
      <c r="J287" s="251"/>
      <c r="K287" s="251">
        <f t="shared" ref="K287:K309" si="7">F287*G287*I287</f>
        <v>12.981680000000001</v>
      </c>
      <c r="L287" s="251"/>
      <c r="M287" s="251"/>
      <c r="N287" s="251"/>
    </row>
    <row r="288" spans="2:14" x14ac:dyDescent="0.25">
      <c r="B288" s="723"/>
      <c r="C288" s="742"/>
      <c r="D288" s="747" t="s">
        <v>633</v>
      </c>
      <c r="E288" s="726"/>
      <c r="F288" s="727">
        <v>1</v>
      </c>
      <c r="G288" s="739">
        <f xml:space="preserve"> ((4*(0.2+0.25+1.87+0.33)) * 2)</f>
        <v>21.200000000000003</v>
      </c>
      <c r="H288" s="769"/>
      <c r="I288" s="795">
        <v>0.61699999999999999</v>
      </c>
      <c r="J288" s="251"/>
      <c r="K288" s="251">
        <f t="shared" si="7"/>
        <v>13.080400000000001</v>
      </c>
      <c r="L288" s="251"/>
      <c r="M288" s="251"/>
      <c r="N288" s="251"/>
    </row>
    <row r="289" spans="2:14" ht="22.5" x14ac:dyDescent="0.25">
      <c r="B289" s="723"/>
      <c r="C289" s="742"/>
      <c r="D289" s="747" t="s">
        <v>629</v>
      </c>
      <c r="E289" s="726"/>
      <c r="F289" s="727">
        <v>1</v>
      </c>
      <c r="G289" s="739">
        <f xml:space="preserve"> (4*(0.2+0.25+1.9+0.33)) * 5</f>
        <v>53.6</v>
      </c>
      <c r="H289" s="769"/>
      <c r="I289" s="795">
        <v>0.61699999999999999</v>
      </c>
      <c r="J289" s="251"/>
      <c r="K289" s="251">
        <f t="shared" si="7"/>
        <v>33.071199999999997</v>
      </c>
      <c r="L289" s="251"/>
      <c r="M289" s="251"/>
      <c r="N289" s="251"/>
    </row>
    <row r="290" spans="2:14" x14ac:dyDescent="0.25">
      <c r="B290" s="723"/>
      <c r="C290" s="742"/>
      <c r="D290" s="747" t="s">
        <v>630</v>
      </c>
      <c r="E290" s="726"/>
      <c r="F290" s="727">
        <v>1</v>
      </c>
      <c r="G290" s="739">
        <f xml:space="preserve"> (4*(0.2+0.25+1.92+0.33)) *3</f>
        <v>32.400000000000006</v>
      </c>
      <c r="H290" s="769"/>
      <c r="I290" s="795">
        <v>0.61699999999999999</v>
      </c>
      <c r="J290" s="251"/>
      <c r="K290" s="251">
        <f t="shared" si="7"/>
        <v>19.990800000000004</v>
      </c>
      <c r="L290" s="251"/>
      <c r="M290" s="251"/>
      <c r="N290" s="251"/>
    </row>
    <row r="291" spans="2:14" x14ac:dyDescent="0.25">
      <c r="B291" s="723"/>
      <c r="C291" s="742"/>
      <c r="D291" s="747" t="s">
        <v>615</v>
      </c>
      <c r="E291" s="726"/>
      <c r="F291" s="727">
        <v>1</v>
      </c>
      <c r="G291" s="739">
        <f xml:space="preserve"> (4*(0.2+0.25+1.94+0.33)) * 3</f>
        <v>32.64</v>
      </c>
      <c r="H291" s="769"/>
      <c r="I291" s="795">
        <v>0.61699999999999999</v>
      </c>
      <c r="J291" s="251"/>
      <c r="K291" s="251">
        <f t="shared" si="7"/>
        <v>20.13888</v>
      </c>
      <c r="L291" s="251"/>
      <c r="M291" s="251"/>
      <c r="N291" s="251"/>
    </row>
    <row r="292" spans="2:14" ht="22.5" x14ac:dyDescent="0.25">
      <c r="B292" s="723"/>
      <c r="C292" s="742"/>
      <c r="D292" s="747" t="s">
        <v>616</v>
      </c>
      <c r="E292" s="726"/>
      <c r="F292" s="727">
        <v>1</v>
      </c>
      <c r="G292" s="739">
        <f xml:space="preserve"> (4*(0.2+0.25+1.96+0.33)) * 5</f>
        <v>54.800000000000004</v>
      </c>
      <c r="H292" s="769"/>
      <c r="I292" s="795">
        <v>0.61699999999999999</v>
      </c>
      <c r="J292" s="251"/>
      <c r="K292" s="251">
        <f t="shared" si="7"/>
        <v>33.811600000000006</v>
      </c>
      <c r="L292" s="251"/>
      <c r="M292" s="251"/>
      <c r="N292" s="251"/>
    </row>
    <row r="293" spans="2:14" ht="22.5" x14ac:dyDescent="0.25">
      <c r="B293" s="723"/>
      <c r="C293" s="742"/>
      <c r="D293" s="747" t="s">
        <v>617</v>
      </c>
      <c r="E293" s="726"/>
      <c r="F293" s="727">
        <v>1</v>
      </c>
      <c r="G293" s="739">
        <f xml:space="preserve"> (4*(0.2+0.25+1.95+0.33)) * 6</f>
        <v>65.52</v>
      </c>
      <c r="H293" s="769"/>
      <c r="I293" s="795">
        <v>0.61699999999999999</v>
      </c>
      <c r="J293" s="251"/>
      <c r="K293" s="251">
        <f t="shared" si="7"/>
        <v>40.425839999999994</v>
      </c>
      <c r="L293" s="251"/>
      <c r="M293" s="251"/>
      <c r="N293" s="251"/>
    </row>
    <row r="294" spans="2:14" x14ac:dyDescent="0.25">
      <c r="B294" s="723"/>
      <c r="C294" s="742"/>
      <c r="D294" s="747" t="s">
        <v>618</v>
      </c>
      <c r="E294" s="726"/>
      <c r="F294" s="727">
        <v>1</v>
      </c>
      <c r="G294" s="739">
        <f xml:space="preserve"> (4*(0.2+0.25+1.97+0.33)) * 3</f>
        <v>33</v>
      </c>
      <c r="H294" s="769"/>
      <c r="I294" s="795">
        <v>0.61699999999999999</v>
      </c>
      <c r="J294" s="251"/>
      <c r="K294" s="251">
        <f t="shared" si="7"/>
        <v>20.361000000000001</v>
      </c>
      <c r="L294" s="251"/>
      <c r="M294" s="251"/>
      <c r="N294" s="251"/>
    </row>
    <row r="295" spans="2:14" x14ac:dyDescent="0.25">
      <c r="B295" s="723"/>
      <c r="C295" s="742"/>
      <c r="D295" s="747" t="s">
        <v>631</v>
      </c>
      <c r="E295" s="726"/>
      <c r="F295" s="727">
        <v>1</v>
      </c>
      <c r="G295" s="739">
        <f xml:space="preserve"> (4*(0.2+0.25+1.9+0.33)) * 3</f>
        <v>32.160000000000004</v>
      </c>
      <c r="H295" s="769"/>
      <c r="I295" s="795">
        <v>0.61699999999999999</v>
      </c>
      <c r="J295" s="251"/>
      <c r="K295" s="251">
        <f t="shared" si="7"/>
        <v>19.842720000000003</v>
      </c>
      <c r="L295" s="251"/>
      <c r="M295" s="251"/>
      <c r="N295" s="251"/>
    </row>
    <row r="296" spans="2:14" x14ac:dyDescent="0.25">
      <c r="B296" s="723"/>
      <c r="C296" s="742"/>
      <c r="D296" s="747" t="s">
        <v>632</v>
      </c>
      <c r="E296" s="726"/>
      <c r="F296" s="727">
        <v>1</v>
      </c>
      <c r="G296" s="739">
        <f xml:space="preserve"> ((4*(0.2+0.25+1.86+0.33)) * 3)</f>
        <v>31.68</v>
      </c>
      <c r="H296" s="769"/>
      <c r="I296" s="795">
        <v>0.61699999999999999</v>
      </c>
      <c r="J296" s="251"/>
      <c r="K296" s="251">
        <f t="shared" si="7"/>
        <v>19.546559999999999</v>
      </c>
      <c r="L296" s="251"/>
      <c r="M296" s="251"/>
      <c r="N296" s="251"/>
    </row>
    <row r="297" spans="2:14" x14ac:dyDescent="0.25">
      <c r="B297" s="723"/>
      <c r="C297" s="742"/>
      <c r="D297" s="747" t="s">
        <v>634</v>
      </c>
      <c r="E297" s="726"/>
      <c r="F297" s="727">
        <v>1</v>
      </c>
      <c r="G297" s="739">
        <f xml:space="preserve"> ((4*(0.2+0.25+1.87+0.33)) * 3)</f>
        <v>31.800000000000004</v>
      </c>
      <c r="H297" s="769"/>
      <c r="I297" s="795">
        <v>0.61699999999999999</v>
      </c>
      <c r="J297" s="251"/>
      <c r="K297" s="251">
        <f t="shared" si="7"/>
        <v>19.620600000000003</v>
      </c>
      <c r="L297" s="251"/>
      <c r="M297" s="251"/>
      <c r="N297" s="251"/>
    </row>
    <row r="298" spans="2:14" x14ac:dyDescent="0.25">
      <c r="B298" s="723"/>
      <c r="C298" s="742"/>
      <c r="D298" s="747" t="s">
        <v>619</v>
      </c>
      <c r="E298" s="726"/>
      <c r="F298" s="727">
        <v>1</v>
      </c>
      <c r="G298" s="739">
        <f xml:space="preserve"> ((4*(0.2+0.25+1.9+0.33)) * 4)</f>
        <v>42.88</v>
      </c>
      <c r="H298" s="769"/>
      <c r="I298" s="795">
        <v>0.61699999999999999</v>
      </c>
      <c r="J298" s="251"/>
      <c r="K298" s="251">
        <f t="shared" si="7"/>
        <v>26.456960000000002</v>
      </c>
      <c r="L298" s="251"/>
      <c r="M298" s="251"/>
      <c r="N298" s="251"/>
    </row>
    <row r="299" spans="2:14" x14ac:dyDescent="0.25">
      <c r="B299" s="723"/>
      <c r="C299" s="742"/>
      <c r="D299" s="747" t="s">
        <v>620</v>
      </c>
      <c r="E299" s="726"/>
      <c r="F299" s="727">
        <v>1</v>
      </c>
      <c r="G299" s="739">
        <f xml:space="preserve"> ((4*(0.2+0.25+1.91+0.33)) * 2)</f>
        <v>21.52</v>
      </c>
      <c r="H299" s="769"/>
      <c r="I299" s="795">
        <v>0.61699999999999999</v>
      </c>
      <c r="J299" s="251"/>
      <c r="K299" s="251">
        <f t="shared" si="7"/>
        <v>13.277839999999999</v>
      </c>
      <c r="L299" s="251"/>
      <c r="M299" s="251"/>
      <c r="N299" s="251"/>
    </row>
    <row r="300" spans="2:14" ht="22.5" x14ac:dyDescent="0.25">
      <c r="B300" s="723"/>
      <c r="C300" s="742"/>
      <c r="D300" s="747" t="s">
        <v>621</v>
      </c>
      <c r="E300" s="726"/>
      <c r="F300" s="727">
        <v>1</v>
      </c>
      <c r="G300" s="739">
        <f xml:space="preserve"> ((4*(0.2+0.25+1.94+0.33)) * 6)</f>
        <v>65.28</v>
      </c>
      <c r="H300" s="769"/>
      <c r="I300" s="795">
        <v>0.61699999999999999</v>
      </c>
      <c r="J300" s="251"/>
      <c r="K300" s="251">
        <f t="shared" si="7"/>
        <v>40.277760000000001</v>
      </c>
      <c r="L300" s="251"/>
      <c r="M300" s="251"/>
      <c r="N300" s="251"/>
    </row>
    <row r="301" spans="2:14" x14ac:dyDescent="0.25">
      <c r="B301" s="723"/>
      <c r="C301" s="742"/>
      <c r="D301" s="747" t="s">
        <v>622</v>
      </c>
      <c r="E301" s="726"/>
      <c r="F301" s="727">
        <v>1</v>
      </c>
      <c r="G301" s="739">
        <f xml:space="preserve"> ((4*(0.2+0.25+1.92+0.33)) *3)</f>
        <v>32.400000000000006</v>
      </c>
      <c r="H301" s="769"/>
      <c r="I301" s="795">
        <v>0.61699999999999999</v>
      </c>
      <c r="J301" s="251"/>
      <c r="K301" s="251">
        <f t="shared" si="7"/>
        <v>19.990800000000004</v>
      </c>
      <c r="L301" s="251"/>
      <c r="M301" s="251"/>
      <c r="N301" s="251"/>
    </row>
    <row r="302" spans="2:14" x14ac:dyDescent="0.25">
      <c r="B302" s="723"/>
      <c r="C302" s="742"/>
      <c r="D302" s="747" t="s">
        <v>635</v>
      </c>
      <c r="E302" s="726"/>
      <c r="F302" s="727">
        <v>1</v>
      </c>
      <c r="G302" s="739">
        <f xml:space="preserve"> ((4*(0.2+0.25+1.93+0.33)) *3)</f>
        <v>32.519999999999996</v>
      </c>
      <c r="H302" s="769"/>
      <c r="I302" s="795">
        <v>0.61699999999999999</v>
      </c>
      <c r="J302" s="251"/>
      <c r="K302" s="251">
        <f t="shared" si="7"/>
        <v>20.064839999999997</v>
      </c>
      <c r="L302" s="251"/>
      <c r="M302" s="251"/>
      <c r="N302" s="251"/>
    </row>
    <row r="303" spans="2:14" x14ac:dyDescent="0.25">
      <c r="B303" s="723"/>
      <c r="C303" s="742"/>
      <c r="D303" s="747" t="s">
        <v>623</v>
      </c>
      <c r="E303" s="726"/>
      <c r="F303" s="727">
        <v>1</v>
      </c>
      <c r="G303" s="739">
        <f xml:space="preserve"> ((4*(0.2+0.25+1.87+0.33)) *4)</f>
        <v>42.400000000000006</v>
      </c>
      <c r="H303" s="769"/>
      <c r="I303" s="795">
        <v>0.61699999999999999</v>
      </c>
      <c r="J303" s="251"/>
      <c r="K303" s="251">
        <f t="shared" si="7"/>
        <v>26.160800000000002</v>
      </c>
      <c r="L303" s="251"/>
      <c r="M303" s="251"/>
      <c r="N303" s="251"/>
    </row>
    <row r="304" spans="2:14" x14ac:dyDescent="0.25">
      <c r="B304" s="723"/>
      <c r="C304" s="742"/>
      <c r="D304" s="747" t="s">
        <v>624</v>
      </c>
      <c r="E304" s="726"/>
      <c r="F304" s="727">
        <v>1</v>
      </c>
      <c r="G304" s="739">
        <f xml:space="preserve"> ((4*(0.2+0.25+1.88+0.33)) *4)</f>
        <v>42.56</v>
      </c>
      <c r="H304" s="769"/>
      <c r="I304" s="795">
        <v>0.61699999999999999</v>
      </c>
      <c r="J304" s="251"/>
      <c r="K304" s="251">
        <f t="shared" si="7"/>
        <v>26.259520000000002</v>
      </c>
      <c r="L304" s="251"/>
      <c r="M304" s="251"/>
      <c r="N304" s="251"/>
    </row>
    <row r="305" spans="2:14" x14ac:dyDescent="0.25">
      <c r="B305" s="723"/>
      <c r="C305" s="742"/>
      <c r="D305" s="747" t="s">
        <v>625</v>
      </c>
      <c r="E305" s="726"/>
      <c r="F305" s="727">
        <v>1</v>
      </c>
      <c r="G305" s="739">
        <f xml:space="preserve"> ((4*(0.2+0.25+1.9+0.33)) *4)</f>
        <v>42.88</v>
      </c>
      <c r="H305" s="769"/>
      <c r="I305" s="795">
        <v>0.61699999999999999</v>
      </c>
      <c r="J305" s="251"/>
      <c r="K305" s="251">
        <f t="shared" si="7"/>
        <v>26.456960000000002</v>
      </c>
      <c r="L305" s="251"/>
      <c r="M305" s="251"/>
      <c r="N305" s="251"/>
    </row>
    <row r="306" spans="2:14" x14ac:dyDescent="0.25">
      <c r="B306" s="723"/>
      <c r="C306" s="742"/>
      <c r="D306" s="747" t="s">
        <v>637</v>
      </c>
      <c r="E306" s="726"/>
      <c r="F306" s="727">
        <v>1</v>
      </c>
      <c r="G306" s="739">
        <f>((4*(0.2+0.25+1.9+0.33))) + ((8*(0.2+0.25+1.9)))</f>
        <v>29.520000000000003</v>
      </c>
      <c r="H306" s="769"/>
      <c r="I306" s="795">
        <v>0.61699999999999999</v>
      </c>
      <c r="J306" s="251"/>
      <c r="K306" s="251">
        <f t="shared" si="7"/>
        <v>18.213840000000001</v>
      </c>
      <c r="L306" s="251"/>
      <c r="M306" s="251"/>
      <c r="N306" s="251"/>
    </row>
    <row r="307" spans="2:14" x14ac:dyDescent="0.25">
      <c r="B307" s="723"/>
      <c r="C307" s="742"/>
      <c r="D307" s="747" t="s">
        <v>636</v>
      </c>
      <c r="E307" s="726"/>
      <c r="F307" s="727">
        <v>1</v>
      </c>
      <c r="G307" s="739">
        <f xml:space="preserve"> ((4*(0.2+0.25+1.97+0.33)) *2)</f>
        <v>22</v>
      </c>
      <c r="H307" s="769"/>
      <c r="I307" s="795">
        <v>0.61699999999999999</v>
      </c>
      <c r="J307" s="251"/>
      <c r="K307" s="251">
        <f t="shared" si="7"/>
        <v>13.574</v>
      </c>
      <c r="L307" s="251"/>
      <c r="M307" s="251"/>
      <c r="N307" s="251"/>
    </row>
    <row r="308" spans="2:14" x14ac:dyDescent="0.25">
      <c r="B308" s="723"/>
      <c r="C308" s="742"/>
      <c r="D308" s="747" t="s">
        <v>638</v>
      </c>
      <c r="E308" s="726"/>
      <c r="F308" s="727">
        <v>1</v>
      </c>
      <c r="G308" s="739">
        <f xml:space="preserve"> ((4*(0.2+0.25+2+0.33)) *3)</f>
        <v>33.36</v>
      </c>
      <c r="H308" s="769"/>
      <c r="I308" s="795">
        <v>0.61699999999999999</v>
      </c>
      <c r="J308" s="251"/>
      <c r="K308" s="251">
        <f t="shared" si="7"/>
        <v>20.583120000000001</v>
      </c>
      <c r="L308" s="251"/>
      <c r="M308" s="251"/>
      <c r="N308" s="251"/>
    </row>
    <row r="309" spans="2:14" ht="22.5" x14ac:dyDescent="0.25">
      <c r="B309" s="723"/>
      <c r="C309" s="742"/>
      <c r="D309" s="747" t="s">
        <v>626</v>
      </c>
      <c r="E309" s="726"/>
      <c r="F309" s="727">
        <v>1</v>
      </c>
      <c r="G309" s="739">
        <f xml:space="preserve"> ((4*(0.2+0.25+2.01+0.33)) *7)</f>
        <v>78.12</v>
      </c>
      <c r="H309" s="769"/>
      <c r="I309" s="795">
        <v>0.61699999999999999</v>
      </c>
      <c r="J309" s="251"/>
      <c r="K309" s="251">
        <f t="shared" si="7"/>
        <v>48.200040000000001</v>
      </c>
      <c r="L309" s="251"/>
      <c r="M309" s="251"/>
      <c r="N309" s="251"/>
    </row>
    <row r="310" spans="2:14" x14ac:dyDescent="0.25">
      <c r="B310" s="723"/>
      <c r="C310" s="742"/>
      <c r="D310" s="808" t="s">
        <v>1069</v>
      </c>
      <c r="E310" s="726"/>
      <c r="F310" s="727">
        <v>1</v>
      </c>
      <c r="G310" s="739">
        <v>133.6</v>
      </c>
      <c r="H310" s="740"/>
      <c r="I310" s="741"/>
      <c r="J310" s="251"/>
      <c r="K310" s="251">
        <f>F310*G310</f>
        <v>133.6</v>
      </c>
      <c r="L310" s="251"/>
      <c r="M310" s="251"/>
      <c r="N310" s="251"/>
    </row>
    <row r="311" spans="2:14" x14ac:dyDescent="0.25">
      <c r="B311" s="723"/>
      <c r="C311" s="742"/>
      <c r="D311" s="747"/>
      <c r="E311" s="726"/>
      <c r="F311" s="727"/>
      <c r="G311" s="801"/>
      <c r="H311" s="798"/>
      <c r="I311" s="800"/>
      <c r="J311" s="251"/>
      <c r="K311" s="251"/>
      <c r="L311" s="251"/>
      <c r="M311" s="251"/>
      <c r="N311" s="251"/>
    </row>
    <row r="312" spans="2:14" ht="33.75" x14ac:dyDescent="0.25">
      <c r="B312" s="723" t="s">
        <v>81</v>
      </c>
      <c r="C312" s="742">
        <v>96547</v>
      </c>
      <c r="D312" s="725" t="s">
        <v>83</v>
      </c>
      <c r="E312" s="726" t="s">
        <v>62</v>
      </c>
      <c r="F312" s="727"/>
      <c r="G312" s="770" t="s">
        <v>1083</v>
      </c>
      <c r="H312" s="771"/>
      <c r="I312" s="772"/>
      <c r="J312" s="251">
        <f>'BOLETIM DE MEDIÇÃO 10'!R36-'MEMORIAL DE CÁLCULO 10'!K312</f>
        <v>152.89645999999999</v>
      </c>
      <c r="K312" s="250">
        <v>26.36</v>
      </c>
      <c r="L312" s="251">
        <f>J312+K312</f>
        <v>179.25646</v>
      </c>
      <c r="M312" s="251">
        <f>'BOLETIM DE MEDIÇÃO 10'!G36</f>
        <v>179.26</v>
      </c>
      <c r="N312" s="251">
        <f>M312-L312</f>
        <v>3.5399999999867759E-3</v>
      </c>
    </row>
    <row r="313" spans="2:14" ht="32.450000000000003" customHeight="1" x14ac:dyDescent="0.25">
      <c r="B313" s="723"/>
      <c r="C313" s="742"/>
      <c r="D313" s="746" t="s">
        <v>627</v>
      </c>
      <c r="E313" s="726"/>
      <c r="F313" s="727"/>
      <c r="G313" s="790" t="s">
        <v>628</v>
      </c>
      <c r="H313" s="803"/>
      <c r="I313" s="774" t="s">
        <v>611</v>
      </c>
      <c r="J313" s="251"/>
      <c r="K313" s="251"/>
      <c r="L313" s="251"/>
      <c r="M313" s="251"/>
      <c r="N313" s="251"/>
    </row>
    <row r="314" spans="2:14" x14ac:dyDescent="0.25">
      <c r="B314" s="723"/>
      <c r="C314" s="742"/>
      <c r="D314" s="747" t="s">
        <v>639</v>
      </c>
      <c r="E314" s="726"/>
      <c r="F314" s="727">
        <v>1</v>
      </c>
      <c r="G314" s="739">
        <f>((8*(0.2+0.25+1.86+0.42)))</f>
        <v>21.84</v>
      </c>
      <c r="H314" s="769"/>
      <c r="I314" s="795">
        <v>0.96299999999999997</v>
      </c>
      <c r="J314" s="251"/>
      <c r="K314" s="251">
        <f t="shared" ref="K314:K320" si="8">F314*G314*I314</f>
        <v>21.03192</v>
      </c>
      <c r="L314" s="251"/>
      <c r="M314" s="251"/>
      <c r="N314" s="251"/>
    </row>
    <row r="315" spans="2:14" x14ac:dyDescent="0.25">
      <c r="B315" s="723"/>
      <c r="C315" s="742"/>
      <c r="D315" s="747" t="s">
        <v>640</v>
      </c>
      <c r="E315" s="726"/>
      <c r="F315" s="727">
        <v>1</v>
      </c>
      <c r="G315" s="739">
        <f>((6*(0.2+0.25+1.87+0.42)))</f>
        <v>16.440000000000001</v>
      </c>
      <c r="H315" s="769"/>
      <c r="I315" s="795">
        <v>0.96299999999999997</v>
      </c>
      <c r="J315" s="251"/>
      <c r="K315" s="251">
        <f t="shared" si="8"/>
        <v>15.831720000000001</v>
      </c>
      <c r="L315" s="251"/>
      <c r="M315" s="251"/>
      <c r="N315" s="251"/>
    </row>
    <row r="316" spans="2:14" x14ac:dyDescent="0.25">
      <c r="B316" s="723"/>
      <c r="C316" s="742"/>
      <c r="D316" s="747" t="s">
        <v>641</v>
      </c>
      <c r="E316" s="726"/>
      <c r="F316" s="727">
        <v>1</v>
      </c>
      <c r="G316" s="739">
        <f>((6*(0.2+0.25+1.89+0.42)))</f>
        <v>16.559999999999999</v>
      </c>
      <c r="H316" s="769"/>
      <c r="I316" s="795">
        <v>0.96299999999999997</v>
      </c>
      <c r="J316" s="251"/>
      <c r="K316" s="251">
        <f t="shared" si="8"/>
        <v>15.947279999999997</v>
      </c>
      <c r="L316" s="251"/>
      <c r="M316" s="251"/>
      <c r="N316" s="251"/>
    </row>
    <row r="317" spans="2:14" x14ac:dyDescent="0.25">
      <c r="B317" s="723"/>
      <c r="C317" s="742"/>
      <c r="D317" s="747" t="s">
        <v>642</v>
      </c>
      <c r="E317" s="726"/>
      <c r="F317" s="727">
        <v>1</v>
      </c>
      <c r="G317" s="739">
        <f>((4*(0.2+0.25+1.9+0.42)))</f>
        <v>11.08</v>
      </c>
      <c r="H317" s="769"/>
      <c r="I317" s="795">
        <v>0.96299999999999997</v>
      </c>
      <c r="J317" s="251"/>
      <c r="K317" s="251">
        <f t="shared" si="8"/>
        <v>10.67004</v>
      </c>
      <c r="L317" s="251"/>
      <c r="M317" s="251"/>
      <c r="N317" s="251"/>
    </row>
    <row r="318" spans="2:14" x14ac:dyDescent="0.25">
      <c r="B318" s="723"/>
      <c r="C318" s="742"/>
      <c r="D318" s="747" t="s">
        <v>643</v>
      </c>
      <c r="E318" s="726"/>
      <c r="F318" s="727">
        <v>1</v>
      </c>
      <c r="G318" s="739">
        <f>((4*(0.2+0.25+1.92+0.42)))</f>
        <v>11.16</v>
      </c>
      <c r="H318" s="769"/>
      <c r="I318" s="795">
        <v>0.96299999999999997</v>
      </c>
      <c r="J318" s="251"/>
      <c r="K318" s="251">
        <f t="shared" si="8"/>
        <v>10.74708</v>
      </c>
      <c r="L318" s="251"/>
      <c r="M318" s="251"/>
      <c r="N318" s="251"/>
    </row>
    <row r="319" spans="2:14" x14ac:dyDescent="0.25">
      <c r="B319" s="723"/>
      <c r="C319" s="742"/>
      <c r="D319" s="747" t="s">
        <v>644</v>
      </c>
      <c r="E319" s="726"/>
      <c r="F319" s="727">
        <v>1</v>
      </c>
      <c r="G319" s="739">
        <f>((4*(0.2+0.25+1.9+0.42)))</f>
        <v>11.08</v>
      </c>
      <c r="H319" s="769"/>
      <c r="I319" s="795">
        <v>0.96299999999999997</v>
      </c>
      <c r="J319" s="251"/>
      <c r="K319" s="251">
        <f t="shared" si="8"/>
        <v>10.67004</v>
      </c>
      <c r="L319" s="251"/>
      <c r="M319" s="251"/>
      <c r="N319" s="251"/>
    </row>
    <row r="320" spans="2:14" x14ac:dyDescent="0.25">
      <c r="B320" s="723"/>
      <c r="C320" s="742"/>
      <c r="D320" s="747" t="s">
        <v>645</v>
      </c>
      <c r="E320" s="726"/>
      <c r="F320" s="727">
        <v>1</v>
      </c>
      <c r="G320" s="739">
        <f>((4*(0.2+0.25+1.98+0.42)))+(2*(0.2+0.25+1.98))</f>
        <v>16.260000000000002</v>
      </c>
      <c r="H320" s="769"/>
      <c r="I320" s="795">
        <v>0.96299999999999997</v>
      </c>
      <c r="J320" s="251"/>
      <c r="K320" s="251">
        <f t="shared" si="8"/>
        <v>15.658380000000001</v>
      </c>
      <c r="L320" s="251"/>
      <c r="M320" s="251"/>
      <c r="N320" s="251"/>
    </row>
    <row r="321" spans="2:14" x14ac:dyDescent="0.25">
      <c r="B321" s="723"/>
      <c r="C321" s="742"/>
      <c r="D321" s="808" t="s">
        <v>1069</v>
      </c>
      <c r="E321" s="726"/>
      <c r="F321" s="727">
        <v>1</v>
      </c>
      <c r="G321" s="739">
        <v>78.7</v>
      </c>
      <c r="H321" s="740"/>
      <c r="I321" s="741"/>
      <c r="J321" s="251"/>
      <c r="K321" s="251">
        <f>F321*G321</f>
        <v>78.7</v>
      </c>
      <c r="L321" s="251"/>
      <c r="M321" s="251"/>
      <c r="N321" s="251"/>
    </row>
    <row r="322" spans="2:14" x14ac:dyDescent="0.25">
      <c r="B322" s="723"/>
      <c r="C322" s="742"/>
      <c r="D322" s="746"/>
      <c r="E322" s="726"/>
      <c r="F322" s="727"/>
      <c r="G322" s="790"/>
      <c r="H322" s="791"/>
      <c r="I322" s="792"/>
      <c r="J322" s="251"/>
      <c r="K322" s="250"/>
      <c r="L322" s="251"/>
      <c r="M322" s="251"/>
      <c r="N322" s="251"/>
    </row>
    <row r="323" spans="2:14" ht="33.75" x14ac:dyDescent="0.25">
      <c r="B323" s="723" t="s">
        <v>84</v>
      </c>
      <c r="C323" s="742">
        <v>96536</v>
      </c>
      <c r="D323" s="725" t="s">
        <v>86</v>
      </c>
      <c r="E323" s="726" t="s">
        <v>17</v>
      </c>
      <c r="F323" s="727"/>
      <c r="G323" s="770" t="s">
        <v>1084</v>
      </c>
      <c r="H323" s="771"/>
      <c r="I323" s="772"/>
      <c r="J323" s="251">
        <f>'BOLETIM DE MEDIÇÃO 10'!R37-'MEMORIAL DE CÁLCULO 10'!K323</f>
        <v>429.827</v>
      </c>
      <c r="K323" s="250">
        <v>33.94</v>
      </c>
      <c r="L323" s="251">
        <f>J323+K323</f>
        <v>463.767</v>
      </c>
      <c r="M323" s="251">
        <f>'BOLETIM DE MEDIÇÃO 10'!G37</f>
        <v>463.77</v>
      </c>
      <c r="N323" s="251">
        <f>M323-L323</f>
        <v>2.9999999999859028E-3</v>
      </c>
    </row>
    <row r="324" spans="2:14" x14ac:dyDescent="0.25">
      <c r="B324" s="723"/>
      <c r="C324" s="742"/>
      <c r="D324" s="746" t="s">
        <v>1069</v>
      </c>
      <c r="E324" s="726"/>
      <c r="F324" s="727">
        <v>1</v>
      </c>
      <c r="G324" s="739">
        <v>254.18</v>
      </c>
      <c r="H324" s="740"/>
      <c r="I324" s="741"/>
      <c r="J324" s="251"/>
      <c r="K324" s="251">
        <f>F324*G324</f>
        <v>254.18</v>
      </c>
      <c r="L324" s="251"/>
      <c r="M324" s="251"/>
      <c r="N324" s="251"/>
    </row>
    <row r="325" spans="2:14" ht="22.5" x14ac:dyDescent="0.25">
      <c r="B325" s="723"/>
      <c r="C325" s="742"/>
      <c r="D325" s="793" t="s">
        <v>1085</v>
      </c>
      <c r="E325" s="726"/>
      <c r="F325" s="727">
        <v>1</v>
      </c>
      <c r="G325" s="728" t="s">
        <v>1075</v>
      </c>
      <c r="H325" s="729" t="s">
        <v>649</v>
      </c>
      <c r="I325" s="730" t="s">
        <v>651</v>
      </c>
      <c r="J325" s="251"/>
      <c r="K325" s="250"/>
      <c r="L325" s="251"/>
      <c r="M325" s="251"/>
      <c r="N325" s="251"/>
    </row>
    <row r="326" spans="2:14" ht="33.75" x14ac:dyDescent="0.25">
      <c r="B326" s="723"/>
      <c r="C326" s="742"/>
      <c r="D326" s="747" t="s">
        <v>1052</v>
      </c>
      <c r="E326" s="726"/>
      <c r="F326" s="730">
        <v>1</v>
      </c>
      <c r="G326" s="750">
        <v>0.92700000000000005</v>
      </c>
      <c r="H326" s="729">
        <v>0.15</v>
      </c>
      <c r="I326" s="730">
        <v>0.2</v>
      </c>
      <c r="J326" s="251"/>
      <c r="K326" s="251">
        <f>((I326*2)*G326)</f>
        <v>0.37080000000000002</v>
      </c>
      <c r="L326" s="251"/>
      <c r="M326" s="251"/>
      <c r="N326" s="251"/>
    </row>
    <row r="327" spans="2:14" ht="33.75" x14ac:dyDescent="0.25">
      <c r="B327" s="723"/>
      <c r="C327" s="742"/>
      <c r="D327" s="747" t="s">
        <v>1053</v>
      </c>
      <c r="E327" s="726"/>
      <c r="F327" s="730">
        <v>1</v>
      </c>
      <c r="G327" s="750">
        <v>0.8</v>
      </c>
      <c r="H327" s="729">
        <v>0.15</v>
      </c>
      <c r="I327" s="730">
        <v>0.2</v>
      </c>
      <c r="J327" s="251"/>
      <c r="K327" s="251">
        <f>((I327*2)*G327)</f>
        <v>0.32000000000000006</v>
      </c>
      <c r="L327" s="251"/>
      <c r="M327" s="251"/>
      <c r="N327" s="251"/>
    </row>
    <row r="328" spans="2:14" x14ac:dyDescent="0.25">
      <c r="B328" s="723"/>
      <c r="C328" s="742"/>
      <c r="D328" s="747" t="s">
        <v>1054</v>
      </c>
      <c r="E328" s="726"/>
      <c r="F328" s="730">
        <v>1</v>
      </c>
      <c r="G328" s="750">
        <f>(1.7+0.15+1.855)</f>
        <v>3.7050000000000001</v>
      </c>
      <c r="H328" s="729">
        <v>0.15</v>
      </c>
      <c r="I328" s="730">
        <v>0.2</v>
      </c>
      <c r="J328" s="251"/>
      <c r="K328" s="251">
        <f>((I328*2)*G328)</f>
        <v>1.4820000000000002</v>
      </c>
      <c r="L328" s="251"/>
      <c r="M328" s="251"/>
      <c r="N328" s="251"/>
    </row>
    <row r="329" spans="2:14" x14ac:dyDescent="0.25">
      <c r="B329" s="723"/>
      <c r="C329" s="742"/>
      <c r="D329" s="747" t="s">
        <v>1055</v>
      </c>
      <c r="E329" s="726"/>
      <c r="F329" s="730">
        <v>1</v>
      </c>
      <c r="G329" s="750">
        <v>2.7</v>
      </c>
      <c r="H329" s="729">
        <v>0.15</v>
      </c>
      <c r="I329" s="730">
        <v>0.2</v>
      </c>
      <c r="J329" s="251"/>
      <c r="K329" s="251">
        <f>((I329*2)*G329)</f>
        <v>1.08</v>
      </c>
      <c r="L329" s="251"/>
      <c r="M329" s="251"/>
      <c r="N329" s="251"/>
    </row>
    <row r="330" spans="2:14" x14ac:dyDescent="0.25">
      <c r="B330" s="723"/>
      <c r="C330" s="742"/>
      <c r="D330" s="746"/>
      <c r="E330" s="726"/>
      <c r="F330" s="727"/>
      <c r="G330" s="801"/>
      <c r="H330" s="798"/>
      <c r="I330" s="807"/>
      <c r="J330" s="251"/>
      <c r="K330" s="250"/>
      <c r="L330" s="251"/>
      <c r="M330" s="251"/>
      <c r="N330" s="251"/>
    </row>
    <row r="331" spans="2:14" x14ac:dyDescent="0.25">
      <c r="B331" s="723"/>
      <c r="C331" s="742"/>
      <c r="D331" s="746"/>
      <c r="E331" s="726"/>
      <c r="F331" s="727"/>
      <c r="G331" s="801"/>
      <c r="H331" s="798"/>
      <c r="I331" s="807"/>
      <c r="J331" s="251"/>
      <c r="K331" s="250"/>
      <c r="L331" s="251"/>
      <c r="M331" s="251"/>
      <c r="N331" s="251"/>
    </row>
    <row r="332" spans="2:14" x14ac:dyDescent="0.25">
      <c r="B332" s="723"/>
      <c r="C332" s="742"/>
      <c r="D332" s="746" t="s">
        <v>648</v>
      </c>
      <c r="E332" s="726"/>
      <c r="F332" s="727"/>
      <c r="G332" s="773" t="s">
        <v>649</v>
      </c>
      <c r="H332" s="786" t="s">
        <v>650</v>
      </c>
      <c r="I332" s="774" t="s">
        <v>651</v>
      </c>
      <c r="J332" s="251"/>
      <c r="K332" s="250"/>
      <c r="L332" s="251"/>
      <c r="M332" s="251"/>
      <c r="N332" s="251"/>
    </row>
    <row r="333" spans="2:14" ht="33.75" x14ac:dyDescent="0.25">
      <c r="B333" s="723"/>
      <c r="C333" s="742"/>
      <c r="D333" s="747" t="s">
        <v>569</v>
      </c>
      <c r="E333" s="726"/>
      <c r="F333" s="727">
        <v>32</v>
      </c>
      <c r="G333" s="728">
        <v>0.6</v>
      </c>
      <c r="H333" s="729">
        <v>0.7</v>
      </c>
      <c r="I333" s="730">
        <v>0.25</v>
      </c>
      <c r="J333" s="251"/>
      <c r="K333" s="251">
        <f t="shared" ref="K333:K339" si="9" xml:space="preserve"> (((G333+H333)*2)*I333)*F333</f>
        <v>20.799999999999997</v>
      </c>
      <c r="L333" s="251"/>
      <c r="M333" s="251"/>
      <c r="N333" s="251"/>
    </row>
    <row r="334" spans="2:14" ht="45" x14ac:dyDescent="0.25">
      <c r="B334" s="723"/>
      <c r="C334" s="742"/>
      <c r="D334" s="747" t="s">
        <v>570</v>
      </c>
      <c r="E334" s="726"/>
      <c r="F334" s="727">
        <v>41</v>
      </c>
      <c r="G334" s="728">
        <v>0.6</v>
      </c>
      <c r="H334" s="729">
        <v>0.7</v>
      </c>
      <c r="I334" s="730">
        <v>0.25</v>
      </c>
      <c r="J334" s="251"/>
      <c r="K334" s="251">
        <f t="shared" si="9"/>
        <v>26.649999999999995</v>
      </c>
      <c r="L334" s="251"/>
      <c r="M334" s="251"/>
      <c r="N334" s="251"/>
    </row>
    <row r="335" spans="2:14" x14ac:dyDescent="0.25">
      <c r="B335" s="723"/>
      <c r="C335" s="742"/>
      <c r="D335" s="747" t="s">
        <v>571</v>
      </c>
      <c r="E335" s="726"/>
      <c r="F335" s="727">
        <v>1</v>
      </c>
      <c r="G335" s="728">
        <v>0.6</v>
      </c>
      <c r="H335" s="729">
        <v>0.8</v>
      </c>
      <c r="I335" s="730">
        <v>0.25</v>
      </c>
      <c r="J335" s="251"/>
      <c r="K335" s="251">
        <f t="shared" si="9"/>
        <v>0.7</v>
      </c>
      <c r="L335" s="251"/>
      <c r="M335" s="251"/>
      <c r="N335" s="251"/>
    </row>
    <row r="336" spans="2:14" x14ac:dyDescent="0.25">
      <c r="B336" s="723"/>
      <c r="C336" s="742"/>
      <c r="D336" s="747" t="s">
        <v>572</v>
      </c>
      <c r="E336" s="726"/>
      <c r="F336" s="727">
        <v>2</v>
      </c>
      <c r="G336" s="728">
        <v>0.9</v>
      </c>
      <c r="H336" s="729">
        <v>0.9</v>
      </c>
      <c r="I336" s="730">
        <v>0.25</v>
      </c>
      <c r="J336" s="251"/>
      <c r="K336" s="251">
        <f t="shared" si="9"/>
        <v>1.8</v>
      </c>
      <c r="L336" s="251"/>
      <c r="M336" s="251"/>
      <c r="N336" s="251"/>
    </row>
    <row r="337" spans="2:14" x14ac:dyDescent="0.25">
      <c r="B337" s="723"/>
      <c r="C337" s="742"/>
      <c r="D337" s="747" t="s">
        <v>573</v>
      </c>
      <c r="E337" s="726"/>
      <c r="F337" s="727">
        <v>7</v>
      </c>
      <c r="G337" s="728">
        <v>0.65</v>
      </c>
      <c r="H337" s="729">
        <v>0.65</v>
      </c>
      <c r="I337" s="730">
        <v>0.25</v>
      </c>
      <c r="J337" s="251"/>
      <c r="K337" s="251">
        <f t="shared" si="9"/>
        <v>4.55</v>
      </c>
      <c r="L337" s="251"/>
      <c r="M337" s="251"/>
      <c r="N337" s="251"/>
    </row>
    <row r="338" spans="2:14" x14ac:dyDescent="0.25">
      <c r="B338" s="723"/>
      <c r="C338" s="742"/>
      <c r="D338" s="747" t="s">
        <v>574</v>
      </c>
      <c r="E338" s="726"/>
      <c r="F338" s="727">
        <v>3</v>
      </c>
      <c r="G338" s="728">
        <v>0.65</v>
      </c>
      <c r="H338" s="729">
        <v>0.75</v>
      </c>
      <c r="I338" s="730">
        <v>0.25</v>
      </c>
      <c r="J338" s="251"/>
      <c r="K338" s="251">
        <f t="shared" si="9"/>
        <v>2.0999999999999996</v>
      </c>
      <c r="L338" s="251"/>
      <c r="M338" s="251"/>
      <c r="N338" s="251"/>
    </row>
    <row r="339" spans="2:14" x14ac:dyDescent="0.25">
      <c r="B339" s="723"/>
      <c r="C339" s="742"/>
      <c r="D339" s="747" t="s">
        <v>575</v>
      </c>
      <c r="E339" s="726"/>
      <c r="F339" s="727">
        <v>2</v>
      </c>
      <c r="G339" s="728">
        <v>0.55000000000000004</v>
      </c>
      <c r="H339" s="729">
        <v>0.95</v>
      </c>
      <c r="I339" s="730">
        <v>0.25</v>
      </c>
      <c r="J339" s="251"/>
      <c r="K339" s="251">
        <f t="shared" si="9"/>
        <v>1.5</v>
      </c>
      <c r="L339" s="251"/>
      <c r="M339" s="251"/>
      <c r="N339" s="251"/>
    </row>
    <row r="340" spans="2:14" x14ac:dyDescent="0.25">
      <c r="B340" s="723"/>
      <c r="C340" s="742"/>
      <c r="D340" s="746" t="s">
        <v>627</v>
      </c>
      <c r="E340" s="726"/>
      <c r="F340" s="727"/>
      <c r="G340" s="790" t="s">
        <v>706</v>
      </c>
      <c r="H340" s="803"/>
      <c r="I340" s="730" t="s">
        <v>651</v>
      </c>
      <c r="J340" s="251"/>
      <c r="K340" s="250"/>
      <c r="L340" s="251"/>
      <c r="M340" s="251"/>
      <c r="N340" s="251"/>
    </row>
    <row r="341" spans="2:14" x14ac:dyDescent="0.25">
      <c r="B341" s="723"/>
      <c r="C341" s="742"/>
      <c r="D341" s="747" t="s">
        <v>614</v>
      </c>
      <c r="E341" s="726"/>
      <c r="F341" s="727">
        <v>1</v>
      </c>
      <c r="G341" s="739">
        <f xml:space="preserve"> ((0.15+0.25)*2) *2</f>
        <v>1.6</v>
      </c>
      <c r="H341" s="769"/>
      <c r="I341" s="730">
        <v>1.85</v>
      </c>
      <c r="J341" s="251"/>
      <c r="K341" s="251">
        <f t="shared" ref="K341:K370" si="10">(F341*G341*I341)</f>
        <v>2.9600000000000004</v>
      </c>
      <c r="L341" s="251"/>
      <c r="M341" s="251"/>
      <c r="N341" s="251"/>
    </row>
    <row r="342" spans="2:14" x14ac:dyDescent="0.25">
      <c r="B342" s="723"/>
      <c r="C342" s="742"/>
      <c r="D342" s="747" t="s">
        <v>633</v>
      </c>
      <c r="E342" s="726"/>
      <c r="F342" s="727">
        <v>1</v>
      </c>
      <c r="G342" s="739">
        <f xml:space="preserve"> ((0.2+0.25)*2) + ((0.2+0.3)*2)</f>
        <v>1.9</v>
      </c>
      <c r="H342" s="769"/>
      <c r="I342" s="730">
        <v>1.87</v>
      </c>
      <c r="J342" s="251"/>
      <c r="K342" s="251">
        <f t="shared" si="10"/>
        <v>3.5529999999999999</v>
      </c>
      <c r="L342" s="251"/>
      <c r="M342" s="251"/>
      <c r="N342" s="251"/>
    </row>
    <row r="343" spans="2:14" ht="22.5" x14ac:dyDescent="0.25">
      <c r="B343" s="723"/>
      <c r="C343" s="742"/>
      <c r="D343" s="747" t="s">
        <v>629</v>
      </c>
      <c r="E343" s="726"/>
      <c r="F343" s="727">
        <v>1</v>
      </c>
      <c r="G343" s="739">
        <f xml:space="preserve"> ((0.2+0.25)*2*3) + ((0.2+0.2)*2*1) + ((0.15+0.2)*2*1)</f>
        <v>4.2</v>
      </c>
      <c r="H343" s="769"/>
      <c r="I343" s="730">
        <v>1.9</v>
      </c>
      <c r="J343" s="251"/>
      <c r="K343" s="251">
        <f t="shared" si="10"/>
        <v>7.9799999999999995</v>
      </c>
      <c r="L343" s="251"/>
      <c r="M343" s="251"/>
      <c r="N343" s="251"/>
    </row>
    <row r="344" spans="2:14" x14ac:dyDescent="0.25">
      <c r="B344" s="723"/>
      <c r="C344" s="742"/>
      <c r="D344" s="747" t="s">
        <v>630</v>
      </c>
      <c r="E344" s="726"/>
      <c r="F344" s="727">
        <v>1</v>
      </c>
      <c r="G344" s="739">
        <f xml:space="preserve"> ((0.2+0.25)*2*1) + ((0.15+0.25)*2*2)</f>
        <v>2.5</v>
      </c>
      <c r="H344" s="769"/>
      <c r="I344" s="730">
        <v>1.92</v>
      </c>
      <c r="J344" s="251"/>
      <c r="K344" s="251">
        <f t="shared" si="10"/>
        <v>4.8</v>
      </c>
      <c r="L344" s="251"/>
      <c r="M344" s="251"/>
      <c r="N344" s="251"/>
    </row>
    <row r="345" spans="2:14" x14ac:dyDescent="0.25">
      <c r="B345" s="723"/>
      <c r="C345" s="742"/>
      <c r="D345" s="747" t="s">
        <v>615</v>
      </c>
      <c r="E345" s="726"/>
      <c r="F345" s="727">
        <v>1</v>
      </c>
      <c r="G345" s="739">
        <f xml:space="preserve"> ((0.15+0.3)*2*3)</f>
        <v>2.6999999999999997</v>
      </c>
      <c r="H345" s="769"/>
      <c r="I345" s="252">
        <v>1.94</v>
      </c>
      <c r="J345" s="251"/>
      <c r="K345" s="251">
        <f t="shared" si="10"/>
        <v>5.2379999999999995</v>
      </c>
      <c r="L345" s="251"/>
      <c r="M345" s="251"/>
      <c r="N345" s="251"/>
    </row>
    <row r="346" spans="2:14" ht="22.5" x14ac:dyDescent="0.25">
      <c r="B346" s="723"/>
      <c r="C346" s="742"/>
      <c r="D346" s="747" t="s">
        <v>616</v>
      </c>
      <c r="E346" s="726"/>
      <c r="F346" s="727">
        <v>1</v>
      </c>
      <c r="G346" s="739">
        <f xml:space="preserve"> ((0.2+0.25)*2*3) + ((0.15+0.25)*2*2)</f>
        <v>4.3000000000000007</v>
      </c>
      <c r="H346" s="769"/>
      <c r="I346" s="252">
        <v>1.96</v>
      </c>
      <c r="J346" s="251"/>
      <c r="K346" s="251">
        <f t="shared" si="10"/>
        <v>8.4280000000000008</v>
      </c>
      <c r="L346" s="251"/>
      <c r="M346" s="251"/>
      <c r="N346" s="251"/>
    </row>
    <row r="347" spans="2:14" ht="22.5" x14ac:dyDescent="0.25">
      <c r="B347" s="723"/>
      <c r="C347" s="742"/>
      <c r="D347" s="747" t="s">
        <v>617</v>
      </c>
      <c r="E347" s="726"/>
      <c r="F347" s="727">
        <v>1</v>
      </c>
      <c r="G347" s="739">
        <f xml:space="preserve"> ((0.2+0.25)*2*3) + ((0.15+0.25)*2*2) +  ((0.2+0.3)*2*1)</f>
        <v>5.3000000000000007</v>
      </c>
      <c r="H347" s="769"/>
      <c r="I347" s="252">
        <v>1.95</v>
      </c>
      <c r="J347" s="251"/>
      <c r="K347" s="251">
        <f t="shared" si="10"/>
        <v>10.335000000000001</v>
      </c>
      <c r="L347" s="251"/>
      <c r="M347" s="251"/>
      <c r="N347" s="251"/>
    </row>
    <row r="348" spans="2:14" x14ac:dyDescent="0.25">
      <c r="B348" s="723"/>
      <c r="C348" s="742"/>
      <c r="D348" s="747" t="s">
        <v>618</v>
      </c>
      <c r="E348" s="726"/>
      <c r="F348" s="727">
        <v>1</v>
      </c>
      <c r="G348" s="739">
        <f xml:space="preserve"> ((0.2+0.25)*2*2) + ((0.15+0.25)*2*1)</f>
        <v>2.6</v>
      </c>
      <c r="H348" s="769"/>
      <c r="I348" s="252">
        <v>1.97</v>
      </c>
      <c r="J348" s="251"/>
      <c r="K348" s="251">
        <f t="shared" si="10"/>
        <v>5.1219999999999999</v>
      </c>
      <c r="L348" s="251"/>
      <c r="M348" s="251"/>
      <c r="N348" s="251"/>
    </row>
    <row r="349" spans="2:14" x14ac:dyDescent="0.25">
      <c r="B349" s="723"/>
      <c r="C349" s="742"/>
      <c r="D349" s="747" t="s">
        <v>631</v>
      </c>
      <c r="E349" s="726"/>
      <c r="F349" s="727">
        <v>1</v>
      </c>
      <c r="G349" s="739">
        <f>((0.15+0.25)*2*3)</f>
        <v>2.4000000000000004</v>
      </c>
      <c r="H349" s="769"/>
      <c r="I349" s="252">
        <v>1.9</v>
      </c>
      <c r="J349" s="251"/>
      <c r="K349" s="251">
        <f t="shared" si="10"/>
        <v>4.5600000000000005</v>
      </c>
      <c r="L349" s="251"/>
      <c r="M349" s="251"/>
      <c r="N349" s="251"/>
    </row>
    <row r="350" spans="2:14" x14ac:dyDescent="0.25">
      <c r="B350" s="723"/>
      <c r="C350" s="742"/>
      <c r="D350" s="747" t="s">
        <v>632</v>
      </c>
      <c r="E350" s="726"/>
      <c r="F350" s="727">
        <v>1</v>
      </c>
      <c r="G350" s="739">
        <f xml:space="preserve"> ((0.2+0.25)*2*1) + ((0.15+0.25)*2*1) +  ((0.2+0.35)*2*1)</f>
        <v>2.8000000000000003</v>
      </c>
      <c r="H350" s="769"/>
      <c r="I350" s="252">
        <v>1.86</v>
      </c>
      <c r="J350" s="251"/>
      <c r="K350" s="251">
        <f t="shared" si="10"/>
        <v>5.2080000000000011</v>
      </c>
      <c r="L350" s="251"/>
      <c r="M350" s="251"/>
      <c r="N350" s="251"/>
    </row>
    <row r="351" spans="2:14" x14ac:dyDescent="0.25">
      <c r="B351" s="723"/>
      <c r="C351" s="742"/>
      <c r="D351" s="747" t="s">
        <v>634</v>
      </c>
      <c r="E351" s="726"/>
      <c r="F351" s="727">
        <v>1</v>
      </c>
      <c r="G351" s="739">
        <f xml:space="preserve"> ((0.2+0.25)*2*1) + ((0.15+0.3)*2*2)</f>
        <v>2.6999999999999997</v>
      </c>
      <c r="H351" s="769"/>
      <c r="I351" s="252">
        <v>1.87</v>
      </c>
      <c r="J351" s="251"/>
      <c r="K351" s="251">
        <f t="shared" si="10"/>
        <v>5.0489999999999995</v>
      </c>
      <c r="L351" s="251"/>
      <c r="M351" s="251"/>
      <c r="N351" s="251"/>
    </row>
    <row r="352" spans="2:14" x14ac:dyDescent="0.25">
      <c r="B352" s="723"/>
      <c r="C352" s="742"/>
      <c r="D352" s="747" t="s">
        <v>619</v>
      </c>
      <c r="E352" s="726"/>
      <c r="F352" s="727">
        <v>1</v>
      </c>
      <c r="G352" s="739">
        <f xml:space="preserve"> ((0.2+0.3)*2*1) + ((0.15+0.3)*2*1) +  ((0.15+0.25)*2*1) + ((0.15+0.35)*2*1)</f>
        <v>3.7</v>
      </c>
      <c r="H352" s="769"/>
      <c r="I352" s="252">
        <v>1.9</v>
      </c>
      <c r="J352" s="251"/>
      <c r="K352" s="251">
        <f t="shared" si="10"/>
        <v>7.03</v>
      </c>
      <c r="L352" s="251"/>
      <c r="M352" s="251"/>
      <c r="N352" s="251"/>
    </row>
    <row r="353" spans="2:14" x14ac:dyDescent="0.25">
      <c r="B353" s="723"/>
      <c r="C353" s="742"/>
      <c r="D353" s="747" t="s">
        <v>620</v>
      </c>
      <c r="E353" s="726"/>
      <c r="F353" s="727">
        <v>1</v>
      </c>
      <c r="G353" s="739">
        <f xml:space="preserve"> ((0.15+0.25)*2*1) + ((0.2+0.3)*2*1)</f>
        <v>1.8</v>
      </c>
      <c r="H353" s="769"/>
      <c r="I353" s="252">
        <v>1.91</v>
      </c>
      <c r="J353" s="251"/>
      <c r="K353" s="251">
        <f t="shared" si="10"/>
        <v>3.4379999999999997</v>
      </c>
      <c r="L353" s="251"/>
      <c r="M353" s="251"/>
      <c r="N353" s="251"/>
    </row>
    <row r="354" spans="2:14" ht="22.5" x14ac:dyDescent="0.25">
      <c r="B354" s="723"/>
      <c r="C354" s="742"/>
      <c r="D354" s="747" t="s">
        <v>621</v>
      </c>
      <c r="E354" s="726"/>
      <c r="F354" s="727">
        <v>1</v>
      </c>
      <c r="G354" s="739">
        <f xml:space="preserve"> ((0.15+0.25)*2*5) + ((0.25+0.25)*2*1)</f>
        <v>5</v>
      </c>
      <c r="H354" s="769"/>
      <c r="I354" s="252">
        <v>1.94</v>
      </c>
      <c r="J354" s="251"/>
      <c r="K354" s="251">
        <f t="shared" si="10"/>
        <v>9.6999999999999993</v>
      </c>
      <c r="L354" s="251"/>
      <c r="M354" s="251"/>
      <c r="N354" s="251"/>
    </row>
    <row r="355" spans="2:14" x14ac:dyDescent="0.25">
      <c r="B355" s="723"/>
      <c r="C355" s="742"/>
      <c r="D355" s="747" t="s">
        <v>622</v>
      </c>
      <c r="E355" s="726"/>
      <c r="F355" s="727">
        <v>1</v>
      </c>
      <c r="G355" s="739">
        <f xml:space="preserve"> ((0.2+0.25)*2*1) + ((0.15+0.25)*2*1) +  ((0.25+0.25)*2*1)</f>
        <v>2.7</v>
      </c>
      <c r="H355" s="769"/>
      <c r="I355" s="252">
        <v>1.93</v>
      </c>
      <c r="J355" s="251"/>
      <c r="K355" s="251">
        <f t="shared" si="10"/>
        <v>5.2110000000000003</v>
      </c>
      <c r="L355" s="251"/>
      <c r="M355" s="251"/>
      <c r="N355" s="251"/>
    </row>
    <row r="356" spans="2:14" x14ac:dyDescent="0.25">
      <c r="B356" s="723"/>
      <c r="C356" s="742"/>
      <c r="D356" s="747" t="s">
        <v>635</v>
      </c>
      <c r="E356" s="726"/>
      <c r="F356" s="727">
        <v>1</v>
      </c>
      <c r="G356" s="739">
        <f xml:space="preserve"> ((0.15+0.25)*2*2) + ((0.25+0.25)*2*1)</f>
        <v>2.6</v>
      </c>
      <c r="H356" s="769"/>
      <c r="I356" s="252">
        <v>1.92</v>
      </c>
      <c r="J356" s="251"/>
      <c r="K356" s="251">
        <f t="shared" si="10"/>
        <v>4.992</v>
      </c>
      <c r="L356" s="251"/>
      <c r="M356" s="251"/>
      <c r="N356" s="251"/>
    </row>
    <row r="357" spans="2:14" x14ac:dyDescent="0.25">
      <c r="B357" s="723"/>
      <c r="C357" s="742"/>
      <c r="D357" s="747" t="s">
        <v>623</v>
      </c>
      <c r="E357" s="726"/>
      <c r="F357" s="727">
        <v>1</v>
      </c>
      <c r="G357" s="739">
        <f xml:space="preserve"> ((0.15+0.25)*2*2) + ((0.2+0.25)*2*2)</f>
        <v>3.4000000000000004</v>
      </c>
      <c r="H357" s="769"/>
      <c r="I357" s="252">
        <v>1.87</v>
      </c>
      <c r="J357" s="251"/>
      <c r="K357" s="251">
        <f t="shared" si="10"/>
        <v>6.3580000000000014</v>
      </c>
      <c r="L357" s="251"/>
      <c r="M357" s="251"/>
      <c r="N357" s="251"/>
    </row>
    <row r="358" spans="2:14" x14ac:dyDescent="0.25">
      <c r="B358" s="723"/>
      <c r="C358" s="742"/>
      <c r="D358" s="747" t="s">
        <v>624</v>
      </c>
      <c r="E358" s="726"/>
      <c r="F358" s="727">
        <v>1</v>
      </c>
      <c r="G358" s="739">
        <f xml:space="preserve"> ((0.15+0.25)*2*3) + ((0.2+0.25)*2*1)</f>
        <v>3.3000000000000003</v>
      </c>
      <c r="H358" s="769"/>
      <c r="I358" s="252">
        <v>1.88</v>
      </c>
      <c r="J358" s="251"/>
      <c r="K358" s="251">
        <f t="shared" si="10"/>
        <v>6.2039999999999997</v>
      </c>
      <c r="L358" s="251"/>
      <c r="M358" s="251"/>
      <c r="N358" s="251"/>
    </row>
    <row r="359" spans="2:14" x14ac:dyDescent="0.25">
      <c r="B359" s="723"/>
      <c r="C359" s="742"/>
      <c r="D359" s="747" t="s">
        <v>625</v>
      </c>
      <c r="E359" s="726"/>
      <c r="F359" s="727">
        <v>1</v>
      </c>
      <c r="G359" s="739">
        <f>((0.2+0.25)*2*3) + ((0.25+0.25)*2*1)</f>
        <v>3.7</v>
      </c>
      <c r="H359" s="769"/>
      <c r="I359" s="252">
        <v>1.9</v>
      </c>
      <c r="J359" s="251"/>
      <c r="K359" s="251">
        <f t="shared" si="10"/>
        <v>7.03</v>
      </c>
      <c r="L359" s="251"/>
      <c r="M359" s="251"/>
      <c r="N359" s="251"/>
    </row>
    <row r="360" spans="2:14" x14ac:dyDescent="0.25">
      <c r="B360" s="723"/>
      <c r="C360" s="742"/>
      <c r="D360" s="747" t="s">
        <v>637</v>
      </c>
      <c r="E360" s="726"/>
      <c r="F360" s="727">
        <v>1</v>
      </c>
      <c r="G360" s="739">
        <f>((0.2+0.2)*2*1)</f>
        <v>0.8</v>
      </c>
      <c r="H360" s="769"/>
      <c r="I360" s="252">
        <v>1.9</v>
      </c>
      <c r="J360" s="251"/>
      <c r="K360" s="251">
        <f t="shared" si="10"/>
        <v>1.52</v>
      </c>
      <c r="L360" s="251"/>
      <c r="M360" s="251"/>
      <c r="N360" s="251"/>
    </row>
    <row r="361" spans="2:14" x14ac:dyDescent="0.25">
      <c r="B361" s="723"/>
      <c r="C361" s="742"/>
      <c r="D361" s="747" t="s">
        <v>636</v>
      </c>
      <c r="E361" s="726"/>
      <c r="F361" s="727">
        <v>1</v>
      </c>
      <c r="G361" s="739">
        <f>((0.2+0.25)*2*1) + ((0.15+0.25)*2*1)</f>
        <v>1.7000000000000002</v>
      </c>
      <c r="H361" s="769"/>
      <c r="I361" s="252">
        <v>1.97</v>
      </c>
      <c r="J361" s="251"/>
      <c r="K361" s="251">
        <f t="shared" si="10"/>
        <v>3.3490000000000002</v>
      </c>
      <c r="L361" s="251"/>
      <c r="M361" s="251"/>
      <c r="N361" s="251"/>
    </row>
    <row r="362" spans="2:14" x14ac:dyDescent="0.25">
      <c r="B362" s="723"/>
      <c r="C362" s="742"/>
      <c r="D362" s="747" t="s">
        <v>638</v>
      </c>
      <c r="E362" s="726"/>
      <c r="F362" s="727">
        <v>1</v>
      </c>
      <c r="G362" s="739">
        <f>((0.2+0.25)*2*1) + ((0.15+0.25)*2*2)</f>
        <v>2.5</v>
      </c>
      <c r="H362" s="769"/>
      <c r="I362" s="252">
        <v>2</v>
      </c>
      <c r="J362" s="251"/>
      <c r="K362" s="251">
        <f t="shared" si="10"/>
        <v>5</v>
      </c>
      <c r="L362" s="251"/>
      <c r="M362" s="251"/>
      <c r="N362" s="251"/>
    </row>
    <row r="363" spans="2:14" ht="22.5" x14ac:dyDescent="0.25">
      <c r="B363" s="723"/>
      <c r="C363" s="742"/>
      <c r="D363" s="747" t="s">
        <v>626</v>
      </c>
      <c r="E363" s="726"/>
      <c r="F363" s="727">
        <v>1</v>
      </c>
      <c r="G363" s="739">
        <f xml:space="preserve"> ((0.2+0.3)*2*1) + ((0.15+0.25)*2*5) +  ((0.25+0.25)*2*1)</f>
        <v>6</v>
      </c>
      <c r="H363" s="769"/>
      <c r="I363" s="252">
        <v>2.0099999999999998</v>
      </c>
      <c r="J363" s="251"/>
      <c r="K363" s="251">
        <f t="shared" si="10"/>
        <v>12.059999999999999</v>
      </c>
      <c r="L363" s="251"/>
      <c r="M363" s="251"/>
      <c r="N363" s="251"/>
    </row>
    <row r="364" spans="2:14" x14ac:dyDescent="0.25">
      <c r="B364" s="723"/>
      <c r="C364" s="742"/>
      <c r="D364" s="747" t="s">
        <v>639</v>
      </c>
      <c r="E364" s="726"/>
      <c r="F364" s="727">
        <v>1</v>
      </c>
      <c r="G364" s="739">
        <f>((0.15+0.3)*2*1)</f>
        <v>0.89999999999999991</v>
      </c>
      <c r="H364" s="769"/>
      <c r="I364" s="252">
        <v>1.86</v>
      </c>
      <c r="J364" s="251"/>
      <c r="K364" s="251">
        <f t="shared" si="10"/>
        <v>1.6739999999999999</v>
      </c>
      <c r="L364" s="251"/>
      <c r="M364" s="251"/>
      <c r="N364" s="251"/>
    </row>
    <row r="365" spans="2:14" x14ac:dyDescent="0.25">
      <c r="B365" s="723"/>
      <c r="C365" s="742"/>
      <c r="D365" s="747" t="s">
        <v>640</v>
      </c>
      <c r="E365" s="726"/>
      <c r="F365" s="727">
        <v>1</v>
      </c>
      <c r="G365" s="739">
        <f>((0.15+0.5)*2*1)</f>
        <v>1.3</v>
      </c>
      <c r="H365" s="769"/>
      <c r="I365" s="252">
        <v>1.87</v>
      </c>
      <c r="J365" s="251"/>
      <c r="K365" s="251">
        <f t="shared" si="10"/>
        <v>2.431</v>
      </c>
      <c r="L365" s="251"/>
      <c r="M365" s="251"/>
      <c r="N365" s="251"/>
    </row>
    <row r="366" spans="2:14" x14ac:dyDescent="0.25">
      <c r="B366" s="723"/>
      <c r="C366" s="742"/>
      <c r="D366" s="747" t="s">
        <v>641</v>
      </c>
      <c r="E366" s="726"/>
      <c r="F366" s="727">
        <v>1</v>
      </c>
      <c r="G366" s="739">
        <f>((0.15+0.5)*2*1)</f>
        <v>1.3</v>
      </c>
      <c r="H366" s="769"/>
      <c r="I366" s="252">
        <v>1.89</v>
      </c>
      <c r="J366" s="251"/>
      <c r="K366" s="251">
        <f t="shared" si="10"/>
        <v>2.4569999999999999</v>
      </c>
      <c r="L366" s="251"/>
      <c r="M366" s="251"/>
      <c r="N366" s="251"/>
    </row>
    <row r="367" spans="2:14" x14ac:dyDescent="0.25">
      <c r="B367" s="723"/>
      <c r="C367" s="742"/>
      <c r="D367" s="747" t="s">
        <v>642</v>
      </c>
      <c r="E367" s="726"/>
      <c r="F367" s="727">
        <v>1</v>
      </c>
      <c r="G367" s="739">
        <f>((0.15+0.25)*2*1)</f>
        <v>0.8</v>
      </c>
      <c r="H367" s="769"/>
      <c r="I367" s="252">
        <v>1.9</v>
      </c>
      <c r="J367" s="251"/>
      <c r="K367" s="251">
        <f t="shared" si="10"/>
        <v>1.52</v>
      </c>
      <c r="L367" s="251"/>
      <c r="M367" s="251"/>
      <c r="N367" s="251"/>
    </row>
    <row r="368" spans="2:14" x14ac:dyDescent="0.25">
      <c r="B368" s="723"/>
      <c r="C368" s="742"/>
      <c r="D368" s="747" t="s">
        <v>643</v>
      </c>
      <c r="E368" s="726"/>
      <c r="F368" s="727">
        <v>1</v>
      </c>
      <c r="G368" s="739">
        <f t="shared" ref="G368" si="11">((0.15+0.3)*2*1)</f>
        <v>0.89999999999999991</v>
      </c>
      <c r="H368" s="769"/>
      <c r="I368" s="252">
        <v>1.92</v>
      </c>
      <c r="J368" s="251"/>
      <c r="K368" s="251">
        <f t="shared" si="10"/>
        <v>1.7279999999999998</v>
      </c>
      <c r="L368" s="251"/>
      <c r="M368" s="251"/>
      <c r="N368" s="251"/>
    </row>
    <row r="369" spans="2:14" x14ac:dyDescent="0.25">
      <c r="B369" s="723"/>
      <c r="C369" s="742"/>
      <c r="D369" s="747" t="s">
        <v>644</v>
      </c>
      <c r="E369" s="726"/>
      <c r="F369" s="727">
        <v>1</v>
      </c>
      <c r="G369" s="739">
        <f>((0.15+0.25)*2*1)</f>
        <v>0.8</v>
      </c>
      <c r="H369" s="769"/>
      <c r="I369" s="252">
        <v>1.9</v>
      </c>
      <c r="J369" s="251"/>
      <c r="K369" s="251">
        <f t="shared" si="10"/>
        <v>1.52</v>
      </c>
      <c r="L369" s="251"/>
      <c r="M369" s="251"/>
      <c r="N369" s="251"/>
    </row>
    <row r="370" spans="2:14" x14ac:dyDescent="0.25">
      <c r="B370" s="723"/>
      <c r="C370" s="742"/>
      <c r="D370" s="747" t="s">
        <v>645</v>
      </c>
      <c r="E370" s="726"/>
      <c r="F370" s="727">
        <v>1</v>
      </c>
      <c r="G370" s="739">
        <f>((0.15+0.3)*2*1)</f>
        <v>0.89999999999999991</v>
      </c>
      <c r="H370" s="769"/>
      <c r="I370" s="252">
        <v>1.98</v>
      </c>
      <c r="J370" s="251"/>
      <c r="K370" s="251">
        <f t="shared" si="10"/>
        <v>1.7819999999999998</v>
      </c>
      <c r="L370" s="251"/>
      <c r="M370" s="251"/>
      <c r="N370" s="251"/>
    </row>
    <row r="371" spans="2:14" ht="22.5" x14ac:dyDescent="0.25">
      <c r="B371" s="723" t="s">
        <v>87</v>
      </c>
      <c r="C371" s="724">
        <v>98557</v>
      </c>
      <c r="D371" s="725" t="s">
        <v>89</v>
      </c>
      <c r="E371" s="726" t="s">
        <v>17</v>
      </c>
      <c r="F371" s="727"/>
      <c r="G371" s="770" t="s">
        <v>1086</v>
      </c>
      <c r="H371" s="771"/>
      <c r="I371" s="772"/>
      <c r="J371" s="251">
        <f>'BOLETIM DE MEDIÇÃO 10'!R38-'MEMORIAL DE CÁLCULO 10'!K371</f>
        <v>253.95000000000005</v>
      </c>
      <c r="K371" s="250">
        <v>7.88</v>
      </c>
      <c r="L371" s="251">
        <f>J371+K371</f>
        <v>261.83000000000004</v>
      </c>
      <c r="M371" s="251">
        <f>'BOLETIM DE MEDIÇÃO 10'!G38</f>
        <v>261.83</v>
      </c>
      <c r="N371" s="251">
        <f>M371-L371</f>
        <v>0</v>
      </c>
    </row>
    <row r="372" spans="2:14" x14ac:dyDescent="0.25">
      <c r="B372" s="723"/>
      <c r="C372" s="724"/>
      <c r="D372" s="746" t="s">
        <v>1069</v>
      </c>
      <c r="E372" s="726"/>
      <c r="F372" s="727">
        <v>1</v>
      </c>
      <c r="G372" s="739">
        <v>253.95</v>
      </c>
      <c r="H372" s="740"/>
      <c r="I372" s="741"/>
      <c r="J372" s="251"/>
      <c r="K372" s="251">
        <f>F372*G372</f>
        <v>253.95</v>
      </c>
      <c r="L372" s="251"/>
      <c r="M372" s="251"/>
      <c r="N372" s="251"/>
    </row>
    <row r="373" spans="2:14" ht="22.5" x14ac:dyDescent="0.25">
      <c r="B373" s="723"/>
      <c r="C373" s="724"/>
      <c r="D373" s="793" t="s">
        <v>1085</v>
      </c>
      <c r="E373" s="726"/>
      <c r="F373" s="727">
        <v>1</v>
      </c>
      <c r="G373" s="728" t="s">
        <v>1075</v>
      </c>
      <c r="H373" s="729" t="s">
        <v>649</v>
      </c>
      <c r="I373" s="730" t="s">
        <v>651</v>
      </c>
      <c r="J373" s="251"/>
      <c r="K373" s="251"/>
      <c r="L373" s="251"/>
      <c r="M373" s="251"/>
      <c r="N373" s="251"/>
    </row>
    <row r="374" spans="2:14" ht="33.75" x14ac:dyDescent="0.25">
      <c r="B374" s="723"/>
      <c r="C374" s="724"/>
      <c r="D374" s="747" t="s">
        <v>1052</v>
      </c>
      <c r="E374" s="726"/>
      <c r="F374" s="730">
        <v>1</v>
      </c>
      <c r="G374" s="750">
        <v>0.92700000000000005</v>
      </c>
      <c r="H374" s="729">
        <v>0.15</v>
      </c>
      <c r="I374" s="730">
        <v>0.2</v>
      </c>
      <c r="J374" s="251"/>
      <c r="K374" s="251">
        <f>((I374*2)+H374)*G374</f>
        <v>0.50985000000000003</v>
      </c>
      <c r="L374" s="251"/>
      <c r="M374" s="251"/>
      <c r="N374" s="251"/>
    </row>
    <row r="375" spans="2:14" ht="33.75" x14ac:dyDescent="0.25">
      <c r="B375" s="723"/>
      <c r="C375" s="724"/>
      <c r="D375" s="747" t="s">
        <v>1053</v>
      </c>
      <c r="E375" s="726"/>
      <c r="F375" s="730">
        <v>1</v>
      </c>
      <c r="G375" s="750">
        <v>0.8</v>
      </c>
      <c r="H375" s="729">
        <v>0.15</v>
      </c>
      <c r="I375" s="730">
        <v>0.2</v>
      </c>
      <c r="J375" s="251"/>
      <c r="K375" s="251">
        <f>((I375*2)+H375)*G375</f>
        <v>0.44000000000000006</v>
      </c>
      <c r="L375" s="251"/>
      <c r="M375" s="251"/>
      <c r="N375" s="251"/>
    </row>
    <row r="376" spans="2:14" x14ac:dyDescent="0.25">
      <c r="B376" s="723"/>
      <c r="C376" s="724"/>
      <c r="D376" s="747" t="s">
        <v>1054</v>
      </c>
      <c r="E376" s="726"/>
      <c r="F376" s="730">
        <v>1</v>
      </c>
      <c r="G376" s="750">
        <f>(1.7+0.15+1.855)</f>
        <v>3.7050000000000001</v>
      </c>
      <c r="H376" s="729">
        <v>0.15</v>
      </c>
      <c r="I376" s="730">
        <v>0.2</v>
      </c>
      <c r="J376" s="251"/>
      <c r="K376" s="251">
        <f>((I376*2)+H376)*G376</f>
        <v>2.0377500000000004</v>
      </c>
      <c r="L376" s="251"/>
      <c r="M376" s="251"/>
      <c r="N376" s="251"/>
    </row>
    <row r="377" spans="2:14" x14ac:dyDescent="0.25">
      <c r="B377" s="723"/>
      <c r="C377" s="724"/>
      <c r="D377" s="747" t="s">
        <v>1055</v>
      </c>
      <c r="E377" s="726"/>
      <c r="F377" s="730">
        <v>1</v>
      </c>
      <c r="G377" s="750">
        <v>2.7</v>
      </c>
      <c r="H377" s="729">
        <v>0.15</v>
      </c>
      <c r="I377" s="730">
        <v>0.2</v>
      </c>
      <c r="J377" s="251"/>
      <c r="K377" s="251">
        <f>((I377*2)+H377)*G377</f>
        <v>1.4850000000000003</v>
      </c>
      <c r="L377" s="251"/>
      <c r="M377" s="251"/>
      <c r="N377" s="251"/>
    </row>
    <row r="378" spans="2:14" ht="22.5" x14ac:dyDescent="0.25">
      <c r="B378" s="723"/>
      <c r="C378" s="724"/>
      <c r="D378" s="747" t="s">
        <v>1073</v>
      </c>
      <c r="E378" s="726"/>
      <c r="F378" s="730">
        <v>2</v>
      </c>
      <c r="G378" s="750">
        <v>3.1</v>
      </c>
      <c r="H378" s="729">
        <v>0.15</v>
      </c>
      <c r="I378" s="730">
        <v>0.2</v>
      </c>
      <c r="J378" s="251"/>
      <c r="K378" s="251">
        <f>((I378*2)+H378)*G378*F378</f>
        <v>3.4100000000000006</v>
      </c>
      <c r="L378" s="251"/>
      <c r="M378" s="251"/>
      <c r="N378" s="251"/>
    </row>
    <row r="379" spans="2:14" x14ac:dyDescent="0.25">
      <c r="B379" s="743" t="s">
        <v>90</v>
      </c>
      <c r="C379" s="744" t="s">
        <v>91</v>
      </c>
      <c r="D379" s="725"/>
      <c r="E379" s="726"/>
      <c r="F379" s="727"/>
      <c r="G379" s="728"/>
      <c r="H379" s="729"/>
      <c r="I379" s="730"/>
      <c r="J379" s="251"/>
      <c r="K379" s="251"/>
      <c r="L379" s="251"/>
      <c r="M379" s="251"/>
      <c r="N379" s="251"/>
    </row>
    <row r="380" spans="2:14" ht="45" x14ac:dyDescent="0.25">
      <c r="B380" s="723" t="s">
        <v>92</v>
      </c>
      <c r="C380" s="742">
        <v>92443</v>
      </c>
      <c r="D380" s="725" t="s">
        <v>94</v>
      </c>
      <c r="E380" s="726" t="s">
        <v>17</v>
      </c>
      <c r="F380" s="727"/>
      <c r="G380" s="770" t="s">
        <v>1094</v>
      </c>
      <c r="H380" s="771"/>
      <c r="I380" s="772"/>
      <c r="J380" s="251">
        <f>'BOLETIM DE MEDIÇÃO 10'!R40-'MEMORIAL DE CÁLCULO 10'!K380</f>
        <v>408.7004</v>
      </c>
      <c r="K380" s="250">
        <v>2.2799999999999998</v>
      </c>
      <c r="L380" s="251">
        <f>J380+K380</f>
        <v>410.98039999999997</v>
      </c>
      <c r="M380" s="251">
        <f>'BOLETIM DE MEDIÇÃO 10'!G40</f>
        <v>410.98</v>
      </c>
      <c r="N380" s="251">
        <f>M380-L380</f>
        <v>-3.999999999564352E-4</v>
      </c>
    </row>
    <row r="381" spans="2:14" x14ac:dyDescent="0.25">
      <c r="B381" s="723"/>
      <c r="C381" s="742"/>
      <c r="D381" s="725" t="s">
        <v>1095</v>
      </c>
      <c r="E381" s="726"/>
      <c r="F381" s="727">
        <v>1</v>
      </c>
      <c r="G381" s="790">
        <v>408.7</v>
      </c>
      <c r="H381" s="791"/>
      <c r="I381" s="792"/>
      <c r="J381" s="251"/>
      <c r="K381" s="251">
        <f>F381*G381</f>
        <v>408.7</v>
      </c>
      <c r="L381" s="251"/>
      <c r="M381" s="251"/>
      <c r="N381" s="251"/>
    </row>
    <row r="382" spans="2:14" x14ac:dyDescent="0.25">
      <c r="B382" s="723"/>
      <c r="C382" s="742"/>
      <c r="D382" s="746" t="s">
        <v>1096</v>
      </c>
      <c r="E382" s="726"/>
      <c r="F382" s="727"/>
      <c r="G382" s="773" t="s">
        <v>1075</v>
      </c>
      <c r="H382" s="809" t="s">
        <v>649</v>
      </c>
      <c r="I382" s="810" t="s">
        <v>651</v>
      </c>
      <c r="J382" s="251"/>
      <c r="K382" s="811"/>
      <c r="L382" s="251"/>
      <c r="M382" s="251"/>
      <c r="N382" s="251"/>
    </row>
    <row r="383" spans="2:14" x14ac:dyDescent="0.25">
      <c r="B383" s="723"/>
      <c r="C383" s="742"/>
      <c r="D383" s="812" t="s">
        <v>1097</v>
      </c>
      <c r="E383" s="726"/>
      <c r="F383" s="727">
        <v>3</v>
      </c>
      <c r="G383" s="728">
        <v>0.25</v>
      </c>
      <c r="H383" s="729">
        <v>0.15</v>
      </c>
      <c r="I383" s="730">
        <v>0.95</v>
      </c>
      <c r="J383" s="251"/>
      <c r="K383" s="251">
        <f>((G383*2)+(H383*2))*I383*F383</f>
        <v>2.2800000000000002</v>
      </c>
      <c r="L383" s="251"/>
      <c r="M383" s="251"/>
      <c r="N383" s="251"/>
    </row>
    <row r="384" spans="2:14" x14ac:dyDescent="0.25">
      <c r="B384" s="723"/>
      <c r="C384" s="742"/>
      <c r="D384" s="813"/>
      <c r="E384" s="726"/>
      <c r="F384" s="727"/>
      <c r="G384" s="728"/>
      <c r="H384" s="729"/>
      <c r="I384" s="730"/>
      <c r="J384" s="251"/>
      <c r="K384" s="251"/>
      <c r="L384" s="251"/>
      <c r="M384" s="251"/>
      <c r="N384" s="251"/>
    </row>
    <row r="385" spans="2:14" x14ac:dyDescent="0.25">
      <c r="B385" s="723"/>
      <c r="C385" s="742"/>
      <c r="D385" s="813"/>
      <c r="E385" s="726"/>
      <c r="F385" s="727"/>
      <c r="G385" s="728"/>
      <c r="H385" s="729"/>
      <c r="I385" s="730"/>
      <c r="J385" s="251"/>
      <c r="K385" s="251"/>
      <c r="L385" s="251"/>
      <c r="M385" s="251"/>
      <c r="N385" s="251"/>
    </row>
    <row r="386" spans="2:14" x14ac:dyDescent="0.25">
      <c r="B386" s="723"/>
      <c r="C386" s="742"/>
      <c r="D386" s="813"/>
      <c r="E386" s="726"/>
      <c r="F386" s="727"/>
      <c r="G386" s="728"/>
      <c r="H386" s="729"/>
      <c r="I386" s="730"/>
      <c r="J386" s="251"/>
      <c r="K386" s="251"/>
      <c r="L386" s="251"/>
      <c r="M386" s="251"/>
      <c r="N386" s="251"/>
    </row>
    <row r="387" spans="2:14" ht="33.75" x14ac:dyDescent="0.25">
      <c r="B387" s="723" t="s">
        <v>95</v>
      </c>
      <c r="C387" s="814">
        <v>92480</v>
      </c>
      <c r="D387" s="789" t="s">
        <v>97</v>
      </c>
      <c r="E387" s="726" t="s">
        <v>17</v>
      </c>
      <c r="F387" s="727"/>
      <c r="G387" s="770" t="s">
        <v>1098</v>
      </c>
      <c r="H387" s="771"/>
      <c r="I387" s="772"/>
      <c r="J387" s="251">
        <f>'BOLETIM DE MEDIÇÃO 10'!R41-'MEMORIAL DE CÁLCULO 10'!K387</f>
        <v>435.32819999999998</v>
      </c>
      <c r="K387" s="250">
        <v>4.49</v>
      </c>
      <c r="L387" s="251">
        <f>J387+K387</f>
        <v>439.81819999999999</v>
      </c>
      <c r="M387" s="251">
        <f>'BOLETIM DE MEDIÇÃO 10'!G41</f>
        <v>439.82</v>
      </c>
      <c r="N387" s="251">
        <f>M387-L387</f>
        <v>1.8000000000029104E-3</v>
      </c>
    </row>
    <row r="388" spans="2:14" x14ac:dyDescent="0.25">
      <c r="B388" s="723"/>
      <c r="C388" s="814"/>
      <c r="D388" s="725" t="s">
        <v>1095</v>
      </c>
      <c r="E388" s="726"/>
      <c r="F388" s="727">
        <v>1</v>
      </c>
      <c r="G388" s="790">
        <v>435.33</v>
      </c>
      <c r="H388" s="791"/>
      <c r="I388" s="792"/>
      <c r="J388" s="251"/>
      <c r="K388" s="251">
        <f>F388*G388</f>
        <v>435.33</v>
      </c>
      <c r="L388" s="251"/>
      <c r="M388" s="251"/>
      <c r="N388" s="251"/>
    </row>
    <row r="389" spans="2:14" x14ac:dyDescent="0.25">
      <c r="B389" s="723"/>
      <c r="C389" s="814"/>
      <c r="D389" s="746" t="s">
        <v>1099</v>
      </c>
      <c r="E389" s="726"/>
      <c r="F389" s="730"/>
      <c r="G389" s="794" t="s">
        <v>1075</v>
      </c>
      <c r="H389" s="809" t="s">
        <v>649</v>
      </c>
      <c r="I389" s="810" t="s">
        <v>651</v>
      </c>
      <c r="J389" s="251"/>
      <c r="K389" s="811"/>
      <c r="L389" s="251"/>
      <c r="M389" s="251"/>
      <c r="N389" s="251"/>
    </row>
    <row r="390" spans="2:14" ht="22.5" x14ac:dyDescent="0.25">
      <c r="B390" s="723"/>
      <c r="C390" s="814"/>
      <c r="D390" s="789" t="s">
        <v>1100</v>
      </c>
      <c r="E390" s="726"/>
      <c r="F390" s="727">
        <v>1</v>
      </c>
      <c r="G390" s="801">
        <v>2.64</v>
      </c>
      <c r="H390" s="815">
        <v>0.15</v>
      </c>
      <c r="I390" s="730">
        <v>0.3</v>
      </c>
      <c r="J390" s="251"/>
      <c r="K390" s="251">
        <f>((I390*2)+(H390))*G390*F390</f>
        <v>1.98</v>
      </c>
      <c r="L390" s="251"/>
      <c r="M390" s="251"/>
      <c r="N390" s="251"/>
    </row>
    <row r="391" spans="2:14" x14ac:dyDescent="0.25">
      <c r="B391" s="723"/>
      <c r="C391" s="814"/>
      <c r="D391" s="789" t="s">
        <v>1101</v>
      </c>
      <c r="E391" s="726"/>
      <c r="F391" s="727">
        <v>2</v>
      </c>
      <c r="G391" s="801">
        <v>2.64</v>
      </c>
      <c r="H391" s="815">
        <v>0.15</v>
      </c>
      <c r="I391" s="730">
        <v>0.12</v>
      </c>
      <c r="J391" s="251"/>
      <c r="K391" s="251">
        <f>(I391*2)*G391*F391</f>
        <v>1.2672000000000001</v>
      </c>
      <c r="L391" s="251"/>
      <c r="M391" s="251"/>
      <c r="N391" s="251"/>
    </row>
    <row r="392" spans="2:14" x14ac:dyDescent="0.25">
      <c r="B392" s="723"/>
      <c r="C392" s="814"/>
      <c r="D392" s="789" t="s">
        <v>1102</v>
      </c>
      <c r="E392" s="726"/>
      <c r="F392" s="727">
        <v>1</v>
      </c>
      <c r="G392" s="801">
        <v>5.17</v>
      </c>
      <c r="H392" s="815">
        <v>0.15</v>
      </c>
      <c r="I392" s="730">
        <v>0.12</v>
      </c>
      <c r="J392" s="251"/>
      <c r="K392" s="251">
        <f>(I392*2)*G392*F392</f>
        <v>1.2407999999999999</v>
      </c>
      <c r="L392" s="251"/>
      <c r="M392" s="251"/>
      <c r="N392" s="251"/>
    </row>
    <row r="393" spans="2:14" ht="22.5" x14ac:dyDescent="0.25">
      <c r="B393" s="723" t="s">
        <v>98</v>
      </c>
      <c r="C393" s="742">
        <v>92267</v>
      </c>
      <c r="D393" s="725" t="s">
        <v>100</v>
      </c>
      <c r="E393" s="726" t="s">
        <v>17</v>
      </c>
      <c r="F393" s="727"/>
      <c r="G393" s="770" t="s">
        <v>1103</v>
      </c>
      <c r="H393" s="771"/>
      <c r="I393" s="772"/>
      <c r="J393" s="251">
        <f>'BOLETIM DE MEDIÇÃO 10'!R42-'MEMORIAL DE CÁLCULO 10'!K393</f>
        <v>110.85495</v>
      </c>
      <c r="K393" s="250">
        <v>19.97</v>
      </c>
      <c r="L393" s="251">
        <f>J393+K393</f>
        <v>130.82495</v>
      </c>
      <c r="M393" s="251">
        <f>'BOLETIM DE MEDIÇÃO 10'!G42</f>
        <v>130.82</v>
      </c>
      <c r="N393" s="251">
        <f>M393-L393</f>
        <v>-4.9500000000080036E-3</v>
      </c>
    </row>
    <row r="394" spans="2:14" x14ac:dyDescent="0.25">
      <c r="B394" s="723"/>
      <c r="C394" s="742"/>
      <c r="D394" s="725" t="s">
        <v>1095</v>
      </c>
      <c r="E394" s="726"/>
      <c r="F394" s="727">
        <v>1</v>
      </c>
      <c r="G394" s="790">
        <v>111.15</v>
      </c>
      <c r="H394" s="791"/>
      <c r="I394" s="792"/>
      <c r="J394" s="251"/>
      <c r="K394" s="251">
        <f>F394*G394</f>
        <v>111.15</v>
      </c>
      <c r="L394" s="251"/>
      <c r="M394" s="251"/>
      <c r="N394" s="251"/>
    </row>
    <row r="395" spans="2:14" x14ac:dyDescent="0.25">
      <c r="B395" s="723"/>
      <c r="C395" s="742"/>
      <c r="D395" s="746" t="s">
        <v>1104</v>
      </c>
      <c r="E395" s="726"/>
      <c r="F395" s="727"/>
      <c r="G395" s="739" t="s">
        <v>1105</v>
      </c>
      <c r="H395" s="740"/>
      <c r="I395" s="741"/>
      <c r="J395" s="251"/>
      <c r="K395" s="251"/>
      <c r="L395" s="251"/>
      <c r="M395" s="251"/>
      <c r="N395" s="251"/>
    </row>
    <row r="396" spans="2:14" x14ac:dyDescent="0.25">
      <c r="B396" s="723"/>
      <c r="C396" s="742"/>
      <c r="D396" s="747" t="s">
        <v>1106</v>
      </c>
      <c r="E396" s="726"/>
      <c r="F396" s="727">
        <v>1</v>
      </c>
      <c r="G396" s="739">
        <f>((0.9+1.5)/2)*5</f>
        <v>6</v>
      </c>
      <c r="H396" s="740"/>
      <c r="I396" s="741"/>
      <c r="J396" s="251"/>
      <c r="K396" s="251">
        <f>F396*G396</f>
        <v>6</v>
      </c>
      <c r="L396" s="251"/>
      <c r="M396" s="251"/>
      <c r="N396" s="251"/>
    </row>
    <row r="397" spans="2:14" x14ac:dyDescent="0.25">
      <c r="B397" s="723"/>
      <c r="C397" s="742"/>
      <c r="D397" s="747" t="s">
        <v>1107</v>
      </c>
      <c r="E397" s="726"/>
      <c r="F397" s="727">
        <v>1</v>
      </c>
      <c r="G397" s="739">
        <f>(2.645*5.17)</f>
        <v>13.67465</v>
      </c>
      <c r="H397" s="740"/>
      <c r="I397" s="741"/>
      <c r="J397" s="251"/>
      <c r="K397" s="251">
        <f>F397*G397</f>
        <v>13.67465</v>
      </c>
      <c r="L397" s="251"/>
      <c r="M397" s="251"/>
      <c r="N397" s="251"/>
    </row>
    <row r="398" spans="2:14" x14ac:dyDescent="0.25">
      <c r="B398" s="723"/>
      <c r="C398" s="742"/>
      <c r="D398" s="747"/>
      <c r="E398" s="726"/>
      <c r="F398" s="727"/>
      <c r="G398" s="801"/>
      <c r="H398" s="798"/>
      <c r="I398" s="807"/>
      <c r="J398" s="251"/>
      <c r="K398" s="251"/>
      <c r="L398" s="251"/>
      <c r="M398" s="251"/>
      <c r="N398" s="251"/>
    </row>
    <row r="399" spans="2:14" ht="33.75" x14ac:dyDescent="0.25">
      <c r="B399" s="723" t="s">
        <v>101</v>
      </c>
      <c r="C399" s="742">
        <v>92759</v>
      </c>
      <c r="D399" s="725" t="s">
        <v>103</v>
      </c>
      <c r="E399" s="726" t="s">
        <v>62</v>
      </c>
      <c r="F399" s="727"/>
      <c r="G399" s="770" t="s">
        <v>1108</v>
      </c>
      <c r="H399" s="771"/>
      <c r="I399" s="772"/>
      <c r="J399" s="251">
        <f>'BOLETIM DE MEDIÇÃO 10'!R43-'MEMORIAL DE CÁLCULO 10'!K399</f>
        <v>1016.5346799999999</v>
      </c>
      <c r="K399" s="250">
        <v>19.670000000000002</v>
      </c>
      <c r="L399" s="251">
        <f>J399+K399</f>
        <v>1036.2046799999998</v>
      </c>
      <c r="M399" s="251">
        <f>'BOLETIM DE MEDIÇÃO 10'!G43</f>
        <v>1036.2</v>
      </c>
      <c r="N399" s="251">
        <f>M399-L399</f>
        <v>-4.6799999997801933E-3</v>
      </c>
    </row>
    <row r="400" spans="2:14" x14ac:dyDescent="0.25">
      <c r="B400" s="723"/>
      <c r="C400" s="742"/>
      <c r="D400" s="725" t="s">
        <v>1095</v>
      </c>
      <c r="E400" s="726"/>
      <c r="F400" s="727">
        <v>1</v>
      </c>
      <c r="G400" s="790">
        <v>1027.8</v>
      </c>
      <c r="H400" s="791"/>
      <c r="I400" s="792"/>
      <c r="J400" s="251"/>
      <c r="K400" s="251">
        <f>F400*G400</f>
        <v>1027.8</v>
      </c>
      <c r="L400" s="251"/>
      <c r="M400" s="251"/>
      <c r="N400" s="251"/>
    </row>
    <row r="401" spans="2:14" ht="22.5" x14ac:dyDescent="0.25">
      <c r="B401" s="723"/>
      <c r="C401" s="742"/>
      <c r="D401" s="746" t="s">
        <v>1099</v>
      </c>
      <c r="E401" s="726"/>
      <c r="F401" s="730"/>
      <c r="G401" s="794" t="s">
        <v>1109</v>
      </c>
      <c r="H401" s="816" t="s">
        <v>611</v>
      </c>
      <c r="I401" s="792"/>
      <c r="J401" s="251"/>
      <c r="K401" s="811"/>
      <c r="L401" s="251"/>
      <c r="M401" s="251"/>
      <c r="N401" s="251"/>
    </row>
    <row r="402" spans="2:14" ht="22.5" x14ac:dyDescent="0.25">
      <c r="B402" s="723"/>
      <c r="C402" s="742"/>
      <c r="D402" s="789" t="s">
        <v>1100</v>
      </c>
      <c r="E402" s="726"/>
      <c r="F402" s="727">
        <v>1</v>
      </c>
      <c r="G402" s="801">
        <f>(19*0.69)</f>
        <v>13.11</v>
      </c>
      <c r="H402" s="817">
        <v>0.154</v>
      </c>
      <c r="I402" s="818"/>
      <c r="J402" s="251"/>
      <c r="K402" s="251">
        <f>F402*G402*H402</f>
        <v>2.0189399999999997</v>
      </c>
      <c r="L402" s="251"/>
      <c r="M402" s="251"/>
      <c r="N402" s="251"/>
    </row>
    <row r="403" spans="2:14" x14ac:dyDescent="0.25">
      <c r="B403" s="723"/>
      <c r="C403" s="742"/>
      <c r="D403" s="789" t="s">
        <v>1101</v>
      </c>
      <c r="E403" s="726"/>
      <c r="F403" s="727">
        <v>2</v>
      </c>
      <c r="G403" s="801">
        <f>(0.12*45)</f>
        <v>5.3999999999999995</v>
      </c>
      <c r="H403" s="817">
        <v>0.154</v>
      </c>
      <c r="I403" s="818"/>
      <c r="J403" s="251"/>
      <c r="K403" s="251">
        <f>F403*G403*H403</f>
        <v>1.6631999999999998</v>
      </c>
      <c r="L403" s="251"/>
      <c r="M403" s="251"/>
      <c r="N403" s="251"/>
    </row>
    <row r="404" spans="2:14" x14ac:dyDescent="0.25">
      <c r="B404" s="723"/>
      <c r="C404" s="742"/>
      <c r="D404" s="789" t="s">
        <v>1102</v>
      </c>
      <c r="E404" s="726"/>
      <c r="F404" s="727">
        <v>1</v>
      </c>
      <c r="G404" s="801">
        <f>(0.12*83)</f>
        <v>9.9599999999999991</v>
      </c>
      <c r="H404" s="817">
        <v>0.154</v>
      </c>
      <c r="I404" s="818"/>
      <c r="J404" s="251"/>
      <c r="K404" s="251">
        <f>F404*G404*H404</f>
        <v>1.5338399999999999</v>
      </c>
      <c r="L404" s="251"/>
      <c r="M404" s="251"/>
      <c r="N404" s="251"/>
    </row>
    <row r="405" spans="2:14" x14ac:dyDescent="0.25">
      <c r="B405" s="723"/>
      <c r="C405" s="742"/>
      <c r="D405" s="746" t="s">
        <v>1096</v>
      </c>
      <c r="E405" s="726"/>
      <c r="F405" s="727"/>
      <c r="G405" s="728"/>
      <c r="H405" s="729"/>
      <c r="I405" s="730"/>
      <c r="J405" s="251"/>
      <c r="K405" s="251"/>
      <c r="L405" s="251"/>
      <c r="M405" s="251"/>
      <c r="N405" s="251"/>
    </row>
    <row r="406" spans="2:14" x14ac:dyDescent="0.25">
      <c r="B406" s="723"/>
      <c r="C406" s="742"/>
      <c r="D406" s="812" t="s">
        <v>1097</v>
      </c>
      <c r="E406" s="726"/>
      <c r="F406" s="727">
        <v>3</v>
      </c>
      <c r="G406" s="728">
        <f>(10*0.69)</f>
        <v>6.8999999999999995</v>
      </c>
      <c r="H406" s="817">
        <v>0.154</v>
      </c>
      <c r="I406" s="818"/>
      <c r="J406" s="251"/>
      <c r="K406" s="251">
        <f>F406*G406*H406</f>
        <v>3.1877999999999997</v>
      </c>
      <c r="L406" s="251"/>
      <c r="M406" s="251"/>
      <c r="N406" s="251"/>
    </row>
    <row r="407" spans="2:14" x14ac:dyDescent="0.25">
      <c r="B407" s="723"/>
      <c r="C407" s="742"/>
      <c r="D407" s="813"/>
      <c r="E407" s="726"/>
      <c r="F407" s="727"/>
      <c r="G407" s="728"/>
      <c r="H407" s="729"/>
      <c r="I407" s="730"/>
      <c r="J407" s="251"/>
      <c r="K407" s="251"/>
      <c r="L407" s="251"/>
      <c r="M407" s="251"/>
      <c r="N407" s="251"/>
    </row>
    <row r="408" spans="2:14" x14ac:dyDescent="0.25">
      <c r="B408" s="723"/>
      <c r="C408" s="742"/>
      <c r="D408" s="813"/>
      <c r="E408" s="726"/>
      <c r="F408" s="727"/>
      <c r="G408" s="728"/>
      <c r="H408" s="729"/>
      <c r="I408" s="730"/>
      <c r="J408" s="251"/>
      <c r="K408" s="251"/>
      <c r="L408" s="251"/>
      <c r="M408" s="251"/>
      <c r="N408" s="251"/>
    </row>
    <row r="409" spans="2:14" x14ac:dyDescent="0.25">
      <c r="B409" s="723"/>
      <c r="C409" s="742"/>
      <c r="D409" s="813"/>
      <c r="E409" s="726"/>
      <c r="F409" s="727"/>
      <c r="G409" s="728"/>
      <c r="H409" s="729"/>
      <c r="I409" s="730"/>
      <c r="J409" s="251"/>
      <c r="K409" s="251"/>
      <c r="L409" s="251"/>
      <c r="M409" s="251"/>
      <c r="N409" s="251"/>
    </row>
    <row r="410" spans="2:14" x14ac:dyDescent="0.25">
      <c r="B410" s="723"/>
      <c r="C410" s="742"/>
      <c r="D410" s="813"/>
      <c r="E410" s="726"/>
      <c r="F410" s="727"/>
      <c r="G410" s="728"/>
      <c r="H410" s="729"/>
      <c r="I410" s="730"/>
      <c r="J410" s="251"/>
      <c r="K410" s="251"/>
      <c r="L410" s="251"/>
      <c r="M410" s="251"/>
      <c r="N410" s="251"/>
    </row>
    <row r="411" spans="2:14" ht="33.75" x14ac:dyDescent="0.25">
      <c r="B411" s="723" t="s">
        <v>107</v>
      </c>
      <c r="C411" s="742">
        <v>92761</v>
      </c>
      <c r="D411" s="725" t="s">
        <v>109</v>
      </c>
      <c r="E411" s="726" t="s">
        <v>62</v>
      </c>
      <c r="F411" s="727"/>
      <c r="G411" s="770" t="s">
        <v>1110</v>
      </c>
      <c r="H411" s="771"/>
      <c r="I411" s="772"/>
      <c r="J411" s="251">
        <f>'BOLETIM DE MEDIÇÃO 10'!R45-'MEMORIAL DE CÁLCULO 10'!K411</f>
        <v>999.99999999999989</v>
      </c>
      <c r="K411" s="250">
        <v>21.28</v>
      </c>
      <c r="L411" s="251">
        <f>J411+K411</f>
        <v>1021.2799999999999</v>
      </c>
      <c r="M411" s="251">
        <f>'BOLETIM DE MEDIÇÃO 10'!G45</f>
        <v>1021.28</v>
      </c>
      <c r="N411" s="251">
        <f>M411-L411</f>
        <v>0</v>
      </c>
    </row>
    <row r="412" spans="2:14" x14ac:dyDescent="0.25">
      <c r="B412" s="723"/>
      <c r="C412" s="742"/>
      <c r="D412" s="725" t="s">
        <v>1095</v>
      </c>
      <c r="E412" s="726"/>
      <c r="F412" s="727">
        <v>1</v>
      </c>
      <c r="G412" s="790">
        <v>1000</v>
      </c>
      <c r="H412" s="791"/>
      <c r="I412" s="792"/>
      <c r="J412" s="251"/>
      <c r="K412" s="251">
        <f>F412*G412</f>
        <v>1000</v>
      </c>
      <c r="L412" s="251"/>
      <c r="M412" s="251"/>
      <c r="N412" s="251"/>
    </row>
    <row r="413" spans="2:14" ht="22.5" x14ac:dyDescent="0.25">
      <c r="B413" s="723"/>
      <c r="C413" s="742"/>
      <c r="D413" s="746" t="s">
        <v>1099</v>
      </c>
      <c r="E413" s="726"/>
      <c r="F413" s="730"/>
      <c r="G413" s="794" t="s">
        <v>1109</v>
      </c>
      <c r="H413" s="816" t="s">
        <v>611</v>
      </c>
      <c r="I413" s="792"/>
      <c r="J413" s="251"/>
      <c r="K413" s="811"/>
      <c r="L413" s="251"/>
      <c r="M413" s="251"/>
      <c r="N413" s="251"/>
    </row>
    <row r="414" spans="2:14" ht="22.5" x14ac:dyDescent="0.25">
      <c r="B414" s="723"/>
      <c r="C414" s="742"/>
      <c r="D414" s="789" t="s">
        <v>1100</v>
      </c>
      <c r="E414" s="726"/>
      <c r="F414" s="727">
        <v>1</v>
      </c>
      <c r="G414" s="801">
        <f>(3*2.96)+(4*3.1)</f>
        <v>21.28</v>
      </c>
      <c r="H414" s="817">
        <v>0.39500000000000002</v>
      </c>
      <c r="I414" s="818"/>
      <c r="J414" s="251"/>
      <c r="K414" s="251">
        <f>F414*G414</f>
        <v>21.28</v>
      </c>
      <c r="L414" s="251"/>
      <c r="M414" s="251"/>
      <c r="N414" s="251"/>
    </row>
    <row r="415" spans="2:14" x14ac:dyDescent="0.25">
      <c r="B415" s="723"/>
      <c r="C415" s="742"/>
      <c r="D415" s="789"/>
      <c r="E415" s="726"/>
      <c r="F415" s="727"/>
      <c r="G415" s="801"/>
      <c r="H415" s="817"/>
      <c r="I415" s="818"/>
      <c r="J415" s="251"/>
      <c r="K415" s="251"/>
      <c r="L415" s="251"/>
      <c r="M415" s="251"/>
      <c r="N415" s="251"/>
    </row>
    <row r="416" spans="2:14" x14ac:dyDescent="0.25">
      <c r="B416" s="723"/>
      <c r="C416" s="742"/>
      <c r="D416" s="725"/>
      <c r="E416" s="726"/>
      <c r="F416" s="727"/>
      <c r="G416" s="728"/>
      <c r="H416" s="726"/>
      <c r="I416" s="730"/>
      <c r="J416" s="251"/>
      <c r="K416" s="251"/>
      <c r="L416" s="251"/>
      <c r="M416" s="251"/>
      <c r="N416" s="251"/>
    </row>
    <row r="417" spans="2:14" ht="33.75" x14ac:dyDescent="0.25">
      <c r="B417" s="723" t="s">
        <v>110</v>
      </c>
      <c r="C417" s="742">
        <v>92762</v>
      </c>
      <c r="D417" s="725" t="s">
        <v>112</v>
      </c>
      <c r="E417" s="726" t="s">
        <v>62</v>
      </c>
      <c r="F417" s="727"/>
      <c r="G417" s="770" t="s">
        <v>1111</v>
      </c>
      <c r="H417" s="771"/>
      <c r="I417" s="772"/>
      <c r="J417" s="251">
        <f>'BOLETIM DE MEDIÇÃO 10'!R46-'MEMORIAL DE CÁLCULO 10'!K417</f>
        <v>1306.0979200000002</v>
      </c>
      <c r="K417" s="250">
        <v>9.48</v>
      </c>
      <c r="L417" s="251">
        <f>J417+K417</f>
        <v>1315.5779200000002</v>
      </c>
      <c r="M417" s="251">
        <f>'BOLETIM DE MEDIÇÃO 10'!G46</f>
        <v>1315.58</v>
      </c>
      <c r="N417" s="251">
        <f>M417-L417</f>
        <v>2.0799999997507257E-3</v>
      </c>
    </row>
    <row r="418" spans="2:14" x14ac:dyDescent="0.25">
      <c r="B418" s="723"/>
      <c r="C418" s="742"/>
      <c r="D418" s="725" t="s">
        <v>1095</v>
      </c>
      <c r="E418" s="726"/>
      <c r="F418" s="727">
        <v>1</v>
      </c>
      <c r="G418" s="790">
        <v>1306.0999999999999</v>
      </c>
      <c r="H418" s="791"/>
      <c r="I418" s="792"/>
      <c r="J418" s="251"/>
      <c r="K418" s="251">
        <f>F418*G418</f>
        <v>1306.0999999999999</v>
      </c>
      <c r="L418" s="251"/>
      <c r="M418" s="251"/>
      <c r="N418" s="251"/>
    </row>
    <row r="419" spans="2:14" x14ac:dyDescent="0.25">
      <c r="B419" s="723"/>
      <c r="C419" s="742"/>
      <c r="D419" s="746" t="s">
        <v>1096</v>
      </c>
      <c r="E419" s="726"/>
      <c r="F419" s="727"/>
      <c r="G419" s="728"/>
      <c r="H419" s="816" t="s">
        <v>611</v>
      </c>
      <c r="I419" s="792"/>
      <c r="J419" s="251"/>
      <c r="K419" s="251"/>
      <c r="L419" s="251"/>
      <c r="M419" s="251"/>
      <c r="N419" s="251"/>
    </row>
    <row r="420" spans="2:14" x14ac:dyDescent="0.25">
      <c r="B420" s="723"/>
      <c r="C420" s="742"/>
      <c r="D420" s="812" t="s">
        <v>1097</v>
      </c>
      <c r="E420" s="726"/>
      <c r="F420" s="727">
        <v>3</v>
      </c>
      <c r="G420" s="728">
        <f>(0.95+0.33)*4</f>
        <v>5.12</v>
      </c>
      <c r="H420" s="819">
        <v>0.61699999999999999</v>
      </c>
      <c r="I420" s="818"/>
      <c r="J420" s="251"/>
      <c r="K420" s="251">
        <f>F420*G420*H420</f>
        <v>9.4771199999999993</v>
      </c>
      <c r="L420" s="251"/>
      <c r="M420" s="251"/>
      <c r="N420" s="251"/>
    </row>
    <row r="421" spans="2:14" x14ac:dyDescent="0.25">
      <c r="B421" s="723"/>
      <c r="C421" s="742"/>
      <c r="D421" s="813"/>
      <c r="E421" s="726"/>
      <c r="F421" s="727"/>
      <c r="G421" s="728"/>
      <c r="H421" s="726"/>
      <c r="I421" s="730"/>
      <c r="J421" s="251"/>
      <c r="K421" s="251"/>
      <c r="L421" s="251"/>
      <c r="M421" s="251"/>
      <c r="N421" s="251"/>
    </row>
    <row r="422" spans="2:14" x14ac:dyDescent="0.25">
      <c r="B422" s="723"/>
      <c r="C422" s="742"/>
      <c r="D422" s="813"/>
      <c r="E422" s="726"/>
      <c r="F422" s="730">
        <v>1</v>
      </c>
      <c r="G422" s="750"/>
      <c r="H422" s="726"/>
      <c r="I422" s="730"/>
      <c r="J422" s="251"/>
      <c r="K422" s="251"/>
      <c r="L422" s="251"/>
      <c r="M422" s="251"/>
      <c r="N422" s="251"/>
    </row>
    <row r="423" spans="2:14" ht="33.75" hidden="1" x14ac:dyDescent="0.25">
      <c r="B423" s="723" t="s">
        <v>113</v>
      </c>
      <c r="C423" s="742">
        <v>92763</v>
      </c>
      <c r="D423" s="725" t="s">
        <v>115</v>
      </c>
      <c r="E423" s="726" t="s">
        <v>62</v>
      </c>
      <c r="F423" s="730"/>
      <c r="G423" s="750"/>
      <c r="H423" s="726"/>
      <c r="I423" s="730"/>
      <c r="J423" s="251"/>
      <c r="K423" s="251">
        <f>G424+G425</f>
        <v>100.42</v>
      </c>
      <c r="L423" s="251"/>
      <c r="M423" s="251"/>
      <c r="N423" s="251"/>
    </row>
    <row r="424" spans="2:14" hidden="1" x14ac:dyDescent="0.25">
      <c r="B424" s="723"/>
      <c r="C424" s="742"/>
      <c r="D424" s="813" t="s">
        <v>889</v>
      </c>
      <c r="E424" s="726"/>
      <c r="F424" s="730">
        <v>1</v>
      </c>
      <c r="G424" s="750">
        <v>74.2</v>
      </c>
      <c r="H424" s="726"/>
      <c r="I424" s="730"/>
      <c r="J424" s="251"/>
      <c r="K424" s="251"/>
      <c r="L424" s="251"/>
      <c r="M424" s="251"/>
      <c r="N424" s="251"/>
    </row>
    <row r="425" spans="2:14" hidden="1" x14ac:dyDescent="0.25">
      <c r="B425" s="723"/>
      <c r="C425" s="742"/>
      <c r="D425" s="813" t="s">
        <v>890</v>
      </c>
      <c r="E425" s="726"/>
      <c r="F425" s="730">
        <v>1</v>
      </c>
      <c r="G425" s="820">
        <f>87.4*0.3</f>
        <v>26.220000000000002</v>
      </c>
      <c r="H425" s="726"/>
      <c r="I425" s="730"/>
      <c r="J425" s="251"/>
      <c r="K425" s="251"/>
      <c r="L425" s="251"/>
      <c r="M425" s="251"/>
      <c r="N425" s="251"/>
    </row>
    <row r="426" spans="2:14" ht="33.75" x14ac:dyDescent="0.25">
      <c r="B426" s="723" t="s">
        <v>116</v>
      </c>
      <c r="C426" s="742">
        <v>92768</v>
      </c>
      <c r="D426" s="725" t="s">
        <v>118</v>
      </c>
      <c r="E426" s="726" t="s">
        <v>62</v>
      </c>
      <c r="F426" s="730"/>
      <c r="G426" s="770" t="s">
        <v>1112</v>
      </c>
      <c r="H426" s="771"/>
      <c r="I426" s="772"/>
      <c r="J426" s="251">
        <f>'BOLETIM DE MEDIÇÃO 10'!R48-'MEMORIAL DE CÁLCULO 10'!K426</f>
        <v>158.69999999999996</v>
      </c>
      <c r="K426" s="250">
        <v>46.68</v>
      </c>
      <c r="L426" s="251">
        <f>J426+K426</f>
        <v>205.37999999999997</v>
      </c>
      <c r="M426" s="251">
        <f>'BOLETIM DE MEDIÇÃO 10'!G48</f>
        <v>205.38</v>
      </c>
      <c r="N426" s="251">
        <f>M426-L426</f>
        <v>0</v>
      </c>
    </row>
    <row r="427" spans="2:14" x14ac:dyDescent="0.25">
      <c r="B427" s="723"/>
      <c r="C427" s="742"/>
      <c r="D427" s="725" t="s">
        <v>1095</v>
      </c>
      <c r="E427" s="726"/>
      <c r="F427" s="727">
        <v>1</v>
      </c>
      <c r="G427" s="790">
        <v>158.69999999999999</v>
      </c>
      <c r="H427" s="791"/>
      <c r="I427" s="792"/>
      <c r="J427" s="251"/>
      <c r="K427" s="251">
        <f>F427*G427</f>
        <v>158.69999999999999</v>
      </c>
      <c r="L427" s="251"/>
      <c r="M427" s="251"/>
      <c r="N427" s="251"/>
    </row>
    <row r="428" spans="2:14" ht="22.5" x14ac:dyDescent="0.25">
      <c r="B428" s="723"/>
      <c r="C428" s="742"/>
      <c r="D428" s="746" t="s">
        <v>1113</v>
      </c>
      <c r="E428" s="726"/>
      <c r="F428" s="730"/>
      <c r="G428" s="750" t="s">
        <v>1114</v>
      </c>
      <c r="H428" s="809" t="s">
        <v>611</v>
      </c>
      <c r="I428" s="730"/>
      <c r="J428" s="251"/>
      <c r="K428" s="251"/>
      <c r="L428" s="251"/>
      <c r="M428" s="251"/>
      <c r="N428" s="251"/>
    </row>
    <row r="429" spans="2:14" x14ac:dyDescent="0.25">
      <c r="B429" s="723"/>
      <c r="C429" s="742"/>
      <c r="D429" s="747" t="s">
        <v>1115</v>
      </c>
      <c r="E429" s="726"/>
      <c r="F429" s="730">
        <v>10</v>
      </c>
      <c r="G429" s="750">
        <v>5</v>
      </c>
      <c r="H429" s="726">
        <v>0.154</v>
      </c>
      <c r="I429" s="730"/>
      <c r="J429" s="251"/>
      <c r="K429" s="251">
        <f>F429*G429*H429</f>
        <v>7.7</v>
      </c>
      <c r="L429" s="251"/>
      <c r="M429" s="251"/>
      <c r="N429" s="251"/>
    </row>
    <row r="430" spans="2:14" x14ac:dyDescent="0.25">
      <c r="B430" s="723"/>
      <c r="C430" s="742"/>
      <c r="D430" s="747" t="s">
        <v>1116</v>
      </c>
      <c r="E430" s="726"/>
      <c r="F430" s="730">
        <v>28</v>
      </c>
      <c r="G430" s="750">
        <v>2.5</v>
      </c>
      <c r="H430" s="726">
        <v>0.154</v>
      </c>
      <c r="I430" s="730"/>
      <c r="J430" s="251"/>
      <c r="K430" s="251">
        <f>F430*G430*H430</f>
        <v>10.78</v>
      </c>
      <c r="L430" s="251"/>
      <c r="M430" s="251"/>
      <c r="N430" s="251"/>
    </row>
    <row r="431" spans="2:14" ht="22.5" x14ac:dyDescent="0.25">
      <c r="B431" s="723"/>
      <c r="C431" s="742"/>
      <c r="D431" s="747" t="s">
        <v>1117</v>
      </c>
      <c r="E431" s="726"/>
      <c r="F431" s="730">
        <v>1</v>
      </c>
      <c r="G431" s="739">
        <v>28.2</v>
      </c>
      <c r="H431" s="740"/>
      <c r="I431" s="741"/>
      <c r="J431" s="251"/>
      <c r="K431" s="251">
        <f>F431*G431</f>
        <v>28.2</v>
      </c>
      <c r="L431" s="251"/>
      <c r="M431" s="251"/>
      <c r="N431" s="251"/>
    </row>
    <row r="432" spans="2:14" x14ac:dyDescent="0.25">
      <c r="B432" s="723"/>
      <c r="C432" s="742"/>
      <c r="D432" s="725"/>
      <c r="E432" s="726"/>
      <c r="F432" s="730"/>
      <c r="G432" s="750"/>
      <c r="H432" s="726"/>
      <c r="I432" s="730"/>
      <c r="J432" s="251"/>
      <c r="K432" s="251"/>
      <c r="L432" s="251"/>
      <c r="M432" s="251"/>
      <c r="N432" s="251"/>
    </row>
    <row r="433" spans="2:14" ht="33.75" x14ac:dyDescent="0.25">
      <c r="B433" s="723" t="s">
        <v>119</v>
      </c>
      <c r="C433" s="742">
        <v>92769</v>
      </c>
      <c r="D433" s="725" t="s">
        <v>121</v>
      </c>
      <c r="E433" s="726" t="s">
        <v>62</v>
      </c>
      <c r="F433" s="730"/>
      <c r="G433" s="770" t="s">
        <v>1118</v>
      </c>
      <c r="H433" s="771"/>
      <c r="I433" s="772"/>
      <c r="J433" s="251">
        <f>'BOLETIM DE MEDIÇÃO 10'!R49-'MEMORIAL DE CÁLCULO 10'!K433</f>
        <v>170.50220000000002</v>
      </c>
      <c r="K433" s="250">
        <v>8.23</v>
      </c>
      <c r="L433" s="251">
        <f>J433+K433</f>
        <v>178.73220000000001</v>
      </c>
      <c r="M433" s="251">
        <f>'BOLETIM DE MEDIÇÃO 10'!G49</f>
        <v>178.73</v>
      </c>
      <c r="N433" s="251">
        <f>M433-L433</f>
        <v>-2.200000000016189E-3</v>
      </c>
    </row>
    <row r="434" spans="2:14" x14ac:dyDescent="0.25">
      <c r="B434" s="723"/>
      <c r="C434" s="742"/>
      <c r="D434" s="725" t="s">
        <v>1095</v>
      </c>
      <c r="E434" s="726"/>
      <c r="F434" s="727">
        <v>1</v>
      </c>
      <c r="G434" s="790">
        <v>170.5</v>
      </c>
      <c r="H434" s="791"/>
      <c r="I434" s="792"/>
      <c r="J434" s="251"/>
      <c r="K434" s="251">
        <f>F434*G434</f>
        <v>170.5</v>
      </c>
      <c r="L434" s="251"/>
      <c r="M434" s="251"/>
      <c r="N434" s="251"/>
    </row>
    <row r="435" spans="2:14" ht="22.5" x14ac:dyDescent="0.25">
      <c r="B435" s="723"/>
      <c r="C435" s="742"/>
      <c r="D435" s="746" t="s">
        <v>1119</v>
      </c>
      <c r="E435" s="726"/>
      <c r="F435" s="730"/>
      <c r="G435" s="750" t="s">
        <v>1114</v>
      </c>
      <c r="H435" s="809" t="s">
        <v>611</v>
      </c>
      <c r="I435" s="730"/>
      <c r="J435" s="251"/>
      <c r="K435" s="251"/>
      <c r="L435" s="251"/>
      <c r="M435" s="251"/>
      <c r="N435" s="251"/>
    </row>
    <row r="436" spans="2:14" x14ac:dyDescent="0.25">
      <c r="B436" s="723"/>
      <c r="C436" s="742"/>
      <c r="D436" s="747" t="s">
        <v>1120</v>
      </c>
      <c r="E436" s="726"/>
      <c r="F436" s="730">
        <v>28</v>
      </c>
      <c r="G436" s="750">
        <f>(1.5+0.9)/2</f>
        <v>1.2</v>
      </c>
      <c r="H436" s="726">
        <v>0.245</v>
      </c>
      <c r="I436" s="730"/>
      <c r="J436" s="251"/>
      <c r="K436" s="251">
        <f>F436*G436*H436</f>
        <v>8.2319999999999993</v>
      </c>
      <c r="L436" s="251"/>
      <c r="M436" s="251"/>
      <c r="N436" s="251"/>
    </row>
    <row r="437" spans="2:14" x14ac:dyDescent="0.25">
      <c r="B437" s="723"/>
      <c r="C437" s="742"/>
      <c r="D437" s="725"/>
      <c r="E437" s="726"/>
      <c r="F437" s="730"/>
      <c r="G437" s="750"/>
      <c r="H437" s="726"/>
      <c r="I437" s="730"/>
      <c r="J437" s="251"/>
      <c r="K437" s="251"/>
      <c r="L437" s="251"/>
      <c r="M437" s="251"/>
      <c r="N437" s="251"/>
    </row>
    <row r="438" spans="2:14" x14ac:dyDescent="0.25">
      <c r="B438" s="723"/>
      <c r="C438" s="742"/>
      <c r="D438" s="725"/>
      <c r="E438" s="726"/>
      <c r="F438" s="730"/>
      <c r="G438" s="750"/>
      <c r="H438" s="726"/>
      <c r="I438" s="730"/>
      <c r="J438" s="251"/>
      <c r="K438" s="251"/>
      <c r="L438" s="251"/>
      <c r="M438" s="251"/>
      <c r="N438" s="251"/>
    </row>
    <row r="439" spans="2:14" ht="33.75" hidden="1" x14ac:dyDescent="0.25">
      <c r="B439" s="723" t="s">
        <v>122</v>
      </c>
      <c r="C439" s="742">
        <v>92770</v>
      </c>
      <c r="D439" s="725" t="s">
        <v>124</v>
      </c>
      <c r="E439" s="726" t="s">
        <v>62</v>
      </c>
      <c r="F439" s="730"/>
      <c r="G439" s="750"/>
      <c r="H439" s="726"/>
      <c r="I439" s="730"/>
      <c r="J439" s="251"/>
      <c r="K439" s="251">
        <f>(F439*G439*I439)</f>
        <v>0</v>
      </c>
      <c r="L439" s="251"/>
      <c r="M439" s="251"/>
      <c r="N439" s="251"/>
    </row>
    <row r="440" spans="2:14" ht="33.75" x14ac:dyDescent="0.25">
      <c r="B440" s="723" t="s">
        <v>125</v>
      </c>
      <c r="C440" s="742">
        <v>94966</v>
      </c>
      <c r="D440" s="725" t="s">
        <v>65</v>
      </c>
      <c r="E440" s="726" t="s">
        <v>41</v>
      </c>
      <c r="F440" s="730"/>
      <c r="G440" s="770" t="s">
        <v>1121</v>
      </c>
      <c r="H440" s="771"/>
      <c r="I440" s="772"/>
      <c r="J440" s="251">
        <f>'BOLETIM DE MEDIÇÃO 10'!R51-'MEMORIAL DE CÁLCULO 10'!K440</f>
        <v>61.558454999999981</v>
      </c>
      <c r="K440" s="250">
        <v>20.09</v>
      </c>
      <c r="L440" s="251">
        <f>J440+K440</f>
        <v>81.648454999999984</v>
      </c>
      <c r="M440" s="251">
        <f>'BOLETIM DE MEDIÇÃO 10'!G51</f>
        <v>81.650000000000006</v>
      </c>
      <c r="N440" s="251">
        <f>M440-L440</f>
        <v>1.5450000000214459E-3</v>
      </c>
    </row>
    <row r="441" spans="2:14" x14ac:dyDescent="0.25">
      <c r="B441" s="723"/>
      <c r="C441" s="742"/>
      <c r="D441" s="725" t="s">
        <v>1095</v>
      </c>
      <c r="E441" s="726"/>
      <c r="F441" s="727">
        <v>1</v>
      </c>
      <c r="G441" s="790">
        <v>61.56</v>
      </c>
      <c r="H441" s="791"/>
      <c r="I441" s="792"/>
      <c r="J441" s="251"/>
      <c r="K441" s="251">
        <f>F441*G441</f>
        <v>61.56</v>
      </c>
      <c r="L441" s="251"/>
      <c r="M441" s="251"/>
      <c r="N441" s="251"/>
    </row>
    <row r="442" spans="2:14" x14ac:dyDescent="0.25">
      <c r="B442" s="723"/>
      <c r="C442" s="742"/>
      <c r="D442" s="746" t="s">
        <v>1122</v>
      </c>
      <c r="E442" s="726"/>
      <c r="F442" s="727"/>
      <c r="G442" s="739" t="s">
        <v>1105</v>
      </c>
      <c r="H442" s="740"/>
      <c r="I442" s="821" t="s">
        <v>982</v>
      </c>
      <c r="J442" s="797"/>
      <c r="K442" s="251"/>
      <c r="L442" s="251"/>
      <c r="M442" s="251"/>
      <c r="N442" s="251"/>
    </row>
    <row r="443" spans="2:14" x14ac:dyDescent="0.25">
      <c r="B443" s="723"/>
      <c r="C443" s="742"/>
      <c r="D443" s="747" t="s">
        <v>1106</v>
      </c>
      <c r="E443" s="726"/>
      <c r="F443" s="727">
        <v>1</v>
      </c>
      <c r="G443" s="739">
        <f>((0.9+1.5)/2)*5</f>
        <v>6</v>
      </c>
      <c r="H443" s="740"/>
      <c r="I443" s="730">
        <v>0.11</v>
      </c>
      <c r="J443" s="797"/>
      <c r="K443" s="811">
        <f>F443*G443</f>
        <v>6</v>
      </c>
      <c r="L443" s="251"/>
      <c r="M443" s="251"/>
      <c r="N443" s="251"/>
    </row>
    <row r="444" spans="2:14" x14ac:dyDescent="0.25">
      <c r="B444" s="723"/>
      <c r="C444" s="742"/>
      <c r="D444" s="747" t="s">
        <v>1107</v>
      </c>
      <c r="E444" s="726"/>
      <c r="F444" s="727">
        <v>1</v>
      </c>
      <c r="G444" s="739">
        <f>(2.645*5.17)</f>
        <v>13.67465</v>
      </c>
      <c r="H444" s="740"/>
      <c r="I444" s="730">
        <v>0.11</v>
      </c>
      <c r="J444" s="797"/>
      <c r="K444" s="811">
        <f>F444*G444</f>
        <v>13.67465</v>
      </c>
      <c r="L444" s="251"/>
      <c r="M444" s="251"/>
      <c r="N444" s="251"/>
    </row>
    <row r="445" spans="2:14" x14ac:dyDescent="0.25">
      <c r="B445" s="723"/>
      <c r="C445" s="742"/>
      <c r="D445" s="746" t="s">
        <v>1099</v>
      </c>
      <c r="E445" s="726"/>
      <c r="F445" s="730"/>
      <c r="G445" s="794" t="s">
        <v>1075</v>
      </c>
      <c r="H445" s="809" t="s">
        <v>649</v>
      </c>
      <c r="I445" s="774" t="s">
        <v>651</v>
      </c>
      <c r="J445" s="797"/>
      <c r="K445" s="811"/>
      <c r="L445" s="251"/>
      <c r="M445" s="251"/>
      <c r="N445" s="251"/>
    </row>
    <row r="446" spans="2:14" ht="22.5" x14ac:dyDescent="0.25">
      <c r="B446" s="723"/>
      <c r="C446" s="742"/>
      <c r="D446" s="789" t="s">
        <v>1100</v>
      </c>
      <c r="E446" s="726"/>
      <c r="F446" s="730">
        <v>1</v>
      </c>
      <c r="G446" s="801">
        <v>2.64</v>
      </c>
      <c r="H446" s="815">
        <v>0.15</v>
      </c>
      <c r="I446" s="730">
        <v>0.3</v>
      </c>
      <c r="J446" s="797"/>
      <c r="K446" s="251">
        <f>F446*G446*H446*I446</f>
        <v>0.1188</v>
      </c>
      <c r="L446" s="251"/>
      <c r="M446" s="251"/>
      <c r="N446" s="251"/>
    </row>
    <row r="447" spans="2:14" x14ac:dyDescent="0.25">
      <c r="B447" s="723"/>
      <c r="C447" s="742"/>
      <c r="D447" s="789" t="s">
        <v>1101</v>
      </c>
      <c r="E447" s="726"/>
      <c r="F447" s="730">
        <v>2</v>
      </c>
      <c r="G447" s="801">
        <v>2.64</v>
      </c>
      <c r="H447" s="815">
        <v>0.15</v>
      </c>
      <c r="I447" s="730">
        <v>0.12</v>
      </c>
      <c r="J447" s="251"/>
      <c r="K447" s="251">
        <f>F447*G447*H447*I447</f>
        <v>9.5039999999999999E-2</v>
      </c>
      <c r="L447" s="251"/>
      <c r="M447" s="251"/>
      <c r="N447" s="251"/>
    </row>
    <row r="448" spans="2:14" x14ac:dyDescent="0.25">
      <c r="B448" s="723"/>
      <c r="C448" s="742"/>
      <c r="D448" s="789" t="s">
        <v>1102</v>
      </c>
      <c r="E448" s="726"/>
      <c r="F448" s="730">
        <v>1</v>
      </c>
      <c r="G448" s="801">
        <v>5.17</v>
      </c>
      <c r="H448" s="815">
        <v>0.15</v>
      </c>
      <c r="I448" s="730">
        <v>0.12</v>
      </c>
      <c r="J448" s="251"/>
      <c r="K448" s="251">
        <f>F448*G448*H448*I448</f>
        <v>9.305999999999999E-2</v>
      </c>
      <c r="L448" s="251"/>
      <c r="M448" s="251"/>
      <c r="N448" s="251"/>
    </row>
    <row r="449" spans="2:14" x14ac:dyDescent="0.25">
      <c r="B449" s="723"/>
      <c r="C449" s="742"/>
      <c r="D449" s="746" t="s">
        <v>1096</v>
      </c>
      <c r="E449" s="726"/>
      <c r="F449" s="730"/>
      <c r="G449" s="750"/>
      <c r="H449" s="726"/>
      <c r="I449" s="730"/>
      <c r="J449" s="251"/>
      <c r="K449" s="251"/>
      <c r="L449" s="251"/>
      <c r="M449" s="251"/>
      <c r="N449" s="251"/>
    </row>
    <row r="450" spans="2:14" x14ac:dyDescent="0.25">
      <c r="B450" s="723"/>
      <c r="C450" s="742"/>
      <c r="D450" s="812" t="s">
        <v>1097</v>
      </c>
      <c r="E450" s="726"/>
      <c r="F450" s="730">
        <v>3</v>
      </c>
      <c r="G450" s="728">
        <v>0.25</v>
      </c>
      <c r="H450" s="729">
        <v>0.15</v>
      </c>
      <c r="I450" s="730">
        <v>0.95</v>
      </c>
      <c r="J450" s="251"/>
      <c r="K450" s="251">
        <f>F450*G450*H450*I450</f>
        <v>0.10687499999999998</v>
      </c>
      <c r="L450" s="251"/>
      <c r="M450" s="251"/>
      <c r="N450" s="251"/>
    </row>
    <row r="451" spans="2:14" x14ac:dyDescent="0.25">
      <c r="B451" s="723"/>
      <c r="C451" s="742"/>
      <c r="D451" s="747"/>
      <c r="E451" s="726"/>
      <c r="F451" s="730"/>
      <c r="G451" s="798"/>
      <c r="H451" s="798"/>
      <c r="I451" s="807"/>
      <c r="J451" s="251"/>
      <c r="K451" s="251"/>
      <c r="L451" s="251"/>
      <c r="M451" s="251"/>
      <c r="N451" s="251"/>
    </row>
    <row r="452" spans="2:14" ht="22.5" x14ac:dyDescent="0.25">
      <c r="B452" s="723" t="s">
        <v>126</v>
      </c>
      <c r="C452" s="814">
        <v>103670</v>
      </c>
      <c r="D452" s="789" t="s">
        <v>71</v>
      </c>
      <c r="E452" s="726" t="s">
        <v>41</v>
      </c>
      <c r="F452" s="727"/>
      <c r="G452" s="770" t="s">
        <v>1123</v>
      </c>
      <c r="H452" s="771"/>
      <c r="I452" s="772"/>
      <c r="J452" s="251">
        <f>'BOLETIM DE MEDIÇÃO 10'!R52-'MEMORIAL DE CÁLCULO 10'!K452</f>
        <v>61.558524989999981</v>
      </c>
      <c r="K452" s="250">
        <f>SUM(K453)</f>
        <v>20.09</v>
      </c>
      <c r="L452" s="251">
        <f>J452+K452</f>
        <v>81.648524989999984</v>
      </c>
      <c r="M452" s="251">
        <f>'BOLETIM DE MEDIÇÃO 10'!G52</f>
        <v>81.650000000000006</v>
      </c>
      <c r="N452" s="251">
        <f>M452-L452</f>
        <v>1.4750100000213706E-3</v>
      </c>
    </row>
    <row r="453" spans="2:14" x14ac:dyDescent="0.25">
      <c r="B453" s="723"/>
      <c r="C453" s="814"/>
      <c r="D453" s="747" t="s">
        <v>1124</v>
      </c>
      <c r="E453" s="726"/>
      <c r="F453" s="727">
        <v>1</v>
      </c>
      <c r="G453" s="739">
        <f>K440</f>
        <v>20.09</v>
      </c>
      <c r="H453" s="740"/>
      <c r="I453" s="741"/>
      <c r="J453" s="251"/>
      <c r="K453" s="251">
        <f>G453*F453</f>
        <v>20.09</v>
      </c>
      <c r="L453" s="251"/>
      <c r="M453" s="251"/>
      <c r="N453" s="251"/>
    </row>
    <row r="454" spans="2:14" x14ac:dyDescent="0.25">
      <c r="B454" s="723"/>
      <c r="C454" s="814"/>
      <c r="D454" s="789"/>
      <c r="E454" s="726"/>
      <c r="F454" s="727"/>
      <c r="G454" s="728"/>
      <c r="H454" s="822"/>
      <c r="I454" s="730"/>
      <c r="J454" s="251"/>
      <c r="K454" s="251"/>
      <c r="L454" s="251"/>
      <c r="M454" s="251"/>
      <c r="N454" s="251"/>
    </row>
    <row r="455" spans="2:14" ht="33.75" x14ac:dyDescent="0.25">
      <c r="B455" s="723" t="s">
        <v>127</v>
      </c>
      <c r="C455" s="814">
        <v>92771</v>
      </c>
      <c r="D455" s="789" t="s">
        <v>129</v>
      </c>
      <c r="E455" s="726" t="s">
        <v>62</v>
      </c>
      <c r="F455" s="727"/>
      <c r="G455" s="770" t="s">
        <v>1125</v>
      </c>
      <c r="H455" s="771"/>
      <c r="I455" s="772"/>
      <c r="J455" s="251">
        <f>'BOLETIM DE MEDIÇÃO 10'!R53-'MEMORIAL DE CÁLCULO 10'!K455</f>
        <v>312.29999999999995</v>
      </c>
      <c r="K455" s="250">
        <v>94.6</v>
      </c>
      <c r="L455" s="251">
        <f>J455+K455</f>
        <v>406.9</v>
      </c>
      <c r="M455" s="251">
        <f>'BOLETIM DE MEDIÇÃO 10'!G53</f>
        <v>406.9</v>
      </c>
      <c r="N455" s="251">
        <f>M455-L455</f>
        <v>0</v>
      </c>
    </row>
    <row r="456" spans="2:14" x14ac:dyDescent="0.25">
      <c r="B456" s="723"/>
      <c r="C456" s="814"/>
      <c r="D456" s="725" t="s">
        <v>1095</v>
      </c>
      <c r="E456" s="726"/>
      <c r="F456" s="727">
        <v>1</v>
      </c>
      <c r="G456" s="790">
        <v>312.3</v>
      </c>
      <c r="H456" s="791"/>
      <c r="I456" s="792"/>
      <c r="J456" s="251"/>
      <c r="K456" s="251">
        <f>F456*G456</f>
        <v>312.3</v>
      </c>
      <c r="L456" s="251"/>
      <c r="M456" s="251"/>
      <c r="N456" s="251"/>
    </row>
    <row r="457" spans="2:14" ht="22.5" x14ac:dyDescent="0.25">
      <c r="B457" s="723"/>
      <c r="C457" s="814"/>
      <c r="D457" s="747" t="s">
        <v>1117</v>
      </c>
      <c r="E457" s="726"/>
      <c r="F457" s="730">
        <v>1</v>
      </c>
      <c r="G457" s="739">
        <v>94.6</v>
      </c>
      <c r="H457" s="740"/>
      <c r="I457" s="741"/>
      <c r="J457" s="251"/>
      <c r="K457" s="251">
        <f>F457*G457</f>
        <v>94.6</v>
      </c>
      <c r="L457" s="251"/>
      <c r="M457" s="251"/>
      <c r="N457" s="251"/>
    </row>
    <row r="458" spans="2:14" x14ac:dyDescent="0.25">
      <c r="B458" s="723"/>
      <c r="C458" s="814"/>
      <c r="D458" s="789"/>
      <c r="E458" s="726"/>
      <c r="F458" s="727"/>
      <c r="G458" s="728"/>
      <c r="H458" s="822"/>
      <c r="I458" s="730"/>
      <c r="J458" s="251"/>
      <c r="K458" s="251"/>
      <c r="L458" s="251"/>
      <c r="M458" s="251"/>
      <c r="N458" s="251"/>
    </row>
    <row r="459" spans="2:14" x14ac:dyDescent="0.25">
      <c r="B459" s="723"/>
      <c r="C459" s="814"/>
      <c r="D459" s="789"/>
      <c r="E459" s="726"/>
      <c r="F459" s="727"/>
      <c r="G459" s="728"/>
      <c r="H459" s="822"/>
      <c r="I459" s="730"/>
      <c r="J459" s="251"/>
      <c r="K459" s="251"/>
      <c r="L459" s="251"/>
      <c r="M459" s="251"/>
      <c r="N459" s="251"/>
    </row>
    <row r="460" spans="2:14" ht="33.75" hidden="1" x14ac:dyDescent="0.25">
      <c r="B460" s="723" t="s">
        <v>130</v>
      </c>
      <c r="C460" s="742">
        <v>92772</v>
      </c>
      <c r="D460" s="725" t="s">
        <v>132</v>
      </c>
      <c r="E460" s="726" t="s">
        <v>62</v>
      </c>
      <c r="F460" s="727"/>
      <c r="G460" s="728"/>
      <c r="H460" s="726"/>
      <c r="I460" s="730"/>
      <c r="J460" s="251"/>
      <c r="K460" s="251">
        <f>(F460*G460*I460)</f>
        <v>0</v>
      </c>
      <c r="L460" s="251"/>
      <c r="M460" s="251"/>
      <c r="N460" s="251"/>
    </row>
    <row r="461" spans="2:14" x14ac:dyDescent="0.25">
      <c r="B461" s="743">
        <v>1.5</v>
      </c>
      <c r="C461" s="744" t="s">
        <v>134</v>
      </c>
      <c r="D461" s="725"/>
      <c r="E461" s="726"/>
      <c r="F461" s="727"/>
      <c r="G461" s="728"/>
      <c r="H461" s="726"/>
      <c r="I461" s="730"/>
      <c r="J461" s="251"/>
      <c r="K461" s="251">
        <f>(F461*G461*I461)</f>
        <v>0</v>
      </c>
      <c r="L461" s="251"/>
      <c r="M461" s="251"/>
      <c r="N461" s="251"/>
    </row>
    <row r="462" spans="2:14" ht="45" x14ac:dyDescent="0.25">
      <c r="B462" s="723" t="s">
        <v>135</v>
      </c>
      <c r="C462" s="742">
        <v>103356</v>
      </c>
      <c r="D462" s="725" t="s">
        <v>137</v>
      </c>
      <c r="E462" s="750" t="s">
        <v>17</v>
      </c>
      <c r="F462" s="727"/>
      <c r="G462" s="770" t="s">
        <v>1126</v>
      </c>
      <c r="H462" s="771"/>
      <c r="I462" s="772"/>
      <c r="J462" s="251">
        <f>'BOLETIM DE MEDIÇÃO 10'!R56-'MEMORIAL DE CÁLCULO 10'!K462</f>
        <v>1131.9904999999999</v>
      </c>
      <c r="K462" s="250">
        <v>110.63</v>
      </c>
      <c r="L462" s="251">
        <f>J462+K462</f>
        <v>1242.6205</v>
      </c>
      <c r="M462" s="251">
        <f>'BOLETIM DE MEDIÇÃO 10'!G56</f>
        <v>1242.6199999999999</v>
      </c>
      <c r="N462" s="251">
        <f>M462-L462</f>
        <v>-5.0000000010186341E-4</v>
      </c>
    </row>
    <row r="463" spans="2:14" x14ac:dyDescent="0.25">
      <c r="B463" s="723"/>
      <c r="C463" s="742"/>
      <c r="D463" s="823" t="s">
        <v>1127</v>
      </c>
      <c r="E463" s="726"/>
      <c r="F463" s="730">
        <v>1</v>
      </c>
      <c r="G463" s="824">
        <f>1131.99</f>
        <v>1131.99</v>
      </c>
      <c r="H463" s="825"/>
      <c r="I463" s="826"/>
      <c r="J463" s="251"/>
      <c r="K463" s="251">
        <f>F463*G463</f>
        <v>1131.99</v>
      </c>
      <c r="L463" s="251"/>
      <c r="M463" s="251"/>
      <c r="N463" s="251"/>
    </row>
    <row r="464" spans="2:14" ht="23.25" x14ac:dyDescent="0.25">
      <c r="B464" s="723"/>
      <c r="C464" s="742"/>
      <c r="D464" s="827"/>
      <c r="E464" s="726"/>
      <c r="F464" s="730"/>
      <c r="G464" s="828" t="s">
        <v>1128</v>
      </c>
      <c r="H464" s="829" t="s">
        <v>651</v>
      </c>
      <c r="I464" s="778"/>
      <c r="J464" s="251"/>
      <c r="K464" s="251"/>
      <c r="L464" s="251"/>
      <c r="M464" s="251"/>
      <c r="N464" s="251"/>
    </row>
    <row r="465" spans="2:14" ht="22.5" x14ac:dyDescent="0.25">
      <c r="B465" s="723"/>
      <c r="C465" s="742"/>
      <c r="D465" s="827" t="s">
        <v>1129</v>
      </c>
      <c r="E465" s="726"/>
      <c r="F465" s="730">
        <v>1</v>
      </c>
      <c r="G465" s="750">
        <f>(5+8.66+12.76+15.62)</f>
        <v>42.04</v>
      </c>
      <c r="H465" s="750">
        <v>0.25</v>
      </c>
      <c r="I465" s="830"/>
      <c r="J465" s="251"/>
      <c r="K465" s="251">
        <f>F465*G465*H465</f>
        <v>10.51</v>
      </c>
      <c r="L465" s="251"/>
      <c r="M465" s="251"/>
      <c r="N465" s="251"/>
    </row>
    <row r="466" spans="2:14" ht="33.75" x14ac:dyDescent="0.25">
      <c r="B466" s="723"/>
      <c r="C466" s="742"/>
      <c r="D466" s="831" t="s">
        <v>1130</v>
      </c>
      <c r="E466" s="750"/>
      <c r="F466" s="730">
        <v>1</v>
      </c>
      <c r="G466" s="750">
        <v>29.39</v>
      </c>
      <c r="H466" s="750">
        <f>5-3.15</f>
        <v>1.85</v>
      </c>
      <c r="I466" s="830"/>
      <c r="J466" s="251"/>
      <c r="K466" s="251">
        <f>F466*G466*H466</f>
        <v>54.371500000000005</v>
      </c>
      <c r="L466" s="251"/>
      <c r="M466" s="251"/>
      <c r="N466" s="251"/>
    </row>
    <row r="467" spans="2:14" ht="22.5" x14ac:dyDescent="0.25">
      <c r="B467" s="723"/>
      <c r="C467" s="742"/>
      <c r="D467" s="831" t="s">
        <v>1131</v>
      </c>
      <c r="E467" s="750"/>
      <c r="F467" s="832">
        <v>1</v>
      </c>
      <c r="G467" s="833">
        <v>114.36</v>
      </c>
      <c r="H467" s="726">
        <v>0.4</v>
      </c>
      <c r="I467" s="830"/>
      <c r="J467" s="251"/>
      <c r="K467" s="251">
        <f>F467*G467*H467</f>
        <v>45.744</v>
      </c>
      <c r="L467" s="251"/>
      <c r="M467" s="251"/>
      <c r="N467" s="251"/>
    </row>
    <row r="468" spans="2:14" hidden="1" x14ac:dyDescent="0.25">
      <c r="B468" s="723"/>
      <c r="C468" s="742"/>
      <c r="D468" s="831"/>
      <c r="E468" s="750"/>
      <c r="F468" s="834"/>
      <c r="G468" s="835"/>
      <c r="H468" s="726"/>
      <c r="I468" s="730"/>
      <c r="J468" s="251"/>
      <c r="K468" s="251"/>
      <c r="L468" s="251"/>
      <c r="M468" s="251"/>
      <c r="N468" s="251"/>
    </row>
    <row r="469" spans="2:14" ht="22.5" hidden="1" x14ac:dyDescent="0.25">
      <c r="B469" s="723" t="s">
        <v>138</v>
      </c>
      <c r="C469" s="742">
        <v>93189</v>
      </c>
      <c r="D469" s="836" t="s">
        <v>140</v>
      </c>
      <c r="E469" s="726" t="s">
        <v>37</v>
      </c>
      <c r="F469" s="837"/>
      <c r="G469" s="770" t="s">
        <v>1132</v>
      </c>
      <c r="H469" s="771"/>
      <c r="I469" s="772"/>
      <c r="J469" s="251"/>
      <c r="K469" s="811">
        <f>SUM(K470:K472)</f>
        <v>10.199999999999999</v>
      </c>
      <c r="L469" s="251"/>
      <c r="M469" s="251"/>
      <c r="N469" s="251"/>
    </row>
    <row r="470" spans="2:14" hidden="1" x14ac:dyDescent="0.25">
      <c r="B470" s="723"/>
      <c r="C470" s="742"/>
      <c r="D470" s="838" t="s">
        <v>926</v>
      </c>
      <c r="E470" s="726"/>
      <c r="F470" s="730">
        <v>3</v>
      </c>
      <c r="G470" s="750">
        <v>1.5</v>
      </c>
      <c r="H470" s="822"/>
      <c r="I470" s="730"/>
      <c r="J470" s="251"/>
      <c r="K470" s="251">
        <f>F470*G470</f>
        <v>4.5</v>
      </c>
      <c r="L470" s="251"/>
      <c r="M470" s="251"/>
      <c r="N470" s="251"/>
    </row>
    <row r="471" spans="2:14" hidden="1" x14ac:dyDescent="0.25">
      <c r="B471" s="723"/>
      <c r="C471" s="742"/>
      <c r="D471" s="838" t="s">
        <v>927</v>
      </c>
      <c r="E471" s="726"/>
      <c r="F471" s="730">
        <v>1</v>
      </c>
      <c r="G471" s="750">
        <v>1.5</v>
      </c>
      <c r="H471" s="822"/>
      <c r="I471" s="730"/>
      <c r="J471" s="251"/>
      <c r="K471" s="251">
        <f>F471*G471</f>
        <v>1.5</v>
      </c>
      <c r="L471" s="251"/>
      <c r="M471" s="251"/>
      <c r="N471" s="251"/>
    </row>
    <row r="472" spans="2:14" hidden="1" x14ac:dyDescent="0.25">
      <c r="B472" s="723"/>
      <c r="C472" s="742"/>
      <c r="D472" s="838" t="s">
        <v>928</v>
      </c>
      <c r="E472" s="726"/>
      <c r="F472" s="730">
        <v>3</v>
      </c>
      <c r="G472" s="750">
        <v>1.4</v>
      </c>
      <c r="H472" s="822"/>
      <c r="I472" s="730"/>
      <c r="J472" s="251"/>
      <c r="K472" s="251">
        <f>F472*G472</f>
        <v>4.1999999999999993</v>
      </c>
      <c r="L472" s="251"/>
      <c r="M472" s="251"/>
      <c r="N472" s="251"/>
    </row>
    <row r="473" spans="2:14" ht="33.75" x14ac:dyDescent="0.25">
      <c r="B473" s="723" t="s">
        <v>141</v>
      </c>
      <c r="C473" s="742">
        <v>93191</v>
      </c>
      <c r="D473" s="725" t="s">
        <v>143</v>
      </c>
      <c r="E473" s="726" t="s">
        <v>37</v>
      </c>
      <c r="F473" s="730"/>
      <c r="G473" s="770" t="s">
        <v>1132</v>
      </c>
      <c r="H473" s="771"/>
      <c r="I473" s="772"/>
      <c r="J473" s="251">
        <f>'BOLETIM DE MEDIÇÃO 10'!R58-'MEMORIAL DE CÁLCULO 10'!K473</f>
        <v>72.2</v>
      </c>
      <c r="K473" s="250">
        <v>1.1000000000000001</v>
      </c>
      <c r="L473" s="251">
        <f>J473+K473</f>
        <v>73.3</v>
      </c>
      <c r="M473" s="251">
        <f>'BOLETIM DE MEDIÇÃO 10'!G58</f>
        <v>73.3</v>
      </c>
      <c r="N473" s="251">
        <f>M473-L473</f>
        <v>0</v>
      </c>
    </row>
    <row r="474" spans="2:14" x14ac:dyDescent="0.25">
      <c r="B474" s="723"/>
      <c r="C474" s="742"/>
      <c r="D474" s="823" t="s">
        <v>1127</v>
      </c>
      <c r="E474" s="726"/>
      <c r="F474" s="730">
        <v>1</v>
      </c>
      <c r="G474" s="824">
        <f>'[1]BOLETIM - ADITIVO 01'!G58</f>
        <v>72.2</v>
      </c>
      <c r="H474" s="825"/>
      <c r="I474" s="826"/>
      <c r="J474" s="251"/>
      <c r="K474" s="251">
        <f>F474*G474</f>
        <v>72.2</v>
      </c>
      <c r="L474" s="251"/>
      <c r="M474" s="251"/>
      <c r="N474" s="251"/>
    </row>
    <row r="475" spans="2:14" x14ac:dyDescent="0.25">
      <c r="B475" s="723"/>
      <c r="C475" s="742"/>
      <c r="D475" s="823" t="s">
        <v>1133</v>
      </c>
      <c r="E475" s="726"/>
      <c r="F475" s="730">
        <v>1</v>
      </c>
      <c r="G475" s="824">
        <v>1.1000000000000001</v>
      </c>
      <c r="H475" s="825"/>
      <c r="I475" s="826"/>
      <c r="J475" s="251"/>
      <c r="K475" s="251">
        <f>F475*G475</f>
        <v>1.1000000000000001</v>
      </c>
      <c r="L475" s="251"/>
      <c r="M475" s="251"/>
      <c r="N475" s="251"/>
    </row>
    <row r="476" spans="2:14" x14ac:dyDescent="0.25">
      <c r="B476" s="723"/>
      <c r="C476" s="742"/>
      <c r="D476" s="823"/>
      <c r="E476" s="726"/>
      <c r="F476" s="730"/>
      <c r="G476" s="839"/>
      <c r="H476" s="726"/>
      <c r="I476" s="730"/>
      <c r="J476" s="251"/>
      <c r="K476" s="251"/>
      <c r="L476" s="251"/>
      <c r="M476" s="251"/>
      <c r="N476" s="251"/>
    </row>
    <row r="477" spans="2:14" ht="22.5" x14ac:dyDescent="0.25">
      <c r="B477" s="723" t="s">
        <v>144</v>
      </c>
      <c r="C477" s="742">
        <v>93197</v>
      </c>
      <c r="D477" s="725" t="s">
        <v>146</v>
      </c>
      <c r="E477" s="726" t="s">
        <v>37</v>
      </c>
      <c r="F477" s="730"/>
      <c r="G477" s="770" t="s">
        <v>1134</v>
      </c>
      <c r="H477" s="771"/>
      <c r="I477" s="772"/>
      <c r="J477" s="251">
        <f>'BOLETIM DE MEDIÇÃO 10'!R59-'MEMORIAL DE CÁLCULO 10'!K477</f>
        <v>72.2</v>
      </c>
      <c r="K477" s="250">
        <v>1.1000000000000001</v>
      </c>
      <c r="L477" s="251">
        <f>J477+K477</f>
        <v>73.3</v>
      </c>
      <c r="M477" s="251">
        <f>'BOLETIM DE MEDIÇÃO 10'!G59</f>
        <v>73.3</v>
      </c>
      <c r="N477" s="251">
        <f>L477-M477</f>
        <v>0</v>
      </c>
    </row>
    <row r="478" spans="2:14" x14ac:dyDescent="0.25">
      <c r="B478" s="723"/>
      <c r="C478" s="742"/>
      <c r="D478" s="823" t="s">
        <v>1127</v>
      </c>
      <c r="E478" s="726"/>
      <c r="F478" s="730">
        <v>1</v>
      </c>
      <c r="G478" s="824">
        <f>'[1]BOLETIM - ADITIVO 01'!G59</f>
        <v>72.2</v>
      </c>
      <c r="H478" s="825"/>
      <c r="I478" s="826"/>
      <c r="J478" s="251"/>
      <c r="K478" s="251">
        <f>F478*G478</f>
        <v>72.2</v>
      </c>
      <c r="L478" s="251"/>
      <c r="M478" s="251"/>
      <c r="N478" s="251"/>
    </row>
    <row r="479" spans="2:14" x14ac:dyDescent="0.25">
      <c r="B479" s="723"/>
      <c r="C479" s="742"/>
      <c r="D479" s="823" t="s">
        <v>1135</v>
      </c>
      <c r="E479" s="726"/>
      <c r="F479" s="730">
        <v>1</v>
      </c>
      <c r="G479" s="824">
        <v>1.1000000000000001</v>
      </c>
      <c r="H479" s="825"/>
      <c r="I479" s="826"/>
      <c r="J479" s="251"/>
      <c r="K479" s="251">
        <f>F479*G479</f>
        <v>1.1000000000000001</v>
      </c>
      <c r="L479" s="251"/>
      <c r="M479" s="251"/>
      <c r="N479" s="251"/>
    </row>
    <row r="480" spans="2:14" x14ac:dyDescent="0.25">
      <c r="B480" s="723"/>
      <c r="C480" s="742"/>
      <c r="D480" s="823"/>
      <c r="E480" s="726"/>
      <c r="F480" s="730"/>
      <c r="G480" s="839"/>
      <c r="H480" s="726"/>
      <c r="I480" s="730"/>
      <c r="J480" s="251"/>
      <c r="K480" s="251"/>
      <c r="L480" s="251"/>
      <c r="M480" s="251"/>
      <c r="N480" s="251"/>
    </row>
    <row r="481" spans="2:14" x14ac:dyDescent="0.25">
      <c r="B481" s="743">
        <v>1.6</v>
      </c>
      <c r="C481" s="744" t="s">
        <v>148</v>
      </c>
      <c r="D481" s="725"/>
      <c r="E481" s="726"/>
      <c r="F481" s="730"/>
      <c r="G481" s="750"/>
      <c r="H481" s="726"/>
      <c r="I481" s="730"/>
      <c r="J481" s="251"/>
      <c r="K481" s="251"/>
      <c r="L481" s="251"/>
      <c r="M481" s="251"/>
      <c r="N481" s="251"/>
    </row>
    <row r="482" spans="2:14" ht="45" x14ac:dyDescent="0.25">
      <c r="B482" s="723" t="s">
        <v>149</v>
      </c>
      <c r="C482" s="742">
        <v>87893</v>
      </c>
      <c r="D482" s="725" t="s">
        <v>151</v>
      </c>
      <c r="E482" s="726" t="s">
        <v>17</v>
      </c>
      <c r="F482" s="730"/>
      <c r="G482" s="770" t="s">
        <v>1136</v>
      </c>
      <c r="H482" s="771"/>
      <c r="I482" s="772"/>
      <c r="J482" s="251">
        <f>'BOLETIM DE MEDIÇÃO 10'!R61-'MEMORIAL DE CÁLCULO 10'!K482</f>
        <v>1348.98</v>
      </c>
      <c r="K482" s="250">
        <v>380</v>
      </c>
      <c r="L482" s="251">
        <f>J482+K482</f>
        <v>1728.98</v>
      </c>
      <c r="M482" s="251">
        <f>'BOLETIM DE MEDIÇÃO 10'!G61</f>
        <v>2029.19</v>
      </c>
      <c r="N482" s="251">
        <f>M482-L482</f>
        <v>300.21000000000004</v>
      </c>
    </row>
    <row r="483" spans="2:14" x14ac:dyDescent="0.25">
      <c r="B483" s="723"/>
      <c r="C483" s="742"/>
      <c r="D483" s="746" t="s">
        <v>1137</v>
      </c>
      <c r="E483" s="726"/>
      <c r="F483" s="730">
        <v>1</v>
      </c>
      <c r="G483" s="739">
        <f>'[1]BOLETIM - ADITIVO 01'!H56</f>
        <v>1242.6154999999999</v>
      </c>
      <c r="H483" s="740"/>
      <c r="I483" s="741"/>
      <c r="J483" s="251"/>
      <c r="K483" s="251"/>
      <c r="L483" s="251"/>
      <c r="M483" s="251"/>
      <c r="N483" s="251"/>
    </row>
    <row r="484" spans="2:14" x14ac:dyDescent="0.25">
      <c r="B484" s="723"/>
      <c r="C484" s="742"/>
      <c r="D484" s="746" t="s">
        <v>1138</v>
      </c>
      <c r="E484" s="726"/>
      <c r="F484" s="730">
        <v>1</v>
      </c>
      <c r="G484" s="739">
        <f>'[1]BOLETIM - ADITIVO 01'!G61</f>
        <v>1348.98</v>
      </c>
      <c r="H484" s="740"/>
      <c r="I484" s="741"/>
      <c r="J484" s="251"/>
      <c r="K484" s="251"/>
      <c r="L484" s="251"/>
      <c r="M484" s="251"/>
      <c r="N484" s="251"/>
    </row>
    <row r="485" spans="2:14" x14ac:dyDescent="0.25">
      <c r="B485" s="723"/>
      <c r="C485" s="742"/>
      <c r="D485" s="748" t="s">
        <v>1139</v>
      </c>
      <c r="E485" s="726"/>
      <c r="F485" s="730">
        <v>1</v>
      </c>
      <c r="G485" s="739">
        <f>'[1]BOLETIM - ADITIVO 01'!G82</f>
        <v>466.37</v>
      </c>
      <c r="H485" s="740"/>
      <c r="I485" s="741"/>
      <c r="J485" s="251"/>
      <c r="K485" s="251"/>
      <c r="L485" s="251"/>
      <c r="M485" s="251"/>
      <c r="N485" s="251"/>
    </row>
    <row r="486" spans="2:14" ht="22.5" x14ac:dyDescent="0.25">
      <c r="B486" s="723"/>
      <c r="C486" s="742"/>
      <c r="D486" s="748" t="s">
        <v>1140</v>
      </c>
      <c r="E486" s="726"/>
      <c r="F486" s="730">
        <v>1</v>
      </c>
      <c r="G486" s="790">
        <f xml:space="preserve"> (G483*2) - (G484+G485)</f>
        <v>669.88099999999986</v>
      </c>
      <c r="H486" s="791"/>
      <c r="I486" s="792"/>
      <c r="J486" s="251"/>
      <c r="K486" s="251"/>
      <c r="L486" s="251"/>
      <c r="M486" s="251"/>
      <c r="N486" s="251"/>
    </row>
    <row r="487" spans="2:14" ht="22.5" x14ac:dyDescent="0.25">
      <c r="B487" s="723"/>
      <c r="C487" s="742"/>
      <c r="D487" s="748" t="s">
        <v>1141</v>
      </c>
      <c r="E487" s="726"/>
      <c r="F487" s="730">
        <v>1</v>
      </c>
      <c r="G487" s="790">
        <f>(17.22*0.6)</f>
        <v>10.331999999999999</v>
      </c>
      <c r="H487" s="791"/>
      <c r="I487" s="792"/>
      <c r="J487" s="251"/>
      <c r="K487" s="251"/>
      <c r="L487" s="251"/>
      <c r="M487" s="251"/>
      <c r="N487" s="251"/>
    </row>
    <row r="488" spans="2:14" x14ac:dyDescent="0.25">
      <c r="B488" s="723"/>
      <c r="C488" s="742"/>
      <c r="D488" s="748"/>
      <c r="E488" s="726"/>
      <c r="F488" s="730"/>
      <c r="G488" s="840"/>
      <c r="H488" s="799"/>
      <c r="I488" s="841"/>
      <c r="J488" s="251"/>
      <c r="K488" s="251"/>
      <c r="L488" s="251"/>
      <c r="M488" s="251"/>
      <c r="N488" s="251"/>
    </row>
    <row r="489" spans="2:14" ht="56.25" x14ac:dyDescent="0.25">
      <c r="B489" s="723" t="s">
        <v>152</v>
      </c>
      <c r="C489" s="742">
        <v>87548</v>
      </c>
      <c r="D489" s="725" t="s">
        <v>154</v>
      </c>
      <c r="E489" s="726" t="s">
        <v>17</v>
      </c>
      <c r="F489" s="730"/>
      <c r="G489" s="770" t="s">
        <v>1142</v>
      </c>
      <c r="H489" s="771"/>
      <c r="I489" s="772"/>
      <c r="J489" s="251">
        <f>'BOLETIM DE MEDIÇÃO 10'!R62-'MEMORIAL DE CÁLCULO 10'!K489</f>
        <v>997.10978599999999</v>
      </c>
      <c r="K489" s="250">
        <v>480</v>
      </c>
      <c r="L489" s="251">
        <f>J489+K489</f>
        <v>1477.109786</v>
      </c>
      <c r="M489" s="251">
        <f>'BOLETIM DE MEDIÇÃO 10'!G62</f>
        <v>1666.99</v>
      </c>
      <c r="N489" s="251">
        <f>M489-L489</f>
        <v>189.88021400000002</v>
      </c>
    </row>
    <row r="490" spans="2:14" x14ac:dyDescent="0.25">
      <c r="B490" s="723"/>
      <c r="C490" s="742"/>
      <c r="D490" s="746" t="s">
        <v>1143</v>
      </c>
      <c r="E490" s="726"/>
      <c r="F490" s="730">
        <v>1</v>
      </c>
      <c r="G490" s="739">
        <f>G483*2</f>
        <v>2485.2309999999998</v>
      </c>
      <c r="H490" s="740"/>
      <c r="I490" s="741"/>
      <c r="J490" s="251"/>
      <c r="K490" s="251"/>
      <c r="L490" s="251"/>
      <c r="M490" s="251"/>
      <c r="N490" s="251"/>
    </row>
    <row r="491" spans="2:14" x14ac:dyDescent="0.25">
      <c r="B491" s="723"/>
      <c r="C491" s="742"/>
      <c r="D491" s="746" t="s">
        <v>1144</v>
      </c>
      <c r="E491" s="726"/>
      <c r="F491" s="730">
        <v>1</v>
      </c>
      <c r="G491" s="739">
        <f>'[1]BOLETIM - ADITIVO 01'!G63</f>
        <v>351.87</v>
      </c>
      <c r="H491" s="740"/>
      <c r="I491" s="741"/>
      <c r="J491" s="251"/>
      <c r="K491" s="251"/>
      <c r="L491" s="251"/>
      <c r="M491" s="251"/>
      <c r="N491" s="251"/>
    </row>
    <row r="492" spans="2:14" x14ac:dyDescent="0.25">
      <c r="B492" s="723"/>
      <c r="C492" s="742"/>
      <c r="D492" s="746" t="s">
        <v>1145</v>
      </c>
      <c r="E492" s="726"/>
      <c r="F492" s="730">
        <v>1</v>
      </c>
      <c r="G492" s="739">
        <f>'[1]BOLETIM - ADITIVO 01'!G62</f>
        <v>997.11</v>
      </c>
      <c r="H492" s="740"/>
      <c r="I492" s="741"/>
      <c r="J492" s="251"/>
      <c r="K492" s="251"/>
      <c r="L492" s="251"/>
      <c r="M492" s="251"/>
      <c r="N492" s="251"/>
    </row>
    <row r="493" spans="2:14" x14ac:dyDescent="0.25">
      <c r="B493" s="723"/>
      <c r="C493" s="742"/>
      <c r="D493" s="746" t="s">
        <v>1146</v>
      </c>
      <c r="E493" s="726"/>
      <c r="F493" s="730">
        <v>1</v>
      </c>
      <c r="G493" s="739">
        <f>'[1]BOLETIM - ADITIVO 01'!G83</f>
        <v>466.37</v>
      </c>
      <c r="H493" s="740"/>
      <c r="I493" s="741"/>
      <c r="J493" s="251"/>
      <c r="K493" s="251"/>
      <c r="L493" s="251"/>
      <c r="M493" s="251"/>
      <c r="N493" s="251"/>
    </row>
    <row r="494" spans="2:14" ht="48.6" customHeight="1" x14ac:dyDescent="0.25">
      <c r="B494" s="723"/>
      <c r="C494" s="742"/>
      <c r="D494" s="748" t="s">
        <v>1147</v>
      </c>
      <c r="E494" s="726"/>
      <c r="F494" s="730"/>
      <c r="G494" s="790">
        <f>G490-(SUM(G491:I493))</f>
        <v>669.88099999999986</v>
      </c>
      <c r="H494" s="791"/>
      <c r="I494" s="792"/>
      <c r="J494" s="251"/>
      <c r="K494" s="251"/>
      <c r="L494" s="251"/>
      <c r="M494" s="251"/>
      <c r="N494" s="251"/>
    </row>
    <row r="495" spans="2:14" ht="56.25" hidden="1" x14ac:dyDescent="0.25">
      <c r="B495" s="723" t="s">
        <v>155</v>
      </c>
      <c r="C495" s="742">
        <v>87536</v>
      </c>
      <c r="D495" s="725" t="s">
        <v>157</v>
      </c>
      <c r="E495" s="726" t="s">
        <v>17</v>
      </c>
      <c r="F495" s="730"/>
      <c r="G495" s="750"/>
      <c r="H495" s="726"/>
      <c r="I495" s="730"/>
      <c r="J495" s="251"/>
      <c r="K495" s="251">
        <f>(F495*G495*I495)</f>
        <v>0</v>
      </c>
      <c r="L495" s="251"/>
      <c r="M495" s="251"/>
      <c r="N495" s="251"/>
    </row>
    <row r="496" spans="2:14" ht="33.75" hidden="1" x14ac:dyDescent="0.25">
      <c r="B496" s="723" t="s">
        <v>158</v>
      </c>
      <c r="C496" s="742">
        <v>87275</v>
      </c>
      <c r="D496" s="725" t="s">
        <v>160</v>
      </c>
      <c r="E496" s="726" t="s">
        <v>17</v>
      </c>
      <c r="F496" s="730"/>
      <c r="G496" s="750"/>
      <c r="H496" s="726"/>
      <c r="I496" s="730"/>
      <c r="J496" s="251"/>
      <c r="K496" s="251">
        <f>(F496*G496*I496)</f>
        <v>0</v>
      </c>
      <c r="L496" s="251"/>
      <c r="M496" s="251"/>
      <c r="N496" s="251"/>
    </row>
    <row r="497" spans="2:14" hidden="1" x14ac:dyDescent="0.25">
      <c r="B497" s="743">
        <v>1.7</v>
      </c>
      <c r="C497" s="744" t="s">
        <v>162</v>
      </c>
      <c r="D497" s="725"/>
      <c r="E497" s="726"/>
      <c r="F497" s="730"/>
      <c r="G497" s="750"/>
      <c r="H497" s="726"/>
      <c r="I497" s="730"/>
      <c r="J497" s="251"/>
      <c r="K497" s="251"/>
      <c r="L497" s="251"/>
      <c r="M497" s="251"/>
      <c r="N497" s="251"/>
    </row>
    <row r="498" spans="2:14" ht="56.25" hidden="1" x14ac:dyDescent="0.25">
      <c r="B498" s="723" t="s">
        <v>163</v>
      </c>
      <c r="C498" s="814">
        <v>91315</v>
      </c>
      <c r="D498" s="789" t="s">
        <v>165</v>
      </c>
      <c r="E498" s="726" t="s">
        <v>166</v>
      </c>
      <c r="F498" s="730"/>
      <c r="G498" s="750"/>
      <c r="H498" s="822"/>
      <c r="I498" s="730"/>
      <c r="J498" s="251"/>
      <c r="K498" s="251">
        <f>(F498*G498*I498)</f>
        <v>0</v>
      </c>
      <c r="L498" s="251"/>
      <c r="M498" s="251"/>
      <c r="N498" s="251"/>
    </row>
    <row r="499" spans="2:14" ht="56.25" hidden="1" x14ac:dyDescent="0.25">
      <c r="B499" s="723" t="s">
        <v>167</v>
      </c>
      <c r="C499" s="742">
        <v>94570</v>
      </c>
      <c r="D499" s="725" t="s">
        <v>169</v>
      </c>
      <c r="E499" s="726" t="s">
        <v>17</v>
      </c>
      <c r="F499" s="730"/>
      <c r="G499" s="770" t="s">
        <v>1148</v>
      </c>
      <c r="H499" s="771"/>
      <c r="I499" s="772"/>
      <c r="J499" s="251"/>
      <c r="K499" s="250">
        <f>SUM(K500:K501)</f>
        <v>50.800000000000004</v>
      </c>
      <c r="L499" s="251"/>
      <c r="M499" s="251"/>
      <c r="N499" s="251"/>
    </row>
    <row r="500" spans="2:14" hidden="1" x14ac:dyDescent="0.25">
      <c r="B500" s="723"/>
      <c r="C500" s="742"/>
      <c r="D500" s="746" t="s">
        <v>1149</v>
      </c>
      <c r="E500" s="726"/>
      <c r="F500" s="727">
        <v>1</v>
      </c>
      <c r="G500" s="739">
        <f>'[1]BOLETIM - ADITIVO 01'!G67</f>
        <v>49.7</v>
      </c>
      <c r="H500" s="740"/>
      <c r="I500" s="741"/>
      <c r="J500" s="251"/>
      <c r="K500" s="251">
        <f>F500*G500</f>
        <v>49.7</v>
      </c>
      <c r="L500" s="251"/>
      <c r="M500" s="251"/>
      <c r="N500" s="251"/>
    </row>
    <row r="501" spans="2:14" hidden="1" x14ac:dyDescent="0.25">
      <c r="B501" s="723"/>
      <c r="C501" s="742"/>
      <c r="D501" s="725" t="s">
        <v>1150</v>
      </c>
      <c r="E501" s="726"/>
      <c r="F501" s="730">
        <v>1</v>
      </c>
      <c r="G501" s="750">
        <v>1.1000000000000001</v>
      </c>
      <c r="H501" s="726">
        <v>1</v>
      </c>
      <c r="I501" s="730"/>
      <c r="J501" s="251"/>
      <c r="K501" s="251">
        <f>G501*H501</f>
        <v>1.1000000000000001</v>
      </c>
      <c r="L501" s="251"/>
      <c r="M501" s="251"/>
      <c r="N501" s="251"/>
    </row>
    <row r="502" spans="2:14" hidden="1" x14ac:dyDescent="0.25">
      <c r="B502" s="723"/>
      <c r="C502" s="742"/>
      <c r="D502" s="725"/>
      <c r="E502" s="726"/>
      <c r="F502" s="730"/>
      <c r="G502" s="750"/>
      <c r="H502" s="726"/>
      <c r="I502" s="730"/>
      <c r="J502" s="251"/>
      <c r="K502" s="251"/>
      <c r="L502" s="251"/>
      <c r="M502" s="251"/>
      <c r="N502" s="251"/>
    </row>
    <row r="503" spans="2:14" ht="56.25" hidden="1" x14ac:dyDescent="0.25">
      <c r="B503" s="723" t="s">
        <v>170</v>
      </c>
      <c r="C503" s="742">
        <v>100689</v>
      </c>
      <c r="D503" s="725" t="s">
        <v>172</v>
      </c>
      <c r="E503" s="726" t="s">
        <v>166</v>
      </c>
      <c r="F503" s="730"/>
      <c r="G503" s="750"/>
      <c r="H503" s="726"/>
      <c r="I503" s="730"/>
      <c r="J503" s="251"/>
      <c r="K503" s="251">
        <f t="shared" ref="K503:K509" si="12">(F503*G503*I503)</f>
        <v>0</v>
      </c>
      <c r="L503" s="251"/>
      <c r="M503" s="251"/>
      <c r="N503" s="251"/>
    </row>
    <row r="504" spans="2:14" ht="33.75" hidden="1" x14ac:dyDescent="0.25">
      <c r="B504" s="723" t="s">
        <v>173</v>
      </c>
      <c r="C504" s="724" t="s">
        <v>174</v>
      </c>
      <c r="D504" s="725" t="s">
        <v>175</v>
      </c>
      <c r="E504" s="726" t="s">
        <v>5</v>
      </c>
      <c r="F504" s="730"/>
      <c r="G504" s="750"/>
      <c r="H504" s="726"/>
      <c r="I504" s="730"/>
      <c r="J504" s="251"/>
      <c r="K504" s="251">
        <f t="shared" si="12"/>
        <v>0</v>
      </c>
      <c r="L504" s="251"/>
      <c r="M504" s="251"/>
      <c r="N504" s="251"/>
    </row>
    <row r="505" spans="2:14" ht="33.75" hidden="1" x14ac:dyDescent="0.25">
      <c r="B505" s="723" t="s">
        <v>176</v>
      </c>
      <c r="C505" s="724" t="s">
        <v>177</v>
      </c>
      <c r="D505" s="725" t="s">
        <v>178</v>
      </c>
      <c r="E505" s="726" t="s">
        <v>5</v>
      </c>
      <c r="F505" s="730"/>
      <c r="G505" s="750"/>
      <c r="H505" s="726"/>
      <c r="I505" s="730"/>
      <c r="J505" s="251"/>
      <c r="K505" s="251">
        <f t="shared" si="12"/>
        <v>0</v>
      </c>
      <c r="L505" s="251"/>
      <c r="M505" s="251"/>
      <c r="N505" s="251"/>
    </row>
    <row r="506" spans="2:14" ht="33.75" hidden="1" x14ac:dyDescent="0.25">
      <c r="B506" s="723" t="s">
        <v>179</v>
      </c>
      <c r="C506" s="742">
        <v>91341</v>
      </c>
      <c r="D506" s="725" t="s">
        <v>181</v>
      </c>
      <c r="E506" s="726" t="s">
        <v>17</v>
      </c>
      <c r="F506" s="730"/>
      <c r="G506" s="750"/>
      <c r="H506" s="726"/>
      <c r="I506" s="730"/>
      <c r="J506" s="251"/>
      <c r="K506" s="251">
        <f t="shared" si="12"/>
        <v>0</v>
      </c>
      <c r="L506" s="251"/>
      <c r="M506" s="251"/>
      <c r="N506" s="251"/>
    </row>
    <row r="507" spans="2:14" ht="33.75" hidden="1" x14ac:dyDescent="0.25">
      <c r="B507" s="723" t="s">
        <v>182</v>
      </c>
      <c r="C507" s="742">
        <v>100702</v>
      </c>
      <c r="D507" s="725" t="s">
        <v>184</v>
      </c>
      <c r="E507" s="726" t="s">
        <v>17</v>
      </c>
      <c r="F507" s="730"/>
      <c r="G507" s="750"/>
      <c r="H507" s="726"/>
      <c r="I507" s="730"/>
      <c r="J507" s="251"/>
      <c r="K507" s="251">
        <f t="shared" si="12"/>
        <v>0</v>
      </c>
      <c r="L507" s="251"/>
      <c r="M507" s="251"/>
      <c r="N507" s="251"/>
    </row>
    <row r="508" spans="2:14" ht="45" hidden="1" x14ac:dyDescent="0.25">
      <c r="B508" s="723" t="s">
        <v>185</v>
      </c>
      <c r="C508" s="742">
        <v>90831</v>
      </c>
      <c r="D508" s="725" t="s">
        <v>187</v>
      </c>
      <c r="E508" s="726" t="s">
        <v>166</v>
      </c>
      <c r="F508" s="730"/>
      <c r="G508" s="750"/>
      <c r="H508" s="726"/>
      <c r="I508" s="730"/>
      <c r="J508" s="251"/>
      <c r="K508" s="251">
        <f t="shared" si="12"/>
        <v>0</v>
      </c>
      <c r="L508" s="251"/>
      <c r="M508" s="251"/>
      <c r="N508" s="251"/>
    </row>
    <row r="509" spans="2:14" hidden="1" x14ac:dyDescent="0.25">
      <c r="B509" s="743">
        <v>1.8</v>
      </c>
      <c r="C509" s="744" t="s">
        <v>189</v>
      </c>
      <c r="D509" s="725"/>
      <c r="E509" s="822"/>
      <c r="F509" s="730"/>
      <c r="G509" s="750"/>
      <c r="H509" s="726"/>
      <c r="I509" s="730"/>
      <c r="J509" s="251"/>
      <c r="K509" s="251">
        <f t="shared" si="12"/>
        <v>0</v>
      </c>
      <c r="L509" s="251"/>
      <c r="M509" s="251"/>
      <c r="N509" s="251"/>
    </row>
    <row r="510" spans="2:14" ht="22.5" hidden="1" x14ac:dyDescent="0.25">
      <c r="B510" s="723" t="s">
        <v>190</v>
      </c>
      <c r="C510" s="742">
        <v>88485</v>
      </c>
      <c r="D510" s="725" t="s">
        <v>192</v>
      </c>
      <c r="E510" s="822" t="s">
        <v>17</v>
      </c>
      <c r="F510" s="730"/>
      <c r="G510" s="770" t="s">
        <v>1151</v>
      </c>
      <c r="H510" s="771"/>
      <c r="I510" s="772"/>
      <c r="J510" s="251"/>
      <c r="K510" s="250">
        <f>SUM(G511:I512)</f>
        <v>2474.2197860000001</v>
      </c>
      <c r="L510" s="251"/>
      <c r="M510" s="251"/>
      <c r="N510" s="251"/>
    </row>
    <row r="511" spans="2:14" hidden="1" x14ac:dyDescent="0.25">
      <c r="B511" s="723"/>
      <c r="C511" s="742"/>
      <c r="D511" s="746" t="s">
        <v>1127</v>
      </c>
      <c r="E511" s="822"/>
      <c r="F511" s="730">
        <v>1</v>
      </c>
      <c r="G511" s="739">
        <f>'[1]BOLETIM - ADITIVO 01'!G75</f>
        <v>997.11</v>
      </c>
      <c r="H511" s="740"/>
      <c r="I511" s="741"/>
      <c r="J511" s="251"/>
      <c r="K511" s="251"/>
      <c r="L511" s="251"/>
      <c r="M511" s="251"/>
      <c r="N511" s="251"/>
    </row>
    <row r="512" spans="2:14" hidden="1" x14ac:dyDescent="0.25">
      <c r="B512" s="723"/>
      <c r="C512" s="742"/>
      <c r="D512" s="746" t="s">
        <v>1152</v>
      </c>
      <c r="E512" s="822"/>
      <c r="F512" s="730">
        <v>1</v>
      </c>
      <c r="G512" s="739">
        <f>L489</f>
        <v>1477.109786</v>
      </c>
      <c r="H512" s="740"/>
      <c r="I512" s="741"/>
      <c r="J512" s="251"/>
      <c r="K512" s="251"/>
      <c r="L512" s="251"/>
      <c r="M512" s="251"/>
      <c r="N512" s="251"/>
    </row>
    <row r="513" spans="2:14" ht="22.5" hidden="1" x14ac:dyDescent="0.25">
      <c r="B513" s="723" t="s">
        <v>193</v>
      </c>
      <c r="C513" s="742">
        <v>88495</v>
      </c>
      <c r="D513" s="725" t="s">
        <v>195</v>
      </c>
      <c r="E513" s="822" t="s">
        <v>17</v>
      </c>
      <c r="F513" s="730"/>
      <c r="G513" s="770" t="s">
        <v>1153</v>
      </c>
      <c r="H513" s="771"/>
      <c r="I513" s="772"/>
      <c r="J513" s="251"/>
      <c r="K513" s="250">
        <f>SUM(G514:I515)</f>
        <v>2474.2197860000001</v>
      </c>
      <c r="L513" s="251"/>
      <c r="M513" s="251"/>
      <c r="N513" s="251"/>
    </row>
    <row r="514" spans="2:14" hidden="1" x14ac:dyDescent="0.25">
      <c r="B514" s="723"/>
      <c r="C514" s="742"/>
      <c r="D514" s="746" t="s">
        <v>1127</v>
      </c>
      <c r="E514" s="822"/>
      <c r="F514" s="730">
        <v>1</v>
      </c>
      <c r="G514" s="739">
        <f>'[1]BOLETIM - ADITIVO 01'!G76</f>
        <v>997.11</v>
      </c>
      <c r="H514" s="740"/>
      <c r="I514" s="741"/>
      <c r="J514" s="251"/>
      <c r="K514" s="251"/>
      <c r="L514" s="251"/>
      <c r="M514" s="251"/>
      <c r="N514" s="251"/>
    </row>
    <row r="515" spans="2:14" hidden="1" x14ac:dyDescent="0.25">
      <c r="B515" s="723"/>
      <c r="C515" s="742"/>
      <c r="D515" s="746" t="s">
        <v>1152</v>
      </c>
      <c r="E515" s="822"/>
      <c r="F515" s="730">
        <v>1</v>
      </c>
      <c r="G515" s="739">
        <f>L489</f>
        <v>1477.109786</v>
      </c>
      <c r="H515" s="740"/>
      <c r="I515" s="741"/>
      <c r="J515" s="251"/>
      <c r="K515" s="251"/>
      <c r="L515" s="251"/>
      <c r="M515" s="251"/>
      <c r="N515" s="251"/>
    </row>
    <row r="516" spans="2:14" ht="22.5" hidden="1" x14ac:dyDescent="0.25">
      <c r="B516" s="723" t="s">
        <v>196</v>
      </c>
      <c r="C516" s="742">
        <v>88489</v>
      </c>
      <c r="D516" s="725" t="s">
        <v>198</v>
      </c>
      <c r="E516" s="822" t="s">
        <v>17</v>
      </c>
      <c r="F516" s="730"/>
      <c r="G516" s="770" t="s">
        <v>1154</v>
      </c>
      <c r="H516" s="771"/>
      <c r="I516" s="772"/>
      <c r="J516" s="251"/>
      <c r="K516" s="250">
        <f>SUM(G517:I518)</f>
        <v>2474.2197860000001</v>
      </c>
      <c r="L516" s="251"/>
      <c r="M516" s="251"/>
      <c r="N516" s="251"/>
    </row>
    <row r="517" spans="2:14" hidden="1" x14ac:dyDescent="0.25">
      <c r="B517" s="723"/>
      <c r="C517" s="742"/>
      <c r="D517" s="746" t="s">
        <v>1127</v>
      </c>
      <c r="E517" s="822"/>
      <c r="F517" s="730">
        <v>1</v>
      </c>
      <c r="G517" s="739">
        <f>'[1]BOLETIM - ADITIVO 01'!G77</f>
        <v>997.11</v>
      </c>
      <c r="H517" s="740"/>
      <c r="I517" s="741"/>
      <c r="J517" s="251"/>
      <c r="K517" s="251"/>
      <c r="L517" s="251"/>
      <c r="M517" s="251"/>
      <c r="N517" s="251"/>
    </row>
    <row r="518" spans="2:14" hidden="1" x14ac:dyDescent="0.25">
      <c r="B518" s="723"/>
      <c r="C518" s="742"/>
      <c r="D518" s="746" t="s">
        <v>1152</v>
      </c>
      <c r="E518" s="822"/>
      <c r="F518" s="730">
        <v>1</v>
      </c>
      <c r="G518" s="739">
        <f>L489</f>
        <v>1477.109786</v>
      </c>
      <c r="H518" s="740"/>
      <c r="I518" s="741"/>
      <c r="J518" s="251"/>
      <c r="K518" s="251"/>
      <c r="L518" s="251"/>
      <c r="M518" s="251"/>
      <c r="N518" s="251"/>
    </row>
    <row r="519" spans="2:14" ht="22.5" hidden="1" x14ac:dyDescent="0.25">
      <c r="B519" s="723" t="s">
        <v>199</v>
      </c>
      <c r="C519" s="742">
        <v>88484</v>
      </c>
      <c r="D519" s="725" t="s">
        <v>201</v>
      </c>
      <c r="E519" s="822" t="s">
        <v>17</v>
      </c>
      <c r="F519" s="730"/>
      <c r="G519" s="750"/>
      <c r="H519" s="726"/>
      <c r="I519" s="730"/>
      <c r="J519" s="251"/>
      <c r="K519" s="251">
        <f>(F519*G519*I519)</f>
        <v>0</v>
      </c>
      <c r="L519" s="251"/>
      <c r="M519" s="251"/>
      <c r="N519" s="251"/>
    </row>
    <row r="520" spans="2:14" ht="22.5" hidden="1" x14ac:dyDescent="0.25">
      <c r="B520" s="723" t="s">
        <v>202</v>
      </c>
      <c r="C520" s="742">
        <v>88494</v>
      </c>
      <c r="D520" s="725" t="s">
        <v>204</v>
      </c>
      <c r="E520" s="822" t="s">
        <v>17</v>
      </c>
      <c r="F520" s="730"/>
      <c r="G520" s="750"/>
      <c r="H520" s="726"/>
      <c r="I520" s="730"/>
      <c r="J520" s="251"/>
      <c r="K520" s="251">
        <f>(F520*G520*I520)</f>
        <v>0</v>
      </c>
      <c r="L520" s="251"/>
      <c r="M520" s="251"/>
      <c r="N520" s="251"/>
    </row>
    <row r="521" spans="2:14" ht="22.5" hidden="1" x14ac:dyDescent="0.25">
      <c r="B521" s="723" t="s">
        <v>205</v>
      </c>
      <c r="C521" s="742">
        <v>88488</v>
      </c>
      <c r="D521" s="725" t="s">
        <v>207</v>
      </c>
      <c r="E521" s="822" t="s">
        <v>17</v>
      </c>
      <c r="F521" s="730"/>
      <c r="G521" s="750"/>
      <c r="H521" s="726"/>
      <c r="I521" s="730"/>
      <c r="J521" s="251"/>
      <c r="K521" s="251">
        <f>(F521*G521*I521)</f>
        <v>0</v>
      </c>
      <c r="L521" s="251"/>
      <c r="M521" s="251"/>
      <c r="N521" s="251"/>
    </row>
    <row r="522" spans="2:14" hidden="1" x14ac:dyDescent="0.25">
      <c r="B522" s="842" t="s">
        <v>208</v>
      </c>
      <c r="C522" s="843" t="s">
        <v>209</v>
      </c>
      <c r="D522" s="765"/>
      <c r="E522" s="753"/>
      <c r="F522" s="844"/>
      <c r="G522" s="845"/>
      <c r="H522" s="755"/>
      <c r="I522" s="730"/>
      <c r="J522" s="251"/>
      <c r="K522" s="251"/>
      <c r="L522" s="251"/>
      <c r="M522" s="251"/>
      <c r="N522" s="251"/>
    </row>
    <row r="523" spans="2:14" ht="45" hidden="1" x14ac:dyDescent="0.25">
      <c r="B523" s="723" t="s">
        <v>210</v>
      </c>
      <c r="C523" s="742">
        <v>87894</v>
      </c>
      <c r="D523" s="725" t="s">
        <v>212</v>
      </c>
      <c r="E523" s="822" t="s">
        <v>17</v>
      </c>
      <c r="F523" s="730"/>
      <c r="G523" s="846" t="s">
        <v>1155</v>
      </c>
      <c r="H523" s="847"/>
      <c r="I523" s="848"/>
      <c r="J523" s="251"/>
      <c r="K523" s="250">
        <f>SUM(K524:K529)</f>
        <v>495.11250000000001</v>
      </c>
      <c r="L523" s="251"/>
      <c r="M523" s="251"/>
      <c r="N523" s="251"/>
    </row>
    <row r="524" spans="2:14" hidden="1" x14ac:dyDescent="0.25">
      <c r="B524" s="723"/>
      <c r="C524" s="742"/>
      <c r="D524" s="746" t="s">
        <v>1149</v>
      </c>
      <c r="E524" s="726"/>
      <c r="F524" s="727">
        <v>1</v>
      </c>
      <c r="G524" s="739">
        <f>'[1]BOLETIM - ADITIVO 01'!G82</f>
        <v>466.37</v>
      </c>
      <c r="H524" s="740"/>
      <c r="I524" s="741"/>
      <c r="J524" s="251"/>
      <c r="K524" s="251">
        <f>F524*G524</f>
        <v>466.37</v>
      </c>
      <c r="L524" s="251"/>
      <c r="M524" s="251"/>
      <c r="N524" s="251"/>
    </row>
    <row r="525" spans="2:14" hidden="1" x14ac:dyDescent="0.25">
      <c r="B525" s="723"/>
      <c r="C525" s="742"/>
      <c r="D525" s="746" t="s">
        <v>1156</v>
      </c>
      <c r="E525" s="726"/>
      <c r="F525" s="730"/>
      <c r="G525" s="798"/>
      <c r="H525" s="798"/>
      <c r="I525" s="807"/>
      <c r="J525" s="251"/>
      <c r="K525" s="251"/>
      <c r="L525" s="251"/>
      <c r="M525" s="251"/>
      <c r="N525" s="251"/>
    </row>
    <row r="526" spans="2:14" hidden="1" x14ac:dyDescent="0.25">
      <c r="B526" s="723"/>
      <c r="C526" s="742"/>
      <c r="D526" s="823" t="s">
        <v>1157</v>
      </c>
      <c r="E526" s="726"/>
      <c r="F526" s="783">
        <v>1</v>
      </c>
      <c r="G526" s="784">
        <f>(11.1+9.1+13.6+1.9+16.3+22.8+5.1+6.3+5.4+2.45+5.4+10.9)</f>
        <v>110.35000000000001</v>
      </c>
      <c r="H526" s="729">
        <v>0.15</v>
      </c>
      <c r="I526" s="783">
        <v>0.2</v>
      </c>
      <c r="J526" s="251"/>
      <c r="K526" s="251">
        <f>G526*H526</f>
        <v>16.552500000000002</v>
      </c>
      <c r="L526" s="251"/>
      <c r="M526" s="251"/>
      <c r="N526" s="251"/>
    </row>
    <row r="527" spans="2:14" ht="33.75" hidden="1" x14ac:dyDescent="0.25">
      <c r="B527" s="723"/>
      <c r="C527" s="742"/>
      <c r="D527" s="776" t="s">
        <v>1158</v>
      </c>
      <c r="E527" s="777"/>
      <c r="F527" s="783"/>
      <c r="G527" s="785" t="s">
        <v>1067</v>
      </c>
      <c r="H527" s="786" t="s">
        <v>1068</v>
      </c>
      <c r="I527" s="783" t="s">
        <v>649</v>
      </c>
      <c r="J527" s="251"/>
      <c r="K527" s="729"/>
      <c r="L527" s="251"/>
      <c r="M527" s="251"/>
      <c r="N527" s="251"/>
    </row>
    <row r="528" spans="2:14" hidden="1" x14ac:dyDescent="0.25">
      <c r="B528" s="723"/>
      <c r="C528" s="742"/>
      <c r="D528" s="787"/>
      <c r="E528" s="777"/>
      <c r="F528" s="783">
        <v>1</v>
      </c>
      <c r="G528" s="784">
        <f>(6.8+3.6)</f>
        <v>10.4</v>
      </c>
      <c r="H528" s="729">
        <v>0.15</v>
      </c>
      <c r="I528" s="783">
        <v>0.2</v>
      </c>
      <c r="J528" s="251"/>
      <c r="K528" s="729">
        <f>((G528+(I528*4))*H528)</f>
        <v>1.6800000000000002</v>
      </c>
      <c r="L528" s="251"/>
      <c r="M528" s="251"/>
      <c r="N528" s="251"/>
    </row>
    <row r="529" spans="2:14" ht="22.5" hidden="1" x14ac:dyDescent="0.25">
      <c r="B529" s="723"/>
      <c r="C529" s="742"/>
      <c r="D529" s="849" t="s">
        <v>1159</v>
      </c>
      <c r="E529" s="822"/>
      <c r="F529" s="730">
        <v>1</v>
      </c>
      <c r="G529" s="739">
        <f>K465</f>
        <v>10.51</v>
      </c>
      <c r="H529" s="740"/>
      <c r="I529" s="741"/>
      <c r="J529" s="251"/>
      <c r="K529" s="251">
        <f>F529*G529</f>
        <v>10.51</v>
      </c>
      <c r="L529" s="251"/>
      <c r="M529" s="251"/>
      <c r="N529" s="251"/>
    </row>
    <row r="530" spans="2:14" hidden="1" x14ac:dyDescent="0.25">
      <c r="B530" s="723"/>
      <c r="C530" s="742"/>
      <c r="D530" s="849"/>
      <c r="E530" s="822"/>
      <c r="F530" s="730"/>
      <c r="G530" s="798"/>
      <c r="H530" s="798"/>
      <c r="I530" s="807"/>
      <c r="J530" s="251"/>
      <c r="K530" s="251"/>
      <c r="L530" s="251"/>
      <c r="M530" s="251"/>
      <c r="N530" s="251"/>
    </row>
    <row r="531" spans="2:14" hidden="1" x14ac:dyDescent="0.25">
      <c r="B531" s="723"/>
      <c r="C531" s="742"/>
      <c r="D531" s="849"/>
      <c r="E531" s="822"/>
      <c r="F531" s="730"/>
      <c r="G531" s="798"/>
      <c r="H531" s="798"/>
      <c r="I531" s="807"/>
      <c r="J531" s="251"/>
      <c r="K531" s="251"/>
      <c r="L531" s="251"/>
      <c r="M531" s="251"/>
      <c r="N531" s="251"/>
    </row>
    <row r="532" spans="2:14" ht="56.25" hidden="1" x14ac:dyDescent="0.25">
      <c r="B532" s="723" t="s">
        <v>213</v>
      </c>
      <c r="C532" s="742">
        <v>104233</v>
      </c>
      <c r="D532" s="725" t="s">
        <v>215</v>
      </c>
      <c r="E532" s="822" t="s">
        <v>17</v>
      </c>
      <c r="F532" s="730"/>
      <c r="G532" s="846" t="s">
        <v>1160</v>
      </c>
      <c r="H532" s="847"/>
      <c r="I532" s="848"/>
      <c r="J532" s="251"/>
      <c r="K532" s="250">
        <f>SUM(K533:K538)</f>
        <v>495.11250000000001</v>
      </c>
      <c r="L532" s="251"/>
      <c r="M532" s="251"/>
      <c r="N532" s="251"/>
    </row>
    <row r="533" spans="2:14" hidden="1" x14ac:dyDescent="0.25">
      <c r="B533" s="723"/>
      <c r="C533" s="742"/>
      <c r="D533" s="746" t="s">
        <v>1149</v>
      </c>
      <c r="E533" s="726"/>
      <c r="F533" s="727">
        <v>1</v>
      </c>
      <c r="G533" s="739">
        <f>'[1]BOLETIM - ADITIVO 01'!G83</f>
        <v>466.37</v>
      </c>
      <c r="H533" s="740"/>
      <c r="I533" s="741"/>
      <c r="J533" s="251"/>
      <c r="K533" s="251">
        <f>F533*G533</f>
        <v>466.37</v>
      </c>
      <c r="L533" s="251"/>
      <c r="M533" s="251"/>
      <c r="N533" s="251"/>
    </row>
    <row r="534" spans="2:14" hidden="1" x14ac:dyDescent="0.25">
      <c r="B534" s="723"/>
      <c r="C534" s="742"/>
      <c r="D534" s="746" t="s">
        <v>1156</v>
      </c>
      <c r="E534" s="726"/>
      <c r="F534" s="730"/>
      <c r="G534" s="798"/>
      <c r="H534" s="798"/>
      <c r="I534" s="807"/>
      <c r="J534" s="251"/>
      <c r="K534" s="251"/>
      <c r="L534" s="251"/>
      <c r="M534" s="251"/>
      <c r="N534" s="251"/>
    </row>
    <row r="535" spans="2:14" hidden="1" x14ac:dyDescent="0.25">
      <c r="B535" s="723"/>
      <c r="C535" s="742"/>
      <c r="D535" s="823" t="s">
        <v>1157</v>
      </c>
      <c r="E535" s="726"/>
      <c r="F535" s="783">
        <v>1</v>
      </c>
      <c r="G535" s="784">
        <f>(11.1+9.1+13.6+1.9+16.3+22.8+5.1+6.3+5.4+2.45+5.4+10.9)</f>
        <v>110.35000000000001</v>
      </c>
      <c r="H535" s="729">
        <v>0.15</v>
      </c>
      <c r="I535" s="783">
        <v>0.2</v>
      </c>
      <c r="J535" s="251"/>
      <c r="K535" s="251">
        <f>G535*H535</f>
        <v>16.552500000000002</v>
      </c>
      <c r="L535" s="251"/>
      <c r="M535" s="251"/>
      <c r="N535" s="251"/>
    </row>
    <row r="536" spans="2:14" ht="33.75" hidden="1" x14ac:dyDescent="0.25">
      <c r="B536" s="723"/>
      <c r="C536" s="742"/>
      <c r="D536" s="776" t="s">
        <v>1158</v>
      </c>
      <c r="E536" s="777"/>
      <c r="F536" s="783"/>
      <c r="G536" s="785" t="s">
        <v>1067</v>
      </c>
      <c r="H536" s="786" t="s">
        <v>1068</v>
      </c>
      <c r="I536" s="783" t="s">
        <v>649</v>
      </c>
      <c r="J536" s="251"/>
      <c r="K536" s="729"/>
      <c r="L536" s="251"/>
      <c r="M536" s="251"/>
      <c r="N536" s="251"/>
    </row>
    <row r="537" spans="2:14" hidden="1" x14ac:dyDescent="0.25">
      <c r="B537" s="723"/>
      <c r="C537" s="742"/>
      <c r="D537" s="787"/>
      <c r="E537" s="777"/>
      <c r="F537" s="783">
        <v>1</v>
      </c>
      <c r="G537" s="784">
        <f>(6.8+3.6)</f>
        <v>10.4</v>
      </c>
      <c r="H537" s="729">
        <v>0.15</v>
      </c>
      <c r="I537" s="783">
        <v>0.2</v>
      </c>
      <c r="J537" s="251"/>
      <c r="K537" s="729">
        <f>((G537+(I537*4))*H537)</f>
        <v>1.6800000000000002</v>
      </c>
      <c r="L537" s="251"/>
      <c r="M537" s="251"/>
      <c r="N537" s="251"/>
    </row>
    <row r="538" spans="2:14" ht="22.5" hidden="1" x14ac:dyDescent="0.25">
      <c r="B538" s="723"/>
      <c r="C538" s="742"/>
      <c r="D538" s="849" t="s">
        <v>1159</v>
      </c>
      <c r="E538" s="822"/>
      <c r="F538" s="730">
        <v>1</v>
      </c>
      <c r="G538" s="739">
        <f>G529</f>
        <v>10.51</v>
      </c>
      <c r="H538" s="740"/>
      <c r="I538" s="741"/>
      <c r="J538" s="251"/>
      <c r="K538" s="729">
        <f>F538*G538</f>
        <v>10.51</v>
      </c>
      <c r="L538" s="251"/>
      <c r="M538" s="251"/>
      <c r="N538" s="251"/>
    </row>
    <row r="539" spans="2:14" hidden="1" x14ac:dyDescent="0.25">
      <c r="B539" s="723"/>
      <c r="C539" s="742"/>
      <c r="D539" s="725"/>
      <c r="E539" s="822"/>
      <c r="F539" s="730"/>
      <c r="G539" s="750"/>
      <c r="H539" s="726"/>
      <c r="I539" s="730"/>
      <c r="J539" s="251"/>
      <c r="K539" s="251"/>
      <c r="L539" s="251"/>
      <c r="M539" s="251"/>
      <c r="N539" s="251"/>
    </row>
    <row r="540" spans="2:14" ht="33.75" hidden="1" x14ac:dyDescent="0.25">
      <c r="B540" s="723" t="s">
        <v>216</v>
      </c>
      <c r="C540" s="850" t="s">
        <v>217</v>
      </c>
      <c r="D540" s="789" t="s">
        <v>218</v>
      </c>
      <c r="E540" s="822" t="s">
        <v>17</v>
      </c>
      <c r="F540" s="851"/>
      <c r="G540" s="750"/>
      <c r="H540" s="822"/>
      <c r="I540" s="730"/>
      <c r="J540" s="251"/>
      <c r="K540" s="251">
        <f t="shared" ref="K540:K545" si="13">(F540*G540*I540)</f>
        <v>0</v>
      </c>
      <c r="L540" s="251"/>
      <c r="M540" s="251"/>
      <c r="N540" s="251"/>
    </row>
    <row r="541" spans="2:14" ht="33.75" hidden="1" x14ac:dyDescent="0.25">
      <c r="B541" s="852" t="s">
        <v>219</v>
      </c>
      <c r="C541" s="853" t="s">
        <v>220</v>
      </c>
      <c r="D541" s="765" t="s">
        <v>221</v>
      </c>
      <c r="E541" s="753" t="s">
        <v>222</v>
      </c>
      <c r="F541" s="844"/>
      <c r="G541" s="845"/>
      <c r="H541" s="755"/>
      <c r="I541" s="730"/>
      <c r="J541" s="251"/>
      <c r="K541" s="251">
        <f t="shared" si="13"/>
        <v>0</v>
      </c>
      <c r="L541" s="251"/>
      <c r="M541" s="251"/>
      <c r="N541" s="251"/>
    </row>
    <row r="542" spans="2:14" ht="22.5" hidden="1" x14ac:dyDescent="0.25">
      <c r="B542" s="852" t="s">
        <v>223</v>
      </c>
      <c r="C542" s="854">
        <v>88485</v>
      </c>
      <c r="D542" s="765" t="s">
        <v>192</v>
      </c>
      <c r="E542" s="753" t="s">
        <v>17</v>
      </c>
      <c r="F542" s="844"/>
      <c r="G542" s="845"/>
      <c r="H542" s="755"/>
      <c r="I542" s="730"/>
      <c r="J542" s="251"/>
      <c r="K542" s="251">
        <f t="shared" si="13"/>
        <v>0</v>
      </c>
      <c r="L542" s="251"/>
      <c r="M542" s="251"/>
      <c r="N542" s="251"/>
    </row>
    <row r="543" spans="2:14" ht="22.5" hidden="1" x14ac:dyDescent="0.25">
      <c r="B543" s="852" t="s">
        <v>224</v>
      </c>
      <c r="C543" s="854">
        <v>96130</v>
      </c>
      <c r="D543" s="765" t="s">
        <v>226</v>
      </c>
      <c r="E543" s="753" t="s">
        <v>17</v>
      </c>
      <c r="F543" s="844"/>
      <c r="G543" s="845"/>
      <c r="H543" s="755"/>
      <c r="I543" s="730"/>
      <c r="J543" s="251"/>
      <c r="K543" s="251">
        <f t="shared" si="13"/>
        <v>0</v>
      </c>
      <c r="L543" s="251"/>
      <c r="M543" s="251"/>
      <c r="N543" s="251"/>
    </row>
    <row r="544" spans="2:14" ht="22.5" hidden="1" x14ac:dyDescent="0.25">
      <c r="B544" s="852" t="s">
        <v>227</v>
      </c>
      <c r="C544" s="854">
        <v>88489</v>
      </c>
      <c r="D544" s="765" t="s">
        <v>198</v>
      </c>
      <c r="E544" s="753" t="s">
        <v>17</v>
      </c>
      <c r="F544" s="844"/>
      <c r="G544" s="845"/>
      <c r="H544" s="755"/>
      <c r="I544" s="730"/>
      <c r="J544" s="251"/>
      <c r="K544" s="251">
        <f t="shared" si="13"/>
        <v>0</v>
      </c>
      <c r="L544" s="251"/>
      <c r="M544" s="251"/>
      <c r="N544" s="251"/>
    </row>
    <row r="545" spans="2:14" x14ac:dyDescent="0.25">
      <c r="B545" s="843">
        <v>1.1000000000000001</v>
      </c>
      <c r="C545" s="843" t="s">
        <v>229</v>
      </c>
      <c r="D545" s="765"/>
      <c r="E545" s="753"/>
      <c r="F545" s="844"/>
      <c r="G545" s="845"/>
      <c r="H545" s="755"/>
      <c r="I545" s="730"/>
      <c r="J545" s="251"/>
      <c r="K545" s="251">
        <f t="shared" si="13"/>
        <v>0</v>
      </c>
      <c r="L545" s="251"/>
      <c r="M545" s="251"/>
      <c r="N545" s="251"/>
    </row>
    <row r="546" spans="2:14" ht="33.75" x14ac:dyDescent="0.25">
      <c r="B546" s="852" t="s">
        <v>230</v>
      </c>
      <c r="C546" s="854">
        <v>92868</v>
      </c>
      <c r="D546" s="765" t="s">
        <v>232</v>
      </c>
      <c r="E546" s="855" t="s">
        <v>166</v>
      </c>
      <c r="F546" s="856"/>
      <c r="G546" s="846" t="s">
        <v>1248</v>
      </c>
      <c r="H546" s="847"/>
      <c r="I546" s="848"/>
      <c r="J546" s="251">
        <f>'BOLETIM DE MEDIÇÃO 10'!R90-'MEMORIAL DE CÁLCULO 10'!K546</f>
        <v>0</v>
      </c>
      <c r="K546" s="250">
        <v>121</v>
      </c>
      <c r="L546" s="251">
        <f>J546+K546</f>
        <v>121</v>
      </c>
      <c r="M546" s="251">
        <f>'BOLETIM DE MEDIÇÃO 10'!G90</f>
        <v>121</v>
      </c>
      <c r="N546" s="251">
        <f>M546-L546</f>
        <v>0</v>
      </c>
    </row>
    <row r="547" spans="2:14" ht="22.5" hidden="1" x14ac:dyDescent="0.25">
      <c r="B547" s="852" t="s">
        <v>233</v>
      </c>
      <c r="C547" s="854">
        <v>91937</v>
      </c>
      <c r="D547" s="765" t="s">
        <v>235</v>
      </c>
      <c r="E547" s="855" t="s">
        <v>166</v>
      </c>
      <c r="F547" s="856"/>
      <c r="G547" s="845"/>
      <c r="H547" s="755"/>
      <c r="I547" s="730"/>
      <c r="J547" s="251"/>
      <c r="K547" s="251">
        <f t="shared" ref="K547:K558" si="14">(F547*G547*I547)</f>
        <v>0</v>
      </c>
      <c r="L547" s="251"/>
      <c r="M547" s="251"/>
      <c r="N547" s="251"/>
    </row>
    <row r="548" spans="2:14" ht="33.75" hidden="1" x14ac:dyDescent="0.25">
      <c r="B548" s="852" t="s">
        <v>236</v>
      </c>
      <c r="C548" s="854">
        <v>91924</v>
      </c>
      <c r="D548" s="765" t="s">
        <v>238</v>
      </c>
      <c r="E548" s="855" t="s">
        <v>37</v>
      </c>
      <c r="F548" s="856"/>
      <c r="G548" s="845"/>
      <c r="H548" s="755"/>
      <c r="I548" s="730"/>
      <c r="J548" s="251"/>
      <c r="K548" s="251">
        <f t="shared" si="14"/>
        <v>0</v>
      </c>
      <c r="L548" s="251"/>
      <c r="M548" s="251"/>
      <c r="N548" s="251"/>
    </row>
    <row r="549" spans="2:14" ht="33.75" hidden="1" x14ac:dyDescent="0.25">
      <c r="B549" s="852" t="s">
        <v>239</v>
      </c>
      <c r="C549" s="854">
        <v>91926</v>
      </c>
      <c r="D549" s="765" t="s">
        <v>241</v>
      </c>
      <c r="E549" s="855" t="s">
        <v>37</v>
      </c>
      <c r="F549" s="856"/>
      <c r="G549" s="845"/>
      <c r="H549" s="755"/>
      <c r="I549" s="730"/>
      <c r="J549" s="251"/>
      <c r="K549" s="251">
        <f t="shared" si="14"/>
        <v>0</v>
      </c>
      <c r="L549" s="251"/>
      <c r="M549" s="251"/>
      <c r="N549" s="251"/>
    </row>
    <row r="550" spans="2:14" ht="33.75" hidden="1" x14ac:dyDescent="0.25">
      <c r="B550" s="852" t="s">
        <v>242</v>
      </c>
      <c r="C550" s="857">
        <v>91928</v>
      </c>
      <c r="D550" s="858" t="s">
        <v>244</v>
      </c>
      <c r="E550" s="855" t="s">
        <v>37</v>
      </c>
      <c r="F550" s="856"/>
      <c r="G550" s="845"/>
      <c r="H550" s="753"/>
      <c r="I550" s="730"/>
      <c r="J550" s="251"/>
      <c r="K550" s="251">
        <f t="shared" si="14"/>
        <v>0</v>
      </c>
      <c r="L550" s="251"/>
      <c r="M550" s="251"/>
      <c r="N550" s="251"/>
    </row>
    <row r="551" spans="2:14" ht="33.75" hidden="1" x14ac:dyDescent="0.25">
      <c r="B551" s="852" t="s">
        <v>245</v>
      </c>
      <c r="C551" s="854">
        <v>91931</v>
      </c>
      <c r="D551" s="765" t="s">
        <v>247</v>
      </c>
      <c r="E551" s="855" t="s">
        <v>37</v>
      </c>
      <c r="F551" s="856"/>
      <c r="G551" s="845"/>
      <c r="H551" s="755"/>
      <c r="I551" s="730"/>
      <c r="J551" s="251"/>
      <c r="K551" s="251">
        <f t="shared" si="14"/>
        <v>0</v>
      </c>
      <c r="L551" s="251"/>
      <c r="M551" s="251"/>
      <c r="N551" s="251"/>
    </row>
    <row r="552" spans="2:14" ht="22.5" hidden="1" x14ac:dyDescent="0.25">
      <c r="B552" s="852" t="s">
        <v>248</v>
      </c>
      <c r="C552" s="854">
        <v>39773</v>
      </c>
      <c r="D552" s="765" t="s">
        <v>250</v>
      </c>
      <c r="E552" s="855" t="s">
        <v>166</v>
      </c>
      <c r="F552" s="856"/>
      <c r="G552" s="845"/>
      <c r="H552" s="755"/>
      <c r="I552" s="730"/>
      <c r="J552" s="251"/>
      <c r="K552" s="251">
        <f t="shared" si="14"/>
        <v>0</v>
      </c>
      <c r="L552" s="251"/>
      <c r="M552" s="251"/>
      <c r="N552" s="251"/>
    </row>
    <row r="553" spans="2:14" ht="33.75" hidden="1" x14ac:dyDescent="0.25">
      <c r="B553" s="852" t="s">
        <v>251</v>
      </c>
      <c r="C553" s="854">
        <v>101890</v>
      </c>
      <c r="D553" s="765" t="s">
        <v>253</v>
      </c>
      <c r="E553" s="855" t="s">
        <v>166</v>
      </c>
      <c r="F553" s="856"/>
      <c r="G553" s="845"/>
      <c r="H553" s="755"/>
      <c r="I553" s="730"/>
      <c r="J553" s="251"/>
      <c r="K553" s="251">
        <f t="shared" si="14"/>
        <v>0</v>
      </c>
      <c r="L553" s="251"/>
      <c r="M553" s="251"/>
      <c r="N553" s="251"/>
    </row>
    <row r="554" spans="2:14" ht="22.5" hidden="1" x14ac:dyDescent="0.25">
      <c r="B554" s="852" t="s">
        <v>254</v>
      </c>
      <c r="C554" s="854">
        <v>93670</v>
      </c>
      <c r="D554" s="765" t="s">
        <v>256</v>
      </c>
      <c r="E554" s="855" t="s">
        <v>166</v>
      </c>
      <c r="F554" s="856"/>
      <c r="G554" s="845"/>
      <c r="H554" s="755"/>
      <c r="I554" s="730"/>
      <c r="J554" s="251"/>
      <c r="K554" s="251">
        <f t="shared" si="14"/>
        <v>0</v>
      </c>
      <c r="L554" s="251"/>
      <c r="M554" s="251"/>
      <c r="N554" s="251"/>
    </row>
    <row r="555" spans="2:14" ht="22.5" hidden="1" x14ac:dyDescent="0.25">
      <c r="B555" s="852" t="s">
        <v>257</v>
      </c>
      <c r="C555" s="854">
        <v>93671</v>
      </c>
      <c r="D555" s="765" t="s">
        <v>259</v>
      </c>
      <c r="E555" s="855" t="s">
        <v>166</v>
      </c>
      <c r="F555" s="856"/>
      <c r="G555" s="845"/>
      <c r="H555" s="755"/>
      <c r="I555" s="730"/>
      <c r="J555" s="251"/>
      <c r="K555" s="251">
        <f t="shared" si="14"/>
        <v>0</v>
      </c>
      <c r="L555" s="251"/>
      <c r="M555" s="251"/>
      <c r="N555" s="251"/>
    </row>
    <row r="556" spans="2:14" ht="22.5" hidden="1" x14ac:dyDescent="0.25">
      <c r="B556" s="852" t="s">
        <v>260</v>
      </c>
      <c r="C556" s="854">
        <v>39466</v>
      </c>
      <c r="D556" s="765" t="s">
        <v>262</v>
      </c>
      <c r="E556" s="855" t="s">
        <v>166</v>
      </c>
      <c r="F556" s="856"/>
      <c r="G556" s="845"/>
      <c r="H556" s="755"/>
      <c r="I556" s="730"/>
      <c r="J556" s="251"/>
      <c r="K556" s="251">
        <f t="shared" si="14"/>
        <v>0</v>
      </c>
      <c r="L556" s="251"/>
      <c r="M556" s="251"/>
      <c r="N556" s="251"/>
    </row>
    <row r="557" spans="2:14" ht="22.5" hidden="1" x14ac:dyDescent="0.25">
      <c r="B557" s="852" t="s">
        <v>263</v>
      </c>
      <c r="C557" s="854">
        <v>39445</v>
      </c>
      <c r="D557" s="765" t="s">
        <v>265</v>
      </c>
      <c r="E557" s="855" t="s">
        <v>166</v>
      </c>
      <c r="F557" s="856"/>
      <c r="G557" s="845"/>
      <c r="H557" s="755"/>
      <c r="I557" s="730"/>
      <c r="J557" s="251"/>
      <c r="K557" s="251">
        <f t="shared" si="14"/>
        <v>0</v>
      </c>
      <c r="L557" s="251"/>
      <c r="M557" s="251"/>
      <c r="N557" s="251"/>
    </row>
    <row r="558" spans="2:14" ht="22.5" hidden="1" x14ac:dyDescent="0.25">
      <c r="B558" s="852" t="s">
        <v>266</v>
      </c>
      <c r="C558" s="854">
        <v>39446</v>
      </c>
      <c r="D558" s="765" t="s">
        <v>268</v>
      </c>
      <c r="E558" s="855" t="s">
        <v>166</v>
      </c>
      <c r="F558" s="856"/>
      <c r="G558" s="845"/>
      <c r="H558" s="755"/>
      <c r="I558" s="730"/>
      <c r="J558" s="251"/>
      <c r="K558" s="251">
        <f t="shared" si="14"/>
        <v>0</v>
      </c>
      <c r="L558" s="251"/>
      <c r="M558" s="251"/>
      <c r="N558" s="251"/>
    </row>
    <row r="559" spans="2:14" hidden="1" x14ac:dyDescent="0.25">
      <c r="B559" s="852"/>
      <c r="C559" s="854"/>
      <c r="D559" s="765" t="s">
        <v>1127</v>
      </c>
      <c r="E559" s="855"/>
      <c r="F559" s="856">
        <v>1</v>
      </c>
      <c r="G559" s="859">
        <v>117</v>
      </c>
      <c r="H559" s="860"/>
      <c r="I559" s="861"/>
      <c r="J559" s="251"/>
      <c r="K559" s="251">
        <f>F559*G559</f>
        <v>117</v>
      </c>
      <c r="L559" s="251"/>
      <c r="M559" s="251"/>
      <c r="N559" s="251"/>
    </row>
    <row r="560" spans="2:14" hidden="1" x14ac:dyDescent="0.25">
      <c r="B560" s="852"/>
      <c r="C560" s="854"/>
      <c r="D560" s="765" t="s">
        <v>1161</v>
      </c>
      <c r="E560" s="855"/>
      <c r="F560" s="856">
        <v>1</v>
      </c>
      <c r="G560" s="859">
        <v>4</v>
      </c>
      <c r="H560" s="860"/>
      <c r="I560" s="861"/>
      <c r="J560" s="251"/>
      <c r="K560" s="251">
        <f>F560*G560</f>
        <v>4</v>
      </c>
      <c r="L560" s="251"/>
      <c r="M560" s="251"/>
      <c r="N560" s="251"/>
    </row>
    <row r="561" spans="2:14" hidden="1" x14ac:dyDescent="0.25">
      <c r="B561" s="852"/>
      <c r="C561" s="854"/>
      <c r="D561" s="765"/>
      <c r="E561" s="855"/>
      <c r="F561" s="856"/>
      <c r="G561" s="862"/>
      <c r="H561" s="862"/>
      <c r="I561" s="807"/>
      <c r="J561" s="251"/>
      <c r="K561" s="251"/>
      <c r="L561" s="251"/>
      <c r="M561" s="251"/>
      <c r="N561" s="251"/>
    </row>
    <row r="562" spans="2:14" ht="33.75" hidden="1" x14ac:dyDescent="0.25">
      <c r="B562" s="852" t="s">
        <v>269</v>
      </c>
      <c r="C562" s="854">
        <v>91953</v>
      </c>
      <c r="D562" s="765" t="s">
        <v>271</v>
      </c>
      <c r="E562" s="855" t="s">
        <v>166</v>
      </c>
      <c r="F562" s="856"/>
      <c r="G562" s="846" t="s">
        <v>1162</v>
      </c>
      <c r="H562" s="847"/>
      <c r="I562" s="848"/>
      <c r="J562" s="251"/>
      <c r="K562" s="250">
        <f>SUM(K565:K566)</f>
        <v>24</v>
      </c>
      <c r="L562" s="251"/>
      <c r="M562" s="251"/>
      <c r="N562" s="251"/>
    </row>
    <row r="563" spans="2:14" ht="33.75" hidden="1" x14ac:dyDescent="0.25">
      <c r="B563" s="852" t="s">
        <v>272</v>
      </c>
      <c r="C563" s="854">
        <v>91967</v>
      </c>
      <c r="D563" s="765" t="s">
        <v>274</v>
      </c>
      <c r="E563" s="855" t="s">
        <v>166</v>
      </c>
      <c r="F563" s="856"/>
      <c r="G563" s="845"/>
      <c r="H563" s="755"/>
      <c r="I563" s="730"/>
      <c r="J563" s="251"/>
      <c r="K563" s="251">
        <f>(F563*G563*I563)</f>
        <v>0</v>
      </c>
      <c r="L563" s="251"/>
      <c r="M563" s="251"/>
      <c r="N563" s="251"/>
    </row>
    <row r="564" spans="2:14" ht="33.75" hidden="1" x14ac:dyDescent="0.25">
      <c r="B564" s="852" t="s">
        <v>275</v>
      </c>
      <c r="C564" s="854">
        <v>92000</v>
      </c>
      <c r="D564" s="765" t="s">
        <v>277</v>
      </c>
      <c r="E564" s="855" t="s">
        <v>166</v>
      </c>
      <c r="F564" s="856"/>
      <c r="G564" s="845"/>
      <c r="H564" s="755"/>
      <c r="I564" s="730"/>
      <c r="J564" s="251"/>
      <c r="K564" s="251">
        <f>(F564*G564*I564)</f>
        <v>0</v>
      </c>
      <c r="L564" s="251"/>
      <c r="M564" s="251"/>
      <c r="N564" s="251"/>
    </row>
    <row r="565" spans="2:14" hidden="1" x14ac:dyDescent="0.25">
      <c r="B565" s="852"/>
      <c r="C565" s="854"/>
      <c r="D565" s="765" t="s">
        <v>1127</v>
      </c>
      <c r="E565" s="855"/>
      <c r="F565" s="856">
        <v>1</v>
      </c>
      <c r="G565" s="859">
        <v>23</v>
      </c>
      <c r="H565" s="860"/>
      <c r="I565" s="861"/>
      <c r="J565" s="251"/>
      <c r="K565" s="251">
        <f>F565*G565</f>
        <v>23</v>
      </c>
      <c r="L565" s="251"/>
      <c r="M565" s="251"/>
      <c r="N565" s="251"/>
    </row>
    <row r="566" spans="2:14" hidden="1" x14ac:dyDescent="0.25">
      <c r="B566" s="852"/>
      <c r="C566" s="854"/>
      <c r="D566" s="765" t="s">
        <v>1161</v>
      </c>
      <c r="E566" s="855"/>
      <c r="F566" s="856">
        <v>1</v>
      </c>
      <c r="G566" s="859">
        <v>1</v>
      </c>
      <c r="H566" s="860"/>
      <c r="I566" s="861"/>
      <c r="J566" s="251"/>
      <c r="K566" s="251">
        <f>F566*G566</f>
        <v>1</v>
      </c>
      <c r="L566" s="251"/>
      <c r="M566" s="251"/>
      <c r="N566" s="251"/>
    </row>
    <row r="567" spans="2:14" hidden="1" x14ac:dyDescent="0.25">
      <c r="B567" s="852"/>
      <c r="C567" s="854"/>
      <c r="D567" s="765"/>
      <c r="E567" s="855"/>
      <c r="F567" s="856"/>
      <c r="G567" s="845"/>
      <c r="H567" s="755"/>
      <c r="I567" s="730"/>
      <c r="J567" s="251"/>
      <c r="K567" s="251"/>
      <c r="L567" s="251"/>
      <c r="M567" s="251"/>
      <c r="N567" s="251"/>
    </row>
    <row r="568" spans="2:14" ht="33.75" hidden="1" x14ac:dyDescent="0.25">
      <c r="B568" s="852" t="s">
        <v>278</v>
      </c>
      <c r="C568" s="854">
        <v>92008</v>
      </c>
      <c r="D568" s="765" t="s">
        <v>280</v>
      </c>
      <c r="E568" s="855" t="s">
        <v>166</v>
      </c>
      <c r="F568" s="856"/>
      <c r="G568" s="846" t="s">
        <v>1163</v>
      </c>
      <c r="H568" s="847"/>
      <c r="I568" s="848"/>
      <c r="J568" s="251"/>
      <c r="K568" s="250">
        <f>SUM(K569:K570)</f>
        <v>11</v>
      </c>
      <c r="L568" s="251"/>
      <c r="M568" s="251"/>
      <c r="N568" s="251"/>
    </row>
    <row r="569" spans="2:14" hidden="1" x14ac:dyDescent="0.25">
      <c r="B569" s="852"/>
      <c r="C569" s="854"/>
      <c r="D569" s="765" t="s">
        <v>1127</v>
      </c>
      <c r="E569" s="855"/>
      <c r="F569" s="856">
        <v>1</v>
      </c>
      <c r="G569" s="859">
        <v>8</v>
      </c>
      <c r="H569" s="860"/>
      <c r="I569" s="861"/>
      <c r="J569" s="251"/>
      <c r="K569" s="251">
        <f>F569*G569</f>
        <v>8</v>
      </c>
      <c r="L569" s="251"/>
      <c r="M569" s="251"/>
      <c r="N569" s="251"/>
    </row>
    <row r="570" spans="2:14" hidden="1" x14ac:dyDescent="0.25">
      <c r="B570" s="852"/>
      <c r="C570" s="854"/>
      <c r="D570" s="765" t="s">
        <v>1161</v>
      </c>
      <c r="E570" s="855"/>
      <c r="F570" s="856">
        <v>1</v>
      </c>
      <c r="G570" s="859">
        <v>3</v>
      </c>
      <c r="H570" s="860"/>
      <c r="I570" s="861"/>
      <c r="J570" s="251"/>
      <c r="K570" s="251">
        <f>F570*G570</f>
        <v>3</v>
      </c>
      <c r="L570" s="251"/>
      <c r="M570" s="251"/>
      <c r="N570" s="251"/>
    </row>
    <row r="571" spans="2:14" hidden="1" x14ac:dyDescent="0.25">
      <c r="B571" s="852"/>
      <c r="C571" s="854"/>
      <c r="D571" s="765"/>
      <c r="E571" s="855"/>
      <c r="F571" s="856"/>
      <c r="G571" s="845"/>
      <c r="H571" s="755"/>
      <c r="I571" s="730"/>
      <c r="J571" s="251"/>
      <c r="K571" s="251"/>
      <c r="L571" s="251"/>
      <c r="M571" s="251"/>
      <c r="N571" s="251"/>
    </row>
    <row r="572" spans="2:14" ht="33.75" hidden="1" x14ac:dyDescent="0.25">
      <c r="B572" s="852" t="s">
        <v>281</v>
      </c>
      <c r="C572" s="857">
        <v>91959</v>
      </c>
      <c r="D572" s="858" t="s">
        <v>283</v>
      </c>
      <c r="E572" s="855" t="s">
        <v>166</v>
      </c>
      <c r="F572" s="856"/>
      <c r="G572" s="845"/>
      <c r="H572" s="753"/>
      <c r="I572" s="730"/>
      <c r="J572" s="251"/>
      <c r="K572" s="251">
        <f t="shared" ref="K572:K579" si="15">(F572*G572*I572)</f>
        <v>0</v>
      </c>
      <c r="L572" s="251"/>
      <c r="M572" s="251"/>
      <c r="N572" s="251"/>
    </row>
    <row r="573" spans="2:14" ht="33.75" hidden="1" x14ac:dyDescent="0.25">
      <c r="B573" s="852" t="s">
        <v>284</v>
      </c>
      <c r="C573" s="857">
        <v>91834</v>
      </c>
      <c r="D573" s="858" t="s">
        <v>286</v>
      </c>
      <c r="E573" s="855" t="s">
        <v>37</v>
      </c>
      <c r="F573" s="856"/>
      <c r="G573" s="845"/>
      <c r="H573" s="753"/>
      <c r="I573" s="730"/>
      <c r="J573" s="251"/>
      <c r="K573" s="251">
        <f t="shared" si="15"/>
        <v>0</v>
      </c>
      <c r="L573" s="251"/>
      <c r="M573" s="251"/>
      <c r="N573" s="251"/>
    </row>
    <row r="574" spans="2:14" ht="33.75" hidden="1" x14ac:dyDescent="0.25">
      <c r="B574" s="852" t="s">
        <v>287</v>
      </c>
      <c r="C574" s="854">
        <v>91868</v>
      </c>
      <c r="D574" s="765" t="s">
        <v>289</v>
      </c>
      <c r="E574" s="855" t="s">
        <v>37</v>
      </c>
      <c r="F574" s="856"/>
      <c r="G574" s="845"/>
      <c r="H574" s="755"/>
      <c r="I574" s="730"/>
      <c r="J574" s="251"/>
      <c r="K574" s="251">
        <f t="shared" si="15"/>
        <v>0</v>
      </c>
      <c r="L574" s="251"/>
      <c r="M574" s="251"/>
      <c r="N574" s="251"/>
    </row>
    <row r="575" spans="2:14" ht="33.75" hidden="1" x14ac:dyDescent="0.25">
      <c r="B575" s="852" t="s">
        <v>290</v>
      </c>
      <c r="C575" s="854">
        <v>91867</v>
      </c>
      <c r="D575" s="765" t="s">
        <v>292</v>
      </c>
      <c r="E575" s="855" t="s">
        <v>37</v>
      </c>
      <c r="F575" s="856"/>
      <c r="G575" s="845"/>
      <c r="H575" s="755"/>
      <c r="I575" s="730"/>
      <c r="J575" s="251"/>
      <c r="K575" s="251">
        <f t="shared" si="15"/>
        <v>0</v>
      </c>
      <c r="L575" s="251"/>
      <c r="M575" s="251"/>
      <c r="N575" s="251"/>
    </row>
    <row r="576" spans="2:14" ht="22.5" hidden="1" x14ac:dyDescent="0.25">
      <c r="B576" s="852" t="s">
        <v>293</v>
      </c>
      <c r="C576" s="854">
        <v>101654</v>
      </c>
      <c r="D576" s="765" t="s">
        <v>295</v>
      </c>
      <c r="E576" s="855" t="s">
        <v>166</v>
      </c>
      <c r="F576" s="856"/>
      <c r="G576" s="845"/>
      <c r="H576" s="755"/>
      <c r="I576" s="730"/>
      <c r="J576" s="251"/>
      <c r="K576" s="251">
        <f t="shared" si="15"/>
        <v>0</v>
      </c>
      <c r="L576" s="251"/>
      <c r="M576" s="251"/>
      <c r="N576" s="251"/>
    </row>
    <row r="577" spans="2:14" ht="33.75" hidden="1" x14ac:dyDescent="0.25">
      <c r="B577" s="852" t="s">
        <v>296</v>
      </c>
      <c r="C577" s="854">
        <v>103782</v>
      </c>
      <c r="D577" s="765" t="s">
        <v>298</v>
      </c>
      <c r="E577" s="855" t="s">
        <v>166</v>
      </c>
      <c r="F577" s="856"/>
      <c r="G577" s="845"/>
      <c r="H577" s="755"/>
      <c r="I577" s="730"/>
      <c r="J577" s="251"/>
      <c r="K577" s="251">
        <f t="shared" si="15"/>
        <v>0</v>
      </c>
      <c r="L577" s="251"/>
      <c r="M577" s="251"/>
      <c r="N577" s="251"/>
    </row>
    <row r="578" spans="2:14" ht="33.75" hidden="1" x14ac:dyDescent="0.25">
      <c r="B578" s="852" t="s">
        <v>299</v>
      </c>
      <c r="C578" s="854">
        <v>101509</v>
      </c>
      <c r="D578" s="765" t="s">
        <v>301</v>
      </c>
      <c r="E578" s="855" t="s">
        <v>166</v>
      </c>
      <c r="F578" s="856"/>
      <c r="G578" s="845"/>
      <c r="H578" s="755"/>
      <c r="I578" s="730"/>
      <c r="J578" s="251"/>
      <c r="K578" s="251">
        <f t="shared" si="15"/>
        <v>0</v>
      </c>
      <c r="L578" s="251"/>
      <c r="M578" s="251"/>
      <c r="N578" s="251"/>
    </row>
    <row r="579" spans="2:14" ht="33.75" hidden="1" x14ac:dyDescent="0.25">
      <c r="B579" s="852" t="s">
        <v>302</v>
      </c>
      <c r="C579" s="854">
        <v>5044</v>
      </c>
      <c r="D579" s="765" t="s">
        <v>304</v>
      </c>
      <c r="E579" s="855" t="s">
        <v>166</v>
      </c>
      <c r="F579" s="856"/>
      <c r="G579" s="845"/>
      <c r="H579" s="755"/>
      <c r="I579" s="730"/>
      <c r="J579" s="251"/>
      <c r="K579" s="251">
        <f t="shared" si="15"/>
        <v>0</v>
      </c>
      <c r="L579" s="251"/>
      <c r="M579" s="251"/>
      <c r="N579" s="251"/>
    </row>
    <row r="580" spans="2:14" ht="45" hidden="1" x14ac:dyDescent="0.25">
      <c r="B580" s="852" t="s">
        <v>305</v>
      </c>
      <c r="C580" s="854">
        <v>101879</v>
      </c>
      <c r="D580" s="765" t="s">
        <v>307</v>
      </c>
      <c r="E580" s="855" t="s">
        <v>166</v>
      </c>
      <c r="F580" s="856"/>
      <c r="G580" s="846" t="s">
        <v>1164</v>
      </c>
      <c r="H580" s="847"/>
      <c r="I580" s="848"/>
      <c r="J580" s="251"/>
      <c r="K580" s="250">
        <f>G582</f>
        <v>2</v>
      </c>
      <c r="L580" s="251"/>
      <c r="M580" s="251"/>
      <c r="N580" s="251"/>
    </row>
    <row r="581" spans="2:14" hidden="1" x14ac:dyDescent="0.25">
      <c r="B581" s="852"/>
      <c r="C581" s="854"/>
      <c r="D581" s="746" t="s">
        <v>1149</v>
      </c>
      <c r="E581" s="726"/>
      <c r="F581" s="727">
        <v>1</v>
      </c>
      <c r="G581" s="739">
        <v>1</v>
      </c>
      <c r="H581" s="740"/>
      <c r="I581" s="741"/>
      <c r="J581" s="251"/>
      <c r="K581" s="251">
        <f>F581*G581</f>
        <v>1</v>
      </c>
      <c r="L581" s="251"/>
      <c r="M581" s="251"/>
      <c r="N581" s="251"/>
    </row>
    <row r="582" spans="2:14" ht="22.5" hidden="1" x14ac:dyDescent="0.25">
      <c r="B582" s="852"/>
      <c r="C582" s="854"/>
      <c r="D582" s="765" t="s">
        <v>1165</v>
      </c>
      <c r="E582" s="855"/>
      <c r="F582" s="856">
        <v>1</v>
      </c>
      <c r="G582" s="859">
        <v>2</v>
      </c>
      <c r="H582" s="860"/>
      <c r="I582" s="861"/>
      <c r="J582" s="251"/>
      <c r="K582" s="251">
        <f>F582*G582</f>
        <v>2</v>
      </c>
      <c r="L582" s="251"/>
      <c r="M582" s="251"/>
      <c r="N582" s="251"/>
    </row>
    <row r="583" spans="2:14" ht="33.75" hidden="1" x14ac:dyDescent="0.25">
      <c r="B583" s="852" t="s">
        <v>308</v>
      </c>
      <c r="C583" s="854">
        <v>5044</v>
      </c>
      <c r="D583" s="765" t="s">
        <v>304</v>
      </c>
      <c r="E583" s="855" t="s">
        <v>166</v>
      </c>
      <c r="F583" s="856"/>
      <c r="G583" s="845"/>
      <c r="H583" s="755"/>
      <c r="I583" s="730"/>
      <c r="J583" s="251"/>
      <c r="K583" s="251">
        <f>(F583*G583*I583)</f>
        <v>0</v>
      </c>
      <c r="L583" s="251"/>
      <c r="M583" s="251"/>
      <c r="N583" s="251"/>
    </row>
    <row r="584" spans="2:14" ht="33.75" hidden="1" x14ac:dyDescent="0.25">
      <c r="B584" s="852" t="s">
        <v>309</v>
      </c>
      <c r="C584" s="854">
        <v>92023</v>
      </c>
      <c r="D584" s="765" t="s">
        <v>311</v>
      </c>
      <c r="E584" s="855" t="s">
        <v>166</v>
      </c>
      <c r="F584" s="856"/>
      <c r="G584" s="845"/>
      <c r="H584" s="755"/>
      <c r="I584" s="730"/>
      <c r="J584" s="251"/>
      <c r="K584" s="251">
        <f>(F584*G584*I584)</f>
        <v>0</v>
      </c>
      <c r="L584" s="251"/>
      <c r="M584" s="251"/>
      <c r="N584" s="251"/>
    </row>
    <row r="585" spans="2:14" hidden="1" x14ac:dyDescent="0.25">
      <c r="B585" s="842" t="s">
        <v>312</v>
      </c>
      <c r="C585" s="863" t="s">
        <v>313</v>
      </c>
      <c r="D585" s="765"/>
      <c r="E585" s="855"/>
      <c r="F585" s="856"/>
      <c r="G585" s="845"/>
      <c r="H585" s="755"/>
      <c r="I585" s="730"/>
      <c r="J585" s="251"/>
      <c r="K585" s="251">
        <f>(F585*G585*I585)</f>
        <v>0</v>
      </c>
      <c r="L585" s="251"/>
      <c r="M585" s="251"/>
      <c r="N585" s="251"/>
    </row>
    <row r="586" spans="2:14" ht="22.5" hidden="1" x14ac:dyDescent="0.25">
      <c r="B586" s="852" t="s">
        <v>314</v>
      </c>
      <c r="C586" s="854">
        <v>96620</v>
      </c>
      <c r="D586" s="765" t="s">
        <v>316</v>
      </c>
      <c r="E586" s="753" t="s">
        <v>41</v>
      </c>
      <c r="F586" s="856"/>
      <c r="G586" s="846" t="s">
        <v>1166</v>
      </c>
      <c r="H586" s="847"/>
      <c r="I586" s="848"/>
      <c r="J586" s="251"/>
      <c r="K586" s="250">
        <f>SUM(K587:K591)</f>
        <v>35.3444</v>
      </c>
      <c r="L586" s="251"/>
      <c r="M586" s="251"/>
      <c r="N586" s="251"/>
    </row>
    <row r="587" spans="2:14" hidden="1" x14ac:dyDescent="0.25">
      <c r="B587" s="852"/>
      <c r="C587" s="854"/>
      <c r="D587" s="746" t="s">
        <v>1149</v>
      </c>
      <c r="E587" s="726"/>
      <c r="F587" s="727">
        <v>1</v>
      </c>
      <c r="G587" s="739">
        <f>'[1]BOLETIM - ADITIVO 01'!G119</f>
        <v>31.73</v>
      </c>
      <c r="H587" s="740"/>
      <c r="I587" s="741"/>
      <c r="J587" s="251"/>
      <c r="K587" s="251">
        <f>F587*G587</f>
        <v>31.73</v>
      </c>
      <c r="L587" s="251"/>
      <c r="M587" s="251"/>
      <c r="N587" s="251"/>
    </row>
    <row r="588" spans="2:14" hidden="1" x14ac:dyDescent="0.25">
      <c r="B588" s="852"/>
      <c r="C588" s="854"/>
      <c r="D588" s="746" t="s">
        <v>1167</v>
      </c>
      <c r="E588" s="726"/>
      <c r="F588" s="730"/>
      <c r="G588" s="798" t="s">
        <v>650</v>
      </c>
      <c r="H588" s="798" t="s">
        <v>651</v>
      </c>
      <c r="I588" s="807" t="s">
        <v>649</v>
      </c>
      <c r="J588" s="251"/>
      <c r="K588" s="251"/>
      <c r="L588" s="251"/>
      <c r="M588" s="251"/>
      <c r="N588" s="251"/>
    </row>
    <row r="589" spans="2:14" hidden="1" x14ac:dyDescent="0.25">
      <c r="B589" s="852"/>
      <c r="C589" s="854"/>
      <c r="D589" s="823" t="s">
        <v>1168</v>
      </c>
      <c r="E589" s="726"/>
      <c r="F589" s="783">
        <v>1</v>
      </c>
      <c r="G589" s="784">
        <f>(11.1+9.1+13.6+1.9+16.3+22.8+5.1+6.3+5.4+2.45+5.4+10.9)</f>
        <v>110.35000000000001</v>
      </c>
      <c r="H589" s="729">
        <v>0.04</v>
      </c>
      <c r="I589" s="783">
        <v>0.8</v>
      </c>
      <c r="J589" s="251"/>
      <c r="K589" s="251">
        <f>F589*G589*H589*I589</f>
        <v>3.5312000000000006</v>
      </c>
      <c r="L589" s="251"/>
      <c r="M589" s="251"/>
      <c r="N589" s="251"/>
    </row>
    <row r="590" spans="2:14" ht="22.5" hidden="1" x14ac:dyDescent="0.25">
      <c r="B590" s="852"/>
      <c r="C590" s="854"/>
      <c r="D590" s="776" t="s">
        <v>1158</v>
      </c>
      <c r="E590" s="777"/>
      <c r="F590" s="783"/>
      <c r="G590" s="785" t="s">
        <v>1067</v>
      </c>
      <c r="H590" s="798" t="s">
        <v>651</v>
      </c>
      <c r="I590" s="783" t="s">
        <v>649</v>
      </c>
      <c r="J590" s="251"/>
      <c r="K590" s="251"/>
      <c r="L590" s="251"/>
      <c r="M590" s="251"/>
      <c r="N590" s="251"/>
    </row>
    <row r="591" spans="2:14" hidden="1" x14ac:dyDescent="0.25">
      <c r="B591" s="852"/>
      <c r="C591" s="854"/>
      <c r="D591" s="864" t="s">
        <v>1168</v>
      </c>
      <c r="E591" s="777"/>
      <c r="F591" s="783">
        <v>1</v>
      </c>
      <c r="G591" s="784">
        <f>(6.8+3.6)</f>
        <v>10.4</v>
      </c>
      <c r="H591" s="729">
        <v>0.04</v>
      </c>
      <c r="I591" s="783">
        <v>0.2</v>
      </c>
      <c r="J591" s="251"/>
      <c r="K591" s="251">
        <f>F591*G591*H591*I591</f>
        <v>8.320000000000001E-2</v>
      </c>
      <c r="L591" s="251"/>
      <c r="M591" s="251"/>
      <c r="N591" s="251"/>
    </row>
    <row r="592" spans="2:14" hidden="1" x14ac:dyDescent="0.25">
      <c r="B592" s="852"/>
      <c r="C592" s="854"/>
      <c r="D592" s="765"/>
      <c r="E592" s="753"/>
      <c r="F592" s="856"/>
      <c r="G592" s="862"/>
      <c r="H592" s="862"/>
      <c r="I592" s="865"/>
      <c r="J592" s="251"/>
      <c r="K592" s="251"/>
      <c r="L592" s="251"/>
      <c r="M592" s="251"/>
      <c r="N592" s="251"/>
    </row>
    <row r="593" spans="2:14" ht="67.5" hidden="1" x14ac:dyDescent="0.25">
      <c r="B593" s="852" t="s">
        <v>317</v>
      </c>
      <c r="C593" s="854">
        <v>94439</v>
      </c>
      <c r="D593" s="765" t="s">
        <v>319</v>
      </c>
      <c r="E593" s="753" t="s">
        <v>17</v>
      </c>
      <c r="F593" s="856"/>
      <c r="G593" s="846" t="s">
        <v>1169</v>
      </c>
      <c r="H593" s="847"/>
      <c r="I593" s="848"/>
      <c r="J593" s="251"/>
      <c r="K593" s="250">
        <f>SUM(K594:K596)</f>
        <v>722.78</v>
      </c>
      <c r="L593" s="251"/>
      <c r="M593" s="251"/>
      <c r="N593" s="251"/>
    </row>
    <row r="594" spans="2:14" hidden="1" x14ac:dyDescent="0.25">
      <c r="B594" s="852"/>
      <c r="C594" s="854"/>
      <c r="D594" s="746" t="s">
        <v>1149</v>
      </c>
      <c r="E594" s="726"/>
      <c r="F594" s="727">
        <v>1</v>
      </c>
      <c r="G594" s="739">
        <f>'[1]BOLETIM - ADITIVO 01'!G120</f>
        <v>634.5</v>
      </c>
      <c r="H594" s="740"/>
      <c r="I594" s="741"/>
      <c r="J594" s="251"/>
      <c r="K594" s="251">
        <f>F594*G594</f>
        <v>634.5</v>
      </c>
      <c r="L594" s="251"/>
      <c r="M594" s="251"/>
      <c r="N594" s="251"/>
    </row>
    <row r="595" spans="2:14" hidden="1" x14ac:dyDescent="0.25">
      <c r="B595" s="852"/>
      <c r="C595" s="854"/>
      <c r="D595" s="748" t="s">
        <v>1167</v>
      </c>
      <c r="E595" s="726"/>
      <c r="F595" s="730"/>
      <c r="G595" s="798" t="s">
        <v>650</v>
      </c>
      <c r="H595" s="798" t="s">
        <v>651</v>
      </c>
      <c r="I595" s="807" t="s">
        <v>649</v>
      </c>
      <c r="J595" s="251"/>
      <c r="K595" s="251"/>
      <c r="L595" s="251"/>
      <c r="M595" s="251"/>
      <c r="N595" s="251"/>
    </row>
    <row r="596" spans="2:14" hidden="1" x14ac:dyDescent="0.25">
      <c r="B596" s="852"/>
      <c r="C596" s="854"/>
      <c r="D596" s="823" t="s">
        <v>1168</v>
      </c>
      <c r="E596" s="726"/>
      <c r="F596" s="783">
        <v>1</v>
      </c>
      <c r="G596" s="784">
        <f>(11.1+9.1+13.6+1.9+16.3+22.8+5.1+6.3+5.4+2.45+5.4+10.9)</f>
        <v>110.35000000000001</v>
      </c>
      <c r="H596" s="729">
        <v>0.15</v>
      </c>
      <c r="I596" s="783">
        <v>0.8</v>
      </c>
      <c r="J596" s="251"/>
      <c r="K596" s="251">
        <f>G596*I596</f>
        <v>88.280000000000015</v>
      </c>
      <c r="L596" s="251"/>
      <c r="M596" s="251"/>
      <c r="N596" s="251"/>
    </row>
    <row r="597" spans="2:14" hidden="1" x14ac:dyDescent="0.25">
      <c r="B597" s="852"/>
      <c r="C597" s="854"/>
      <c r="D597" s="765"/>
      <c r="E597" s="753"/>
      <c r="F597" s="856"/>
      <c r="G597" s="845"/>
      <c r="H597" s="755"/>
      <c r="I597" s="730"/>
      <c r="J597" s="251"/>
      <c r="K597" s="251"/>
      <c r="L597" s="251"/>
      <c r="M597" s="251"/>
      <c r="N597" s="251"/>
    </row>
    <row r="598" spans="2:14" ht="33.75" hidden="1" x14ac:dyDescent="0.25">
      <c r="B598" s="852" t="s">
        <v>320</v>
      </c>
      <c r="C598" s="854">
        <v>87257</v>
      </c>
      <c r="D598" s="765" t="s">
        <v>322</v>
      </c>
      <c r="E598" s="753" t="s">
        <v>17</v>
      </c>
      <c r="F598" s="856"/>
      <c r="G598" s="845"/>
      <c r="H598" s="755"/>
      <c r="I598" s="730"/>
      <c r="J598" s="251"/>
      <c r="K598" s="251">
        <f>(F598*G598*I598)</f>
        <v>0</v>
      </c>
      <c r="L598" s="251"/>
      <c r="M598" s="251"/>
      <c r="N598" s="251"/>
    </row>
    <row r="599" spans="2:14" ht="33.75" hidden="1" x14ac:dyDescent="0.25">
      <c r="B599" s="852" t="s">
        <v>323</v>
      </c>
      <c r="C599" s="854">
        <v>92403</v>
      </c>
      <c r="D599" s="765" t="s">
        <v>325</v>
      </c>
      <c r="E599" s="753" t="s">
        <v>17</v>
      </c>
      <c r="F599" s="856"/>
      <c r="G599" s="766" t="s">
        <v>1170</v>
      </c>
      <c r="H599" s="767"/>
      <c r="I599" s="768"/>
      <c r="J599" s="251"/>
      <c r="K599" s="250">
        <f>SUM(K602:K607)</f>
        <v>371.39400000000006</v>
      </c>
      <c r="L599" s="251"/>
      <c r="M599" s="251"/>
      <c r="N599" s="251"/>
    </row>
    <row r="600" spans="2:14" hidden="1" x14ac:dyDescent="0.25">
      <c r="B600" s="852"/>
      <c r="C600" s="854"/>
      <c r="D600" s="746" t="s">
        <v>1149</v>
      </c>
      <c r="E600" s="726"/>
      <c r="F600" s="727">
        <v>1</v>
      </c>
      <c r="G600" s="739">
        <f>'[1]BOLETIM - ADITIVO 01'!G122</f>
        <v>629.38</v>
      </c>
      <c r="H600" s="740"/>
      <c r="I600" s="741"/>
      <c r="J600" s="251"/>
      <c r="K600" s="251">
        <f>F600*G600</f>
        <v>629.38</v>
      </c>
      <c r="L600" s="251"/>
      <c r="M600" s="251"/>
      <c r="N600" s="251"/>
    </row>
    <row r="601" spans="2:14" hidden="1" x14ac:dyDescent="0.25">
      <c r="B601" s="852"/>
      <c r="C601" s="854"/>
      <c r="D601" s="866" t="s">
        <v>1171</v>
      </c>
      <c r="E601" s="753"/>
      <c r="F601" s="856"/>
      <c r="G601" s="845" t="s">
        <v>650</v>
      </c>
      <c r="H601" s="755" t="s">
        <v>649</v>
      </c>
      <c r="I601" s="730"/>
      <c r="J601" s="251"/>
      <c r="K601" s="251"/>
      <c r="L601" s="251"/>
      <c r="M601" s="251"/>
      <c r="N601" s="251"/>
    </row>
    <row r="602" spans="2:14" hidden="1" x14ac:dyDescent="0.25">
      <c r="B602" s="852"/>
      <c r="C602" s="854"/>
      <c r="D602" s="765"/>
      <c r="E602" s="753"/>
      <c r="F602" s="856">
        <v>1</v>
      </c>
      <c r="G602" s="845">
        <v>11.38</v>
      </c>
      <c r="H602" s="755">
        <v>17.100000000000001</v>
      </c>
      <c r="I602" s="730"/>
      <c r="J602" s="251"/>
      <c r="K602" s="251">
        <f>F602*G602*H602</f>
        <v>194.59800000000004</v>
      </c>
      <c r="L602" s="251"/>
      <c r="M602" s="251"/>
      <c r="N602" s="251"/>
    </row>
    <row r="603" spans="2:14" hidden="1" x14ac:dyDescent="0.25">
      <c r="B603" s="852"/>
      <c r="C603" s="854"/>
      <c r="D603" s="765"/>
      <c r="E603" s="753"/>
      <c r="F603" s="856">
        <v>1</v>
      </c>
      <c r="G603" s="845">
        <v>3.7</v>
      </c>
      <c r="H603" s="755">
        <v>3.8</v>
      </c>
      <c r="I603" s="730"/>
      <c r="J603" s="251"/>
      <c r="K603" s="251">
        <f>F603*G603*H603</f>
        <v>14.06</v>
      </c>
      <c r="L603" s="251"/>
      <c r="M603" s="251"/>
      <c r="N603" s="251"/>
    </row>
    <row r="604" spans="2:14" hidden="1" x14ac:dyDescent="0.25">
      <c r="B604" s="852"/>
      <c r="C604" s="854"/>
      <c r="D604" s="765"/>
      <c r="E604" s="753"/>
      <c r="F604" s="856">
        <v>1</v>
      </c>
      <c r="G604" s="845">
        <v>11.1</v>
      </c>
      <c r="H604" s="755">
        <v>3.3</v>
      </c>
      <c r="I604" s="730"/>
      <c r="J604" s="251"/>
      <c r="K604" s="251">
        <f>F604*G604*H604</f>
        <v>36.629999999999995</v>
      </c>
      <c r="L604" s="251"/>
      <c r="M604" s="251"/>
      <c r="N604" s="251"/>
    </row>
    <row r="605" spans="2:14" hidden="1" x14ac:dyDescent="0.25">
      <c r="B605" s="852"/>
      <c r="C605" s="854"/>
      <c r="D605" s="866" t="s">
        <v>1172</v>
      </c>
      <c r="E605" s="753"/>
      <c r="F605" s="856"/>
      <c r="G605" s="845" t="s">
        <v>650</v>
      </c>
      <c r="H605" s="755" t="s">
        <v>649</v>
      </c>
      <c r="I605" s="730"/>
      <c r="J605" s="251"/>
      <c r="K605" s="251"/>
      <c r="L605" s="251"/>
      <c r="M605" s="251"/>
      <c r="N605" s="251"/>
    </row>
    <row r="606" spans="2:14" hidden="1" x14ac:dyDescent="0.25">
      <c r="B606" s="852"/>
      <c r="C606" s="854"/>
      <c r="D606" s="867" t="s">
        <v>1173</v>
      </c>
      <c r="E606" s="753"/>
      <c r="F606" s="856">
        <v>1</v>
      </c>
      <c r="G606" s="845">
        <v>38.119999999999997</v>
      </c>
      <c r="H606" s="755">
        <v>1.7</v>
      </c>
      <c r="I606" s="730"/>
      <c r="J606" s="251"/>
      <c r="K606" s="251">
        <f>F606*G606*H606</f>
        <v>64.803999999999988</v>
      </c>
      <c r="L606" s="251"/>
      <c r="M606" s="251"/>
      <c r="N606" s="251"/>
    </row>
    <row r="607" spans="2:14" hidden="1" x14ac:dyDescent="0.25">
      <c r="B607" s="852"/>
      <c r="C607" s="854"/>
      <c r="D607" s="867" t="s">
        <v>1174</v>
      </c>
      <c r="E607" s="753"/>
      <c r="F607" s="856">
        <v>1</v>
      </c>
      <c r="G607" s="845">
        <v>36.06</v>
      </c>
      <c r="H607" s="755">
        <v>1.7</v>
      </c>
      <c r="I607" s="730"/>
      <c r="J607" s="251"/>
      <c r="K607" s="251">
        <f>F607*G607*H607</f>
        <v>61.302</v>
      </c>
      <c r="L607" s="251"/>
      <c r="M607" s="251"/>
      <c r="N607" s="251"/>
    </row>
    <row r="608" spans="2:14" ht="56.25" hidden="1" x14ac:dyDescent="0.25">
      <c r="B608" s="852" t="s">
        <v>326</v>
      </c>
      <c r="C608" s="854">
        <v>94273</v>
      </c>
      <c r="D608" s="765" t="s">
        <v>328</v>
      </c>
      <c r="E608" s="753" t="s">
        <v>37</v>
      </c>
      <c r="F608" s="856"/>
      <c r="G608" s="845"/>
      <c r="H608" s="755"/>
      <c r="I608" s="730"/>
      <c r="J608" s="251"/>
      <c r="K608" s="251">
        <f>(F608*G608*I608)</f>
        <v>0</v>
      </c>
      <c r="L608" s="251"/>
      <c r="M608" s="251"/>
      <c r="N608" s="251"/>
    </row>
    <row r="609" spans="2:14" ht="22.5" hidden="1" x14ac:dyDescent="0.25">
      <c r="B609" s="852" t="s">
        <v>329</v>
      </c>
      <c r="C609" s="854">
        <v>368</v>
      </c>
      <c r="D609" s="765" t="s">
        <v>331</v>
      </c>
      <c r="E609" s="753" t="s">
        <v>41</v>
      </c>
      <c r="F609" s="856"/>
      <c r="G609" s="845"/>
      <c r="H609" s="755"/>
      <c r="I609" s="730"/>
      <c r="J609" s="251"/>
      <c r="K609" s="251">
        <f>(F609*G609*I609)</f>
        <v>0</v>
      </c>
      <c r="L609" s="251"/>
      <c r="M609" s="251"/>
      <c r="N609" s="251"/>
    </row>
    <row r="610" spans="2:14" hidden="1" x14ac:dyDescent="0.25">
      <c r="B610" s="852" t="s">
        <v>332</v>
      </c>
      <c r="C610" s="854">
        <v>98504</v>
      </c>
      <c r="D610" s="765" t="s">
        <v>334</v>
      </c>
      <c r="E610" s="753" t="s">
        <v>17</v>
      </c>
      <c r="F610" s="856"/>
      <c r="G610" s="845"/>
      <c r="H610" s="755"/>
      <c r="I610" s="730"/>
      <c r="J610" s="251"/>
      <c r="K610" s="251">
        <f>(F610*G610*I610)</f>
        <v>0</v>
      </c>
      <c r="L610" s="251"/>
      <c r="M610" s="251"/>
      <c r="N610" s="251"/>
    </row>
    <row r="611" spans="2:14" ht="22.5" hidden="1" x14ac:dyDescent="0.25">
      <c r="B611" s="852" t="s">
        <v>335</v>
      </c>
      <c r="C611" s="854">
        <v>103913</v>
      </c>
      <c r="D611" s="765" t="s">
        <v>337</v>
      </c>
      <c r="E611" s="753" t="s">
        <v>17</v>
      </c>
      <c r="F611" s="856"/>
      <c r="G611" s="845"/>
      <c r="H611" s="755"/>
      <c r="I611" s="730"/>
      <c r="J611" s="251"/>
      <c r="K611" s="251">
        <f>(F611*G611*I611)</f>
        <v>0</v>
      </c>
      <c r="L611" s="251"/>
      <c r="M611" s="251"/>
      <c r="N611" s="251"/>
    </row>
    <row r="612" spans="2:14" hidden="1" x14ac:dyDescent="0.25">
      <c r="B612" s="842" t="s">
        <v>338</v>
      </c>
      <c r="C612" s="863" t="s">
        <v>339</v>
      </c>
      <c r="D612" s="765"/>
      <c r="E612" s="753"/>
      <c r="F612" s="856"/>
      <c r="G612" s="845"/>
      <c r="H612" s="755"/>
      <c r="I612" s="730"/>
      <c r="J612" s="251"/>
      <c r="K612" s="251">
        <f>(F612*G612*I612)</f>
        <v>0</v>
      </c>
      <c r="L612" s="251"/>
      <c r="M612" s="251"/>
      <c r="N612" s="251"/>
    </row>
    <row r="613" spans="2:14" ht="45" hidden="1" x14ac:dyDescent="0.25">
      <c r="B613" s="852" t="s">
        <v>340</v>
      </c>
      <c r="C613" s="854">
        <v>94207</v>
      </c>
      <c r="D613" s="765" t="s">
        <v>342</v>
      </c>
      <c r="E613" s="753" t="s">
        <v>17</v>
      </c>
      <c r="F613" s="856"/>
      <c r="G613" s="868" t="s">
        <v>1175</v>
      </c>
      <c r="H613" s="869"/>
      <c r="I613" s="870"/>
      <c r="J613" s="251"/>
      <c r="K613" s="250">
        <f>SUM(K614:K616)</f>
        <v>629.87465000000009</v>
      </c>
      <c r="L613" s="251"/>
      <c r="M613" s="251"/>
      <c r="N613" s="251"/>
    </row>
    <row r="614" spans="2:14" hidden="1" x14ac:dyDescent="0.25">
      <c r="B614" s="852"/>
      <c r="C614" s="854"/>
      <c r="D614" s="746" t="s">
        <v>1149</v>
      </c>
      <c r="E614" s="726"/>
      <c r="F614" s="727">
        <v>1</v>
      </c>
      <c r="G614" s="739">
        <v>610.20000000000005</v>
      </c>
      <c r="H614" s="740"/>
      <c r="I614" s="741"/>
      <c r="J614" s="251"/>
      <c r="K614" s="251">
        <f>F614*G614</f>
        <v>610.20000000000005</v>
      </c>
      <c r="L614" s="251"/>
      <c r="M614" s="251"/>
      <c r="N614" s="251"/>
    </row>
    <row r="615" spans="2:14" hidden="1" x14ac:dyDescent="0.25">
      <c r="B615" s="852"/>
      <c r="C615" s="854"/>
      <c r="D615" s="867" t="s">
        <v>1176</v>
      </c>
      <c r="E615" s="753"/>
      <c r="F615" s="727">
        <v>1</v>
      </c>
      <c r="G615" s="739">
        <f>((0.9+1.5)/2)*5</f>
        <v>6</v>
      </c>
      <c r="H615" s="740"/>
      <c r="I615" s="741"/>
      <c r="J615" s="251"/>
      <c r="K615" s="251">
        <f>F615*G615</f>
        <v>6</v>
      </c>
      <c r="L615" s="251"/>
      <c r="M615" s="251"/>
      <c r="N615" s="251"/>
    </row>
    <row r="616" spans="2:14" hidden="1" x14ac:dyDescent="0.25">
      <c r="B616" s="852"/>
      <c r="C616" s="854"/>
      <c r="D616" s="867" t="s">
        <v>1177</v>
      </c>
      <c r="E616" s="753"/>
      <c r="F616" s="727">
        <v>1</v>
      </c>
      <c r="G616" s="739">
        <f>(2.645*5.17)</f>
        <v>13.67465</v>
      </c>
      <c r="H616" s="740"/>
      <c r="I616" s="741"/>
      <c r="J616" s="251"/>
      <c r="K616" s="251">
        <f>F616*G616</f>
        <v>13.67465</v>
      </c>
      <c r="L616" s="251"/>
      <c r="M616" s="251"/>
      <c r="N616" s="251"/>
    </row>
    <row r="617" spans="2:14" hidden="1" x14ac:dyDescent="0.25">
      <c r="B617" s="852"/>
      <c r="C617" s="854"/>
      <c r="D617" s="765"/>
      <c r="E617" s="753"/>
      <c r="F617" s="856"/>
      <c r="G617" s="845"/>
      <c r="H617" s="755"/>
      <c r="I617" s="730"/>
      <c r="J617" s="251"/>
      <c r="K617" s="251"/>
      <c r="L617" s="251"/>
      <c r="M617" s="251"/>
      <c r="N617" s="251"/>
    </row>
    <row r="618" spans="2:14" ht="33.75" hidden="1" x14ac:dyDescent="0.25">
      <c r="B618" s="852" t="s">
        <v>343</v>
      </c>
      <c r="C618" s="854">
        <v>98546</v>
      </c>
      <c r="D618" s="765" t="s">
        <v>345</v>
      </c>
      <c r="E618" s="753" t="s">
        <v>17</v>
      </c>
      <c r="F618" s="856"/>
      <c r="G618" s="868" t="s">
        <v>1178</v>
      </c>
      <c r="H618" s="869"/>
      <c r="I618" s="870"/>
      <c r="J618" s="251"/>
      <c r="K618" s="250">
        <f>SUM(K619:K620)</f>
        <v>201.28465</v>
      </c>
      <c r="L618" s="251"/>
      <c r="M618" s="251"/>
      <c r="N618" s="251"/>
    </row>
    <row r="619" spans="2:14" hidden="1" x14ac:dyDescent="0.25">
      <c r="B619" s="852"/>
      <c r="C619" s="854"/>
      <c r="D619" s="746" t="s">
        <v>1149</v>
      </c>
      <c r="E619" s="726"/>
      <c r="F619" s="727">
        <v>1</v>
      </c>
      <c r="G619" s="739">
        <v>181.61</v>
      </c>
      <c r="H619" s="740"/>
      <c r="I619" s="741"/>
      <c r="J619" s="251"/>
      <c r="K619" s="251">
        <f>F619*G619</f>
        <v>181.61</v>
      </c>
      <c r="L619" s="251"/>
      <c r="M619" s="251"/>
      <c r="N619" s="251"/>
    </row>
    <row r="620" spans="2:14" hidden="1" x14ac:dyDescent="0.25">
      <c r="B620" s="852"/>
      <c r="C620" s="854"/>
      <c r="D620" s="765" t="s">
        <v>1179</v>
      </c>
      <c r="E620" s="753"/>
      <c r="F620" s="856">
        <v>1</v>
      </c>
      <c r="G620" s="859">
        <f>SUM(G615:I616)</f>
        <v>19.67465</v>
      </c>
      <c r="H620" s="860"/>
      <c r="I620" s="861"/>
      <c r="J620" s="251"/>
      <c r="K620" s="251">
        <f>F620*G620</f>
        <v>19.67465</v>
      </c>
      <c r="L620" s="251"/>
      <c r="M620" s="251"/>
      <c r="N620" s="251"/>
    </row>
    <row r="621" spans="2:14" hidden="1" x14ac:dyDescent="0.25">
      <c r="B621" s="852"/>
      <c r="C621" s="854"/>
      <c r="D621" s="765"/>
      <c r="E621" s="753"/>
      <c r="F621" s="856"/>
      <c r="G621" s="845"/>
      <c r="H621" s="755"/>
      <c r="I621" s="730"/>
      <c r="J621" s="251"/>
      <c r="K621" s="251"/>
      <c r="L621" s="251"/>
      <c r="M621" s="251"/>
      <c r="N621" s="251"/>
    </row>
    <row r="622" spans="2:14" hidden="1" x14ac:dyDescent="0.25">
      <c r="B622" s="852"/>
      <c r="C622" s="854"/>
      <c r="D622" s="765"/>
      <c r="E622" s="753"/>
      <c r="F622" s="856"/>
      <c r="G622" s="845"/>
      <c r="H622" s="755"/>
      <c r="I622" s="730"/>
      <c r="J622" s="251"/>
      <c r="K622" s="251"/>
      <c r="L622" s="251"/>
      <c r="M622" s="251"/>
      <c r="N622" s="251"/>
    </row>
    <row r="623" spans="2:14" ht="33.75" hidden="1" x14ac:dyDescent="0.25">
      <c r="B623" s="852" t="s">
        <v>346</v>
      </c>
      <c r="C623" s="854">
        <v>98565</v>
      </c>
      <c r="D623" s="765" t="s">
        <v>348</v>
      </c>
      <c r="E623" s="753" t="s">
        <v>17</v>
      </c>
      <c r="F623" s="856"/>
      <c r="G623" s="846" t="s">
        <v>1180</v>
      </c>
      <c r="H623" s="847"/>
      <c r="I623" s="848"/>
      <c r="J623" s="251"/>
      <c r="K623" s="250">
        <f>SUM(K624:K625)</f>
        <v>402.5693</v>
      </c>
      <c r="L623" s="251"/>
      <c r="M623" s="251"/>
      <c r="N623" s="251"/>
    </row>
    <row r="624" spans="2:14" hidden="1" x14ac:dyDescent="0.25">
      <c r="B624" s="852"/>
      <c r="C624" s="854"/>
      <c r="D624" s="746" t="s">
        <v>1149</v>
      </c>
      <c r="E624" s="726"/>
      <c r="F624" s="727">
        <v>1</v>
      </c>
      <c r="G624" s="739">
        <v>181.61</v>
      </c>
      <c r="H624" s="740"/>
      <c r="I624" s="741"/>
      <c r="J624" s="251"/>
      <c r="K624" s="251">
        <f>F624*G624</f>
        <v>181.61</v>
      </c>
      <c r="L624" s="251"/>
      <c r="M624" s="251"/>
      <c r="N624" s="251"/>
    </row>
    <row r="625" spans="2:14" ht="22.5" hidden="1" x14ac:dyDescent="0.25">
      <c r="B625" s="852"/>
      <c r="C625" s="854"/>
      <c r="D625" s="765" t="s">
        <v>1181</v>
      </c>
      <c r="E625" s="753"/>
      <c r="F625" s="856">
        <v>1</v>
      </c>
      <c r="G625" s="859">
        <f>((SUM(G615:I616))*2)+181.61</f>
        <v>220.95930000000001</v>
      </c>
      <c r="H625" s="860"/>
      <c r="I625" s="861"/>
      <c r="J625" s="251"/>
      <c r="K625" s="251">
        <f>F625*G625</f>
        <v>220.95930000000001</v>
      </c>
      <c r="L625" s="251"/>
      <c r="M625" s="251"/>
      <c r="N625" s="251"/>
    </row>
    <row r="626" spans="2:14" hidden="1" x14ac:dyDescent="0.25">
      <c r="B626" s="852"/>
      <c r="C626" s="854"/>
      <c r="D626" s="765"/>
      <c r="E626" s="753"/>
      <c r="F626" s="856"/>
      <c r="G626" s="845"/>
      <c r="H626" s="755"/>
      <c r="I626" s="730"/>
      <c r="J626" s="251"/>
      <c r="K626" s="251"/>
      <c r="L626" s="251"/>
      <c r="M626" s="251"/>
      <c r="N626" s="251"/>
    </row>
    <row r="627" spans="2:14" hidden="1" x14ac:dyDescent="0.25">
      <c r="B627" s="852"/>
      <c r="C627" s="854"/>
      <c r="D627" s="765"/>
      <c r="E627" s="753"/>
      <c r="F627" s="856"/>
      <c r="G627" s="845"/>
      <c r="H627" s="755"/>
      <c r="I627" s="730"/>
      <c r="J627" s="251"/>
      <c r="K627" s="251"/>
      <c r="L627" s="251"/>
      <c r="M627" s="251"/>
      <c r="N627" s="251"/>
    </row>
    <row r="628" spans="2:14" ht="45" hidden="1" x14ac:dyDescent="0.25">
      <c r="B628" s="852" t="s">
        <v>349</v>
      </c>
      <c r="C628" s="854">
        <v>100374</v>
      </c>
      <c r="D628" s="765" t="s">
        <v>351</v>
      </c>
      <c r="E628" s="753" t="s">
        <v>166</v>
      </c>
      <c r="F628" s="856"/>
      <c r="G628" s="845"/>
      <c r="H628" s="755"/>
      <c r="I628" s="730"/>
      <c r="J628" s="251"/>
      <c r="K628" s="251">
        <f>(F628*G628*I628)</f>
        <v>0</v>
      </c>
      <c r="L628" s="251"/>
      <c r="M628" s="251"/>
      <c r="N628" s="251"/>
    </row>
    <row r="629" spans="2:14" ht="45" hidden="1" x14ac:dyDescent="0.25">
      <c r="B629" s="852" t="s">
        <v>352</v>
      </c>
      <c r="C629" s="854">
        <v>100375</v>
      </c>
      <c r="D629" s="765" t="s">
        <v>354</v>
      </c>
      <c r="E629" s="753" t="s">
        <v>166</v>
      </c>
      <c r="F629" s="856"/>
      <c r="G629" s="845"/>
      <c r="H629" s="755"/>
      <c r="I629" s="730"/>
      <c r="J629" s="251"/>
      <c r="K629" s="251">
        <f>(F629*G629*I629)</f>
        <v>0</v>
      </c>
      <c r="L629" s="251"/>
      <c r="M629" s="251"/>
      <c r="N629" s="251"/>
    </row>
    <row r="630" spans="2:14" ht="45" hidden="1" x14ac:dyDescent="0.25">
      <c r="B630" s="852" t="s">
        <v>355</v>
      </c>
      <c r="C630" s="854">
        <v>92544</v>
      </c>
      <c r="D630" s="765" t="s">
        <v>357</v>
      </c>
      <c r="E630" s="753" t="s">
        <v>17</v>
      </c>
      <c r="F630" s="856"/>
      <c r="G630" s="868" t="s">
        <v>1182</v>
      </c>
      <c r="H630" s="869"/>
      <c r="I630" s="870"/>
      <c r="J630" s="251"/>
      <c r="K630" s="250">
        <f>SUM(K631:K633)</f>
        <v>629.87465000000009</v>
      </c>
      <c r="L630" s="251"/>
      <c r="M630" s="251"/>
      <c r="N630" s="251"/>
    </row>
    <row r="631" spans="2:14" hidden="1" x14ac:dyDescent="0.25">
      <c r="B631" s="852"/>
      <c r="C631" s="854"/>
      <c r="D631" s="746" t="s">
        <v>1149</v>
      </c>
      <c r="E631" s="726"/>
      <c r="F631" s="727">
        <v>1</v>
      </c>
      <c r="G631" s="739">
        <v>610.20000000000005</v>
      </c>
      <c r="H631" s="740"/>
      <c r="I631" s="741"/>
      <c r="J631" s="251"/>
      <c r="K631" s="251">
        <f>F631*G631</f>
        <v>610.20000000000005</v>
      </c>
      <c r="L631" s="251"/>
      <c r="M631" s="251"/>
      <c r="N631" s="251"/>
    </row>
    <row r="632" spans="2:14" hidden="1" x14ac:dyDescent="0.25">
      <c r="B632" s="852"/>
      <c r="C632" s="854"/>
      <c r="D632" s="867" t="s">
        <v>1176</v>
      </c>
      <c r="E632" s="753"/>
      <c r="F632" s="727">
        <v>1</v>
      </c>
      <c r="G632" s="739">
        <f>((0.9+1.5)/2)*5</f>
        <v>6</v>
      </c>
      <c r="H632" s="740"/>
      <c r="I632" s="741"/>
      <c r="J632" s="251"/>
      <c r="K632" s="251">
        <f>F632*G632</f>
        <v>6</v>
      </c>
      <c r="L632" s="251"/>
      <c r="M632" s="251"/>
      <c r="N632" s="251"/>
    </row>
    <row r="633" spans="2:14" hidden="1" x14ac:dyDescent="0.25">
      <c r="B633" s="852"/>
      <c r="C633" s="854"/>
      <c r="D633" s="867" t="s">
        <v>1177</v>
      </c>
      <c r="E633" s="753"/>
      <c r="F633" s="727">
        <v>1</v>
      </c>
      <c r="G633" s="739">
        <f>(2.645*5.17)</f>
        <v>13.67465</v>
      </c>
      <c r="H633" s="740"/>
      <c r="I633" s="741"/>
      <c r="J633" s="251"/>
      <c r="K633" s="251">
        <f>F633*G633</f>
        <v>13.67465</v>
      </c>
      <c r="L633" s="251"/>
      <c r="M633" s="251"/>
      <c r="N633" s="251"/>
    </row>
    <row r="634" spans="2:14" hidden="1" x14ac:dyDescent="0.25">
      <c r="B634" s="852"/>
      <c r="C634" s="854"/>
      <c r="D634" s="765"/>
      <c r="E634" s="753"/>
      <c r="F634" s="856"/>
      <c r="G634" s="845"/>
      <c r="H634" s="755"/>
      <c r="I634" s="730"/>
      <c r="J634" s="251"/>
      <c r="K634" s="251"/>
      <c r="L634" s="251"/>
      <c r="M634" s="251"/>
      <c r="N634" s="251"/>
    </row>
    <row r="635" spans="2:14" hidden="1" x14ac:dyDescent="0.25">
      <c r="B635" s="852"/>
      <c r="C635" s="854"/>
      <c r="D635" s="765"/>
      <c r="E635" s="753"/>
      <c r="F635" s="856"/>
      <c r="G635" s="845"/>
      <c r="H635" s="755"/>
      <c r="I635" s="730"/>
      <c r="J635" s="251"/>
      <c r="K635" s="251"/>
      <c r="L635" s="251"/>
      <c r="M635" s="251"/>
      <c r="N635" s="251"/>
    </row>
    <row r="636" spans="2:14" ht="33.75" hidden="1" x14ac:dyDescent="0.25">
      <c r="B636" s="852" t="s">
        <v>358</v>
      </c>
      <c r="C636" s="854">
        <v>100435</v>
      </c>
      <c r="D636" s="765" t="s">
        <v>360</v>
      </c>
      <c r="E636" s="753" t="s">
        <v>37</v>
      </c>
      <c r="F636" s="856"/>
      <c r="G636" s="845"/>
      <c r="H636" s="755"/>
      <c r="I636" s="730"/>
      <c r="J636" s="251"/>
      <c r="K636" s="251">
        <f>(F636*G636*I636)</f>
        <v>0</v>
      </c>
      <c r="L636" s="251"/>
      <c r="M636" s="251"/>
      <c r="N636" s="251"/>
    </row>
    <row r="637" spans="2:14" ht="33.75" hidden="1" x14ac:dyDescent="0.25">
      <c r="B637" s="852" t="s">
        <v>361</v>
      </c>
      <c r="C637" s="854">
        <v>94229</v>
      </c>
      <c r="D637" s="765" t="s">
        <v>363</v>
      </c>
      <c r="E637" s="753" t="s">
        <v>37</v>
      </c>
      <c r="F637" s="856"/>
      <c r="G637" s="846" t="s">
        <v>1183</v>
      </c>
      <c r="H637" s="847"/>
      <c r="I637" s="848"/>
      <c r="J637" s="251"/>
      <c r="K637" s="250">
        <f>SUM(K638:K639)</f>
        <v>106.23</v>
      </c>
      <c r="L637" s="251"/>
      <c r="M637" s="251"/>
      <c r="N637" s="251"/>
    </row>
    <row r="638" spans="2:14" hidden="1" x14ac:dyDescent="0.25">
      <c r="B638" s="852"/>
      <c r="C638" s="854"/>
      <c r="D638" s="746" t="s">
        <v>1149</v>
      </c>
      <c r="E638" s="726"/>
      <c r="F638" s="727">
        <v>1</v>
      </c>
      <c r="G638" s="739">
        <v>52.64</v>
      </c>
      <c r="H638" s="740"/>
      <c r="I638" s="741"/>
      <c r="J638" s="251"/>
      <c r="K638" s="251">
        <f>F638*G638</f>
        <v>52.64</v>
      </c>
      <c r="L638" s="251"/>
      <c r="M638" s="251"/>
      <c r="N638" s="251"/>
    </row>
    <row r="639" spans="2:14" hidden="1" x14ac:dyDescent="0.25">
      <c r="B639" s="852"/>
      <c r="C639" s="854"/>
      <c r="D639" s="765" t="s">
        <v>1184</v>
      </c>
      <c r="E639" s="753"/>
      <c r="F639" s="856">
        <v>1</v>
      </c>
      <c r="G639" s="859">
        <f xml:space="preserve"> 52.64 + 0.95</f>
        <v>53.59</v>
      </c>
      <c r="H639" s="860"/>
      <c r="I639" s="861"/>
      <c r="J639" s="251"/>
      <c r="K639" s="251">
        <f>F639*G639</f>
        <v>53.59</v>
      </c>
      <c r="L639" s="251"/>
      <c r="M639" s="251"/>
      <c r="N639" s="251"/>
    </row>
    <row r="640" spans="2:14" hidden="1" x14ac:dyDescent="0.25">
      <c r="B640" s="852"/>
      <c r="C640" s="854"/>
      <c r="D640" s="765"/>
      <c r="E640" s="753"/>
      <c r="F640" s="856"/>
      <c r="G640" s="845"/>
      <c r="H640" s="755"/>
      <c r="I640" s="730"/>
      <c r="J640" s="251"/>
      <c r="K640" s="251"/>
      <c r="L640" s="251"/>
      <c r="M640" s="251"/>
      <c r="N640" s="251"/>
    </row>
    <row r="641" spans="2:14" hidden="1" x14ac:dyDescent="0.25">
      <c r="B641" s="852"/>
      <c r="C641" s="854"/>
      <c r="D641" s="765"/>
      <c r="E641" s="753"/>
      <c r="F641" s="856"/>
      <c r="G641" s="845"/>
      <c r="H641" s="755"/>
      <c r="I641" s="730"/>
      <c r="J641" s="251"/>
      <c r="K641" s="251"/>
      <c r="L641" s="251"/>
      <c r="M641" s="251"/>
      <c r="N641" s="251"/>
    </row>
    <row r="642" spans="2:14" ht="22.5" hidden="1" x14ac:dyDescent="0.25">
      <c r="B642" s="852" t="s">
        <v>364</v>
      </c>
      <c r="C642" s="854">
        <v>96113</v>
      </c>
      <c r="D642" s="765" t="s">
        <v>366</v>
      </c>
      <c r="E642" s="753" t="s">
        <v>17</v>
      </c>
      <c r="F642" s="856"/>
      <c r="G642" s="845"/>
      <c r="H642" s="755"/>
      <c r="I642" s="730"/>
      <c r="J642" s="251"/>
      <c r="K642" s="251">
        <f t="shared" ref="K642:K678" si="16">(F642*G642*I642)</f>
        <v>0</v>
      </c>
      <c r="L642" s="251"/>
      <c r="M642" s="251"/>
      <c r="N642" s="251"/>
    </row>
    <row r="643" spans="2:14" hidden="1" x14ac:dyDescent="0.25">
      <c r="B643" s="842">
        <v>1.1299999999999999</v>
      </c>
      <c r="C643" s="843" t="s">
        <v>368</v>
      </c>
      <c r="D643" s="765"/>
      <c r="E643" s="753"/>
      <c r="F643" s="856"/>
      <c r="G643" s="845"/>
      <c r="H643" s="755"/>
      <c r="I643" s="730"/>
      <c r="J643" s="251"/>
      <c r="K643" s="251">
        <f t="shared" si="16"/>
        <v>0</v>
      </c>
      <c r="L643" s="251"/>
      <c r="M643" s="251"/>
      <c r="N643" s="251"/>
    </row>
    <row r="644" spans="2:14" ht="56.25" hidden="1" x14ac:dyDescent="0.25">
      <c r="B644" s="852" t="s">
        <v>369</v>
      </c>
      <c r="C644" s="854">
        <v>91785</v>
      </c>
      <c r="D644" s="765" t="s">
        <v>371</v>
      </c>
      <c r="E644" s="753" t="s">
        <v>37</v>
      </c>
      <c r="F644" s="856"/>
      <c r="G644" s="845"/>
      <c r="H644" s="855"/>
      <c r="I644" s="730"/>
      <c r="J644" s="251"/>
      <c r="K644" s="251">
        <f t="shared" si="16"/>
        <v>0</v>
      </c>
      <c r="L644" s="251"/>
      <c r="M644" s="251"/>
      <c r="N644" s="251"/>
    </row>
    <row r="645" spans="2:14" ht="56.25" hidden="1" x14ac:dyDescent="0.25">
      <c r="B645" s="852" t="s">
        <v>372</v>
      </c>
      <c r="C645" s="854">
        <v>91784</v>
      </c>
      <c r="D645" s="765" t="s">
        <v>374</v>
      </c>
      <c r="E645" s="753" t="s">
        <v>37</v>
      </c>
      <c r="F645" s="856"/>
      <c r="G645" s="845"/>
      <c r="H645" s="855"/>
      <c r="I645" s="730"/>
      <c r="J645" s="251"/>
      <c r="K645" s="251">
        <f t="shared" si="16"/>
        <v>0</v>
      </c>
      <c r="L645" s="251"/>
      <c r="M645" s="251"/>
      <c r="N645" s="251"/>
    </row>
    <row r="646" spans="2:14" ht="56.25" hidden="1" x14ac:dyDescent="0.25">
      <c r="B646" s="852" t="s">
        <v>375</v>
      </c>
      <c r="C646" s="854">
        <v>91786</v>
      </c>
      <c r="D646" s="765" t="s">
        <v>377</v>
      </c>
      <c r="E646" s="753" t="s">
        <v>37</v>
      </c>
      <c r="F646" s="856"/>
      <c r="G646" s="845"/>
      <c r="H646" s="855"/>
      <c r="I646" s="730"/>
      <c r="J646" s="251"/>
      <c r="K646" s="251">
        <f t="shared" si="16"/>
        <v>0</v>
      </c>
      <c r="L646" s="251"/>
      <c r="M646" s="251"/>
      <c r="N646" s="251"/>
    </row>
    <row r="647" spans="2:14" ht="56.25" hidden="1" x14ac:dyDescent="0.25">
      <c r="B647" s="852" t="s">
        <v>378</v>
      </c>
      <c r="C647" s="854">
        <v>91787</v>
      </c>
      <c r="D647" s="765" t="s">
        <v>380</v>
      </c>
      <c r="E647" s="753" t="s">
        <v>37</v>
      </c>
      <c r="F647" s="856"/>
      <c r="G647" s="845"/>
      <c r="H647" s="855"/>
      <c r="I647" s="730"/>
      <c r="J647" s="251"/>
      <c r="K647" s="251">
        <f t="shared" si="16"/>
        <v>0</v>
      </c>
      <c r="L647" s="251"/>
      <c r="M647" s="251"/>
      <c r="N647" s="251"/>
    </row>
    <row r="648" spans="2:14" ht="33.75" hidden="1" x14ac:dyDescent="0.25">
      <c r="B648" s="852" t="s">
        <v>381</v>
      </c>
      <c r="C648" s="854">
        <v>89987</v>
      </c>
      <c r="D648" s="765" t="s">
        <v>383</v>
      </c>
      <c r="E648" s="753" t="s">
        <v>166</v>
      </c>
      <c r="F648" s="856"/>
      <c r="G648" s="845"/>
      <c r="H648" s="855"/>
      <c r="I648" s="730"/>
      <c r="J648" s="251"/>
      <c r="K648" s="251">
        <f t="shared" si="16"/>
        <v>0</v>
      </c>
      <c r="L648" s="251"/>
      <c r="M648" s="251"/>
      <c r="N648" s="251"/>
    </row>
    <row r="649" spans="2:14" ht="22.5" hidden="1" x14ac:dyDescent="0.25">
      <c r="B649" s="852" t="s">
        <v>384</v>
      </c>
      <c r="C649" s="854">
        <v>94490</v>
      </c>
      <c r="D649" s="765" t="s">
        <v>386</v>
      </c>
      <c r="E649" s="753" t="s">
        <v>166</v>
      </c>
      <c r="F649" s="856"/>
      <c r="G649" s="845"/>
      <c r="H649" s="855"/>
      <c r="I649" s="730"/>
      <c r="J649" s="251"/>
      <c r="K649" s="251">
        <f t="shared" si="16"/>
        <v>0</v>
      </c>
      <c r="L649" s="251"/>
      <c r="M649" s="251"/>
      <c r="N649" s="251"/>
    </row>
    <row r="650" spans="2:14" ht="33.75" hidden="1" x14ac:dyDescent="0.25">
      <c r="B650" s="852" t="s">
        <v>387</v>
      </c>
      <c r="C650" s="854">
        <v>89985</v>
      </c>
      <c r="D650" s="765" t="s">
        <v>389</v>
      </c>
      <c r="E650" s="753" t="s">
        <v>166</v>
      </c>
      <c r="F650" s="856"/>
      <c r="G650" s="845"/>
      <c r="H650" s="855"/>
      <c r="I650" s="730"/>
      <c r="J650" s="251"/>
      <c r="K650" s="251">
        <f t="shared" si="16"/>
        <v>0</v>
      </c>
      <c r="L650" s="251"/>
      <c r="M650" s="251"/>
      <c r="N650" s="251"/>
    </row>
    <row r="651" spans="2:14" ht="33.75" hidden="1" x14ac:dyDescent="0.25">
      <c r="B651" s="852" t="s">
        <v>390</v>
      </c>
      <c r="C651" s="854">
        <v>102613</v>
      </c>
      <c r="D651" s="765" t="s">
        <v>392</v>
      </c>
      <c r="E651" s="753" t="s">
        <v>166</v>
      </c>
      <c r="F651" s="856"/>
      <c r="G651" s="845"/>
      <c r="H651" s="855"/>
      <c r="I651" s="730"/>
      <c r="J651" s="251"/>
      <c r="K651" s="251">
        <f t="shared" si="16"/>
        <v>0</v>
      </c>
      <c r="L651" s="251"/>
      <c r="M651" s="251"/>
      <c r="N651" s="251"/>
    </row>
    <row r="652" spans="2:14" ht="22.5" hidden="1" x14ac:dyDescent="0.25">
      <c r="B652" s="852" t="s">
        <v>393</v>
      </c>
      <c r="C652" s="854">
        <v>102609</v>
      </c>
      <c r="D652" s="765" t="s">
        <v>395</v>
      </c>
      <c r="E652" s="753" t="s">
        <v>166</v>
      </c>
      <c r="F652" s="856"/>
      <c r="G652" s="845"/>
      <c r="H652" s="855"/>
      <c r="I652" s="730"/>
      <c r="J652" s="251"/>
      <c r="K652" s="251">
        <f t="shared" si="16"/>
        <v>0</v>
      </c>
      <c r="L652" s="251"/>
      <c r="M652" s="251"/>
      <c r="N652" s="251"/>
    </row>
    <row r="653" spans="2:14" ht="22.5" hidden="1" x14ac:dyDescent="0.25">
      <c r="B653" s="852" t="s">
        <v>396</v>
      </c>
      <c r="C653" s="854">
        <v>94796</v>
      </c>
      <c r="D653" s="765" t="s">
        <v>398</v>
      </c>
      <c r="E653" s="753" t="s">
        <v>166</v>
      </c>
      <c r="F653" s="856"/>
      <c r="G653" s="845"/>
      <c r="H653" s="855"/>
      <c r="I653" s="730"/>
      <c r="J653" s="251"/>
      <c r="K653" s="251">
        <f t="shared" si="16"/>
        <v>0</v>
      </c>
      <c r="L653" s="251"/>
      <c r="M653" s="251"/>
      <c r="N653" s="251"/>
    </row>
    <row r="654" spans="2:14" ht="22.5" hidden="1" x14ac:dyDescent="0.25">
      <c r="B654" s="852" t="s">
        <v>399</v>
      </c>
      <c r="C654" s="854">
        <v>94491</v>
      </c>
      <c r="D654" s="765" t="s">
        <v>401</v>
      </c>
      <c r="E654" s="753" t="s">
        <v>166</v>
      </c>
      <c r="F654" s="856"/>
      <c r="G654" s="845"/>
      <c r="H654" s="855"/>
      <c r="I654" s="730"/>
      <c r="J654" s="251"/>
      <c r="K654" s="251">
        <f t="shared" si="16"/>
        <v>0</v>
      </c>
      <c r="L654" s="251"/>
      <c r="M654" s="251"/>
      <c r="N654" s="251"/>
    </row>
    <row r="655" spans="2:14" ht="22.5" hidden="1" x14ac:dyDescent="0.25">
      <c r="B655" s="852" t="s">
        <v>402</v>
      </c>
      <c r="C655" s="854">
        <v>94492</v>
      </c>
      <c r="D655" s="765" t="s">
        <v>404</v>
      </c>
      <c r="E655" s="753" t="s">
        <v>166</v>
      </c>
      <c r="F655" s="856"/>
      <c r="G655" s="845"/>
      <c r="H655" s="855"/>
      <c r="I655" s="730"/>
      <c r="J655" s="251"/>
      <c r="K655" s="251">
        <f t="shared" si="16"/>
        <v>0</v>
      </c>
      <c r="L655" s="251"/>
      <c r="M655" s="251"/>
      <c r="N655" s="251"/>
    </row>
    <row r="656" spans="2:14" ht="22.5" hidden="1" x14ac:dyDescent="0.25">
      <c r="B656" s="852" t="s">
        <v>405</v>
      </c>
      <c r="C656" s="854">
        <v>95675</v>
      </c>
      <c r="D656" s="765" t="s">
        <v>407</v>
      </c>
      <c r="E656" s="753" t="s">
        <v>166</v>
      </c>
      <c r="F656" s="856"/>
      <c r="G656" s="845"/>
      <c r="H656" s="855"/>
      <c r="I656" s="730"/>
      <c r="J656" s="251"/>
      <c r="K656" s="251">
        <f t="shared" si="16"/>
        <v>0</v>
      </c>
      <c r="L656" s="251"/>
      <c r="M656" s="251"/>
      <c r="N656" s="251"/>
    </row>
    <row r="657" spans="2:14" ht="45" hidden="1" x14ac:dyDescent="0.25">
      <c r="B657" s="852" t="s">
        <v>408</v>
      </c>
      <c r="C657" s="854">
        <v>97902</v>
      </c>
      <c r="D657" s="765" t="s">
        <v>410</v>
      </c>
      <c r="E657" s="753" t="s">
        <v>166</v>
      </c>
      <c r="F657" s="856"/>
      <c r="G657" s="845"/>
      <c r="H657" s="855"/>
      <c r="I657" s="730"/>
      <c r="J657" s="251"/>
      <c r="K657" s="251">
        <f t="shared" si="16"/>
        <v>0</v>
      </c>
      <c r="L657" s="251"/>
      <c r="M657" s="251"/>
      <c r="N657" s="251"/>
    </row>
    <row r="658" spans="2:14" ht="45" hidden="1" x14ac:dyDescent="0.25">
      <c r="B658" s="852" t="s">
        <v>411</v>
      </c>
      <c r="C658" s="854">
        <v>99258</v>
      </c>
      <c r="D658" s="765" t="s">
        <v>413</v>
      </c>
      <c r="E658" s="753" t="s">
        <v>166</v>
      </c>
      <c r="F658" s="856"/>
      <c r="G658" s="845"/>
      <c r="H658" s="855"/>
      <c r="I658" s="730"/>
      <c r="J658" s="251"/>
      <c r="K658" s="251">
        <f t="shared" si="16"/>
        <v>0</v>
      </c>
      <c r="L658" s="251"/>
      <c r="M658" s="251"/>
      <c r="N658" s="251"/>
    </row>
    <row r="659" spans="2:14" ht="33.75" hidden="1" x14ac:dyDescent="0.25">
      <c r="B659" s="852" t="s">
        <v>414</v>
      </c>
      <c r="C659" s="854">
        <v>89482</v>
      </c>
      <c r="D659" s="765" t="s">
        <v>416</v>
      </c>
      <c r="E659" s="753" t="s">
        <v>166</v>
      </c>
      <c r="F659" s="856"/>
      <c r="G659" s="845"/>
      <c r="H659" s="855"/>
      <c r="I659" s="730"/>
      <c r="J659" s="251"/>
      <c r="K659" s="251">
        <f t="shared" si="16"/>
        <v>0</v>
      </c>
      <c r="L659" s="251"/>
      <c r="M659" s="251"/>
      <c r="N659" s="251"/>
    </row>
    <row r="660" spans="2:14" ht="56.25" hidden="1" x14ac:dyDescent="0.25">
      <c r="B660" s="852" t="s">
        <v>417</v>
      </c>
      <c r="C660" s="854">
        <v>91792</v>
      </c>
      <c r="D660" s="765" t="s">
        <v>419</v>
      </c>
      <c r="E660" s="753" t="s">
        <v>37</v>
      </c>
      <c r="F660" s="856"/>
      <c r="G660" s="845"/>
      <c r="H660" s="855"/>
      <c r="I660" s="730"/>
      <c r="J660" s="251"/>
      <c r="K660" s="251">
        <f t="shared" si="16"/>
        <v>0</v>
      </c>
      <c r="L660" s="251"/>
      <c r="M660" s="251"/>
      <c r="N660" s="251"/>
    </row>
    <row r="661" spans="2:14" ht="56.25" hidden="1" x14ac:dyDescent="0.25">
      <c r="B661" s="852" t="s">
        <v>420</v>
      </c>
      <c r="C661" s="854">
        <v>91793</v>
      </c>
      <c r="D661" s="765" t="s">
        <v>422</v>
      </c>
      <c r="E661" s="753" t="s">
        <v>37</v>
      </c>
      <c r="F661" s="856"/>
      <c r="G661" s="845"/>
      <c r="H661" s="855"/>
      <c r="I661" s="730"/>
      <c r="J661" s="251"/>
      <c r="K661" s="251">
        <f t="shared" si="16"/>
        <v>0</v>
      </c>
      <c r="L661" s="251"/>
      <c r="M661" s="251"/>
      <c r="N661" s="251"/>
    </row>
    <row r="662" spans="2:14" ht="45" hidden="1" x14ac:dyDescent="0.25">
      <c r="B662" s="852" t="s">
        <v>423</v>
      </c>
      <c r="C662" s="854">
        <v>98107</v>
      </c>
      <c r="D662" s="765" t="s">
        <v>425</v>
      </c>
      <c r="E662" s="753" t="s">
        <v>166</v>
      </c>
      <c r="F662" s="856"/>
      <c r="G662" s="845"/>
      <c r="H662" s="855"/>
      <c r="I662" s="730"/>
      <c r="J662" s="251"/>
      <c r="K662" s="251">
        <f t="shared" si="16"/>
        <v>0</v>
      </c>
      <c r="L662" s="251"/>
      <c r="M662" s="251"/>
      <c r="N662" s="251"/>
    </row>
    <row r="663" spans="2:14" ht="56.25" hidden="1" x14ac:dyDescent="0.25">
      <c r="B663" s="852" t="s">
        <v>426</v>
      </c>
      <c r="C663" s="854">
        <v>91795</v>
      </c>
      <c r="D663" s="765" t="s">
        <v>428</v>
      </c>
      <c r="E663" s="753" t="s">
        <v>37</v>
      </c>
      <c r="F663" s="856"/>
      <c r="G663" s="845"/>
      <c r="H663" s="855"/>
      <c r="I663" s="730"/>
      <c r="J663" s="251"/>
      <c r="K663" s="251">
        <f t="shared" si="16"/>
        <v>0</v>
      </c>
      <c r="L663" s="251"/>
      <c r="M663" s="251"/>
      <c r="N663" s="251"/>
    </row>
    <row r="664" spans="2:14" ht="45" hidden="1" x14ac:dyDescent="0.25">
      <c r="B664" s="852" t="s">
        <v>429</v>
      </c>
      <c r="C664" s="857">
        <v>99251</v>
      </c>
      <c r="D664" s="858" t="s">
        <v>431</v>
      </c>
      <c r="E664" s="753" t="s">
        <v>166</v>
      </c>
      <c r="F664" s="856"/>
      <c r="G664" s="845"/>
      <c r="H664" s="855"/>
      <c r="I664" s="730"/>
      <c r="J664" s="251"/>
      <c r="K664" s="251">
        <f t="shared" si="16"/>
        <v>0</v>
      </c>
      <c r="L664" s="251"/>
      <c r="M664" s="251"/>
      <c r="N664" s="251"/>
    </row>
    <row r="665" spans="2:14" ht="56.25" hidden="1" x14ac:dyDescent="0.25">
      <c r="B665" s="852" t="s">
        <v>432</v>
      </c>
      <c r="C665" s="857">
        <v>91790</v>
      </c>
      <c r="D665" s="858" t="s">
        <v>434</v>
      </c>
      <c r="E665" s="753" t="s">
        <v>37</v>
      </c>
      <c r="F665" s="856"/>
      <c r="G665" s="845"/>
      <c r="H665" s="855"/>
      <c r="I665" s="730"/>
      <c r="J665" s="251"/>
      <c r="K665" s="251">
        <f t="shared" si="16"/>
        <v>0</v>
      </c>
      <c r="L665" s="251"/>
      <c r="M665" s="251"/>
      <c r="N665" s="251"/>
    </row>
    <row r="666" spans="2:14" hidden="1" x14ac:dyDescent="0.25">
      <c r="B666" s="842">
        <v>1.1399999999999999</v>
      </c>
      <c r="C666" s="843" t="s">
        <v>436</v>
      </c>
      <c r="D666" s="765"/>
      <c r="E666" s="753"/>
      <c r="F666" s="844"/>
      <c r="G666" s="845"/>
      <c r="H666" s="755"/>
      <c r="I666" s="730"/>
      <c r="J666" s="251"/>
      <c r="K666" s="251">
        <f t="shared" si="16"/>
        <v>0</v>
      </c>
      <c r="L666" s="251"/>
      <c r="M666" s="251"/>
      <c r="N666" s="251"/>
    </row>
    <row r="667" spans="2:14" ht="22.5" hidden="1" x14ac:dyDescent="0.25">
      <c r="B667" s="852" t="s">
        <v>437</v>
      </c>
      <c r="C667" s="853" t="s">
        <v>438</v>
      </c>
      <c r="D667" s="765" t="s">
        <v>439</v>
      </c>
      <c r="E667" s="753" t="s">
        <v>17</v>
      </c>
      <c r="F667" s="844"/>
      <c r="G667" s="845"/>
      <c r="H667" s="755"/>
      <c r="I667" s="730"/>
      <c r="J667" s="251"/>
      <c r="K667" s="251">
        <f t="shared" si="16"/>
        <v>0</v>
      </c>
      <c r="L667" s="251"/>
      <c r="M667" s="251"/>
      <c r="N667" s="251"/>
    </row>
    <row r="668" spans="2:14" ht="33.75" hidden="1" x14ac:dyDescent="0.25">
      <c r="B668" s="852" t="s">
        <v>440</v>
      </c>
      <c r="C668" s="857">
        <v>86906</v>
      </c>
      <c r="D668" s="858" t="s">
        <v>442</v>
      </c>
      <c r="E668" s="753" t="s">
        <v>166</v>
      </c>
      <c r="F668" s="871"/>
      <c r="G668" s="845"/>
      <c r="H668" s="753"/>
      <c r="I668" s="730"/>
      <c r="J668" s="251"/>
      <c r="K668" s="251">
        <f t="shared" si="16"/>
        <v>0</v>
      </c>
      <c r="L668" s="251"/>
      <c r="M668" s="251"/>
      <c r="N668" s="251"/>
    </row>
    <row r="669" spans="2:14" ht="33.75" hidden="1" x14ac:dyDescent="0.25">
      <c r="B669" s="852" t="s">
        <v>443</v>
      </c>
      <c r="C669" s="854">
        <v>86911</v>
      </c>
      <c r="D669" s="765" t="s">
        <v>445</v>
      </c>
      <c r="E669" s="753" t="s">
        <v>166</v>
      </c>
      <c r="F669" s="844"/>
      <c r="G669" s="845"/>
      <c r="H669" s="755"/>
      <c r="I669" s="730"/>
      <c r="J669" s="251"/>
      <c r="K669" s="251">
        <f t="shared" si="16"/>
        <v>0</v>
      </c>
      <c r="L669" s="251"/>
      <c r="M669" s="251"/>
      <c r="N669" s="251"/>
    </row>
    <row r="670" spans="2:14" ht="33.75" hidden="1" x14ac:dyDescent="0.25">
      <c r="B670" s="852" t="s">
        <v>446</v>
      </c>
      <c r="C670" s="854">
        <v>10428</v>
      </c>
      <c r="D670" s="765" t="s">
        <v>448</v>
      </c>
      <c r="E670" s="753" t="s">
        <v>166</v>
      </c>
      <c r="F670" s="844"/>
      <c r="G670" s="845"/>
      <c r="H670" s="755"/>
      <c r="I670" s="730"/>
      <c r="J670" s="251"/>
      <c r="K670" s="251">
        <f t="shared" si="16"/>
        <v>0</v>
      </c>
      <c r="L670" s="251"/>
      <c r="M670" s="251"/>
      <c r="N670" s="251"/>
    </row>
    <row r="671" spans="2:14" ht="45" hidden="1" x14ac:dyDescent="0.25">
      <c r="B671" s="852" t="s">
        <v>449</v>
      </c>
      <c r="C671" s="854">
        <v>86932</v>
      </c>
      <c r="D671" s="765" t="s">
        <v>451</v>
      </c>
      <c r="E671" s="753" t="s">
        <v>166</v>
      </c>
      <c r="F671" s="844"/>
      <c r="G671" s="845"/>
      <c r="H671" s="755"/>
      <c r="I671" s="730"/>
      <c r="J671" s="251"/>
      <c r="K671" s="251">
        <f t="shared" si="16"/>
        <v>0</v>
      </c>
      <c r="L671" s="251"/>
      <c r="M671" s="251"/>
      <c r="N671" s="251"/>
    </row>
    <row r="672" spans="2:14" ht="45" hidden="1" x14ac:dyDescent="0.25">
      <c r="B672" s="852" t="s">
        <v>452</v>
      </c>
      <c r="C672" s="854">
        <v>86935</v>
      </c>
      <c r="D672" s="765" t="s">
        <v>454</v>
      </c>
      <c r="E672" s="753" t="s">
        <v>166</v>
      </c>
      <c r="F672" s="844"/>
      <c r="G672" s="845"/>
      <c r="H672" s="755"/>
      <c r="I672" s="730"/>
      <c r="J672" s="251"/>
      <c r="K672" s="251">
        <f t="shared" si="16"/>
        <v>0</v>
      </c>
      <c r="L672" s="251"/>
      <c r="M672" s="251"/>
      <c r="N672" s="251"/>
    </row>
    <row r="673" spans="2:14" ht="33.75" hidden="1" x14ac:dyDescent="0.25">
      <c r="B673" s="852" t="s">
        <v>455</v>
      </c>
      <c r="C673" s="854">
        <v>100868</v>
      </c>
      <c r="D673" s="765" t="s">
        <v>457</v>
      </c>
      <c r="E673" s="753" t="s">
        <v>166</v>
      </c>
      <c r="F673" s="844"/>
      <c r="G673" s="845"/>
      <c r="H673" s="755"/>
      <c r="I673" s="730"/>
      <c r="J673" s="251"/>
      <c r="K673" s="251">
        <f t="shared" si="16"/>
        <v>0</v>
      </c>
      <c r="L673" s="251"/>
      <c r="M673" s="251"/>
      <c r="N673" s="251"/>
    </row>
    <row r="674" spans="2:14" ht="56.25" hidden="1" x14ac:dyDescent="0.25">
      <c r="B674" s="852" t="s">
        <v>458</v>
      </c>
      <c r="C674" s="854">
        <v>86942</v>
      </c>
      <c r="D674" s="765" t="s">
        <v>460</v>
      </c>
      <c r="E674" s="753" t="s">
        <v>166</v>
      </c>
      <c r="F674" s="844"/>
      <c r="G674" s="845"/>
      <c r="H674" s="755"/>
      <c r="I674" s="730"/>
      <c r="J674" s="251"/>
      <c r="K674" s="251">
        <f t="shared" si="16"/>
        <v>0</v>
      </c>
      <c r="L674" s="251"/>
      <c r="M674" s="251"/>
      <c r="N674" s="251"/>
    </row>
    <row r="675" spans="2:14" ht="56.25" hidden="1" x14ac:dyDescent="0.25">
      <c r="B675" s="852" t="s">
        <v>461</v>
      </c>
      <c r="C675" s="854">
        <v>86923</v>
      </c>
      <c r="D675" s="765" t="s">
        <v>463</v>
      </c>
      <c r="E675" s="753" t="s">
        <v>166</v>
      </c>
      <c r="F675" s="844"/>
      <c r="G675" s="845"/>
      <c r="H675" s="755"/>
      <c r="I675" s="730"/>
      <c r="J675" s="251"/>
      <c r="K675" s="251">
        <f t="shared" si="16"/>
        <v>0</v>
      </c>
      <c r="L675" s="251"/>
      <c r="M675" s="251"/>
      <c r="N675" s="251"/>
    </row>
    <row r="676" spans="2:14" ht="45" hidden="1" x14ac:dyDescent="0.25">
      <c r="B676" s="852" t="s">
        <v>464</v>
      </c>
      <c r="C676" s="854">
        <v>95472</v>
      </c>
      <c r="D676" s="765" t="s">
        <v>466</v>
      </c>
      <c r="E676" s="753" t="s">
        <v>166</v>
      </c>
      <c r="F676" s="844"/>
      <c r="G676" s="845"/>
      <c r="H676" s="755"/>
      <c r="I676" s="730"/>
      <c r="J676" s="251"/>
      <c r="K676" s="251">
        <f t="shared" si="16"/>
        <v>0</v>
      </c>
      <c r="L676" s="251"/>
      <c r="M676" s="251"/>
      <c r="N676" s="251"/>
    </row>
    <row r="677" spans="2:14" ht="33.75" hidden="1" x14ac:dyDescent="0.25">
      <c r="B677" s="852" t="s">
        <v>467</v>
      </c>
      <c r="C677" s="854">
        <v>102253</v>
      </c>
      <c r="D677" s="765" t="s">
        <v>469</v>
      </c>
      <c r="E677" s="753" t="s">
        <v>17</v>
      </c>
      <c r="F677" s="844"/>
      <c r="G677" s="845"/>
      <c r="H677" s="755"/>
      <c r="I677" s="730"/>
      <c r="J677" s="251"/>
      <c r="K677" s="251">
        <f t="shared" si="16"/>
        <v>0</v>
      </c>
      <c r="L677" s="251"/>
      <c r="M677" s="251"/>
      <c r="N677" s="251"/>
    </row>
    <row r="678" spans="2:14" ht="22.5" hidden="1" x14ac:dyDescent="0.25">
      <c r="B678" s="852" t="s">
        <v>470</v>
      </c>
      <c r="C678" s="854">
        <v>100860</v>
      </c>
      <c r="D678" s="765" t="s">
        <v>472</v>
      </c>
      <c r="E678" s="753" t="s">
        <v>166</v>
      </c>
      <c r="F678" s="844"/>
      <c r="G678" s="845"/>
      <c r="H678" s="755"/>
      <c r="I678" s="730"/>
      <c r="J678" s="251"/>
      <c r="K678" s="251">
        <f t="shared" si="16"/>
        <v>0</v>
      </c>
      <c r="L678" s="251"/>
      <c r="M678" s="251"/>
      <c r="N678" s="251"/>
    </row>
    <row r="679" spans="2:14" x14ac:dyDescent="0.25">
      <c r="B679" s="842">
        <v>1.1499999999999999</v>
      </c>
      <c r="C679" s="843" t="s">
        <v>474</v>
      </c>
      <c r="D679" s="765"/>
      <c r="E679" s="753"/>
      <c r="F679" s="844"/>
      <c r="G679" s="860"/>
      <c r="H679" s="860"/>
      <c r="I679" s="861"/>
      <c r="J679" s="251"/>
      <c r="K679" s="250"/>
      <c r="L679" s="251"/>
      <c r="M679" s="251"/>
      <c r="N679" s="251"/>
    </row>
    <row r="680" spans="2:14" ht="33.75" hidden="1" x14ac:dyDescent="0.25">
      <c r="B680" s="852" t="s">
        <v>475</v>
      </c>
      <c r="C680" s="854">
        <v>99059</v>
      </c>
      <c r="D680" s="765" t="s">
        <v>36</v>
      </c>
      <c r="E680" s="753" t="s">
        <v>37</v>
      </c>
      <c r="F680" s="754">
        <v>1</v>
      </c>
      <c r="G680" s="749">
        <v>130.85</v>
      </c>
      <c r="H680" s="755"/>
      <c r="I680" s="730"/>
      <c r="J680" s="251"/>
      <c r="K680" s="250">
        <f>F680*G680</f>
        <v>130.85</v>
      </c>
      <c r="L680" s="251"/>
      <c r="M680" s="251"/>
      <c r="N680" s="251"/>
    </row>
    <row r="681" spans="2:14" ht="22.5" hidden="1" x14ac:dyDescent="0.25">
      <c r="B681" s="852" t="s">
        <v>476</v>
      </c>
      <c r="C681" s="854">
        <v>93358</v>
      </c>
      <c r="D681" s="765" t="s">
        <v>40</v>
      </c>
      <c r="E681" s="753" t="s">
        <v>41</v>
      </c>
      <c r="F681" s="754"/>
      <c r="G681" s="749"/>
      <c r="H681" s="755"/>
      <c r="I681" s="730"/>
      <c r="J681" s="251"/>
      <c r="K681" s="250">
        <f>SUM(K682:K683)</f>
        <v>32.676047999999994</v>
      </c>
      <c r="L681" s="251"/>
      <c r="M681" s="251"/>
      <c r="N681" s="251"/>
    </row>
    <row r="682" spans="2:14" hidden="1" x14ac:dyDescent="0.25">
      <c r="B682" s="852"/>
      <c r="C682" s="854"/>
      <c r="D682" s="872" t="s">
        <v>577</v>
      </c>
      <c r="E682" s="753"/>
      <c r="F682" s="754">
        <v>43</v>
      </c>
      <c r="G682" s="749">
        <v>0.6</v>
      </c>
      <c r="H682" s="755">
        <v>0.6</v>
      </c>
      <c r="I682" s="730">
        <v>1.3501000000000001</v>
      </c>
      <c r="J682" s="251"/>
      <c r="K682" s="251">
        <f>F682*(G682*H682*I682)</f>
        <v>20.899547999999999</v>
      </c>
      <c r="L682" s="251"/>
      <c r="M682" s="251"/>
      <c r="N682" s="251"/>
    </row>
    <row r="683" spans="2:14" hidden="1" x14ac:dyDescent="0.25">
      <c r="B683" s="852"/>
      <c r="C683" s="854"/>
      <c r="D683" s="872" t="s">
        <v>578</v>
      </c>
      <c r="E683" s="753"/>
      <c r="F683" s="754">
        <v>1</v>
      </c>
      <c r="G683" s="749">
        <v>130.85</v>
      </c>
      <c r="H683" s="755">
        <v>0.3</v>
      </c>
      <c r="I683" s="730">
        <v>0.3</v>
      </c>
      <c r="J683" s="251"/>
      <c r="K683" s="251">
        <f>F683*(G683*H683*I683)</f>
        <v>11.776499999999999</v>
      </c>
      <c r="L683" s="251"/>
      <c r="M683" s="251"/>
      <c r="N683" s="251"/>
    </row>
    <row r="684" spans="2:14" hidden="1" x14ac:dyDescent="0.25">
      <c r="B684" s="852" t="s">
        <v>477</v>
      </c>
      <c r="C684" s="854">
        <v>96995</v>
      </c>
      <c r="D684" s="765" t="s">
        <v>44</v>
      </c>
      <c r="E684" s="753" t="s">
        <v>41</v>
      </c>
      <c r="F684" s="754"/>
      <c r="G684" s="749"/>
      <c r="H684" s="755"/>
      <c r="I684" s="730"/>
      <c r="J684" s="251"/>
      <c r="K684" s="250">
        <f>G685</f>
        <v>11.01</v>
      </c>
      <c r="L684" s="251"/>
      <c r="M684" s="251"/>
      <c r="N684" s="251"/>
    </row>
    <row r="685" spans="2:14" hidden="1" x14ac:dyDescent="0.25">
      <c r="B685" s="852"/>
      <c r="C685" s="854"/>
      <c r="D685" s="872" t="s">
        <v>708</v>
      </c>
      <c r="E685" s="753"/>
      <c r="F685" s="754">
        <v>1</v>
      </c>
      <c r="G685" s="859">
        <v>11.01</v>
      </c>
      <c r="H685" s="860"/>
      <c r="I685" s="861"/>
      <c r="J685" s="251"/>
      <c r="K685" s="250"/>
      <c r="L685" s="251"/>
      <c r="M685" s="251"/>
      <c r="N685" s="251"/>
    </row>
    <row r="686" spans="2:14" hidden="1" x14ac:dyDescent="0.25">
      <c r="B686" s="852"/>
      <c r="C686" s="854"/>
      <c r="D686" s="872"/>
      <c r="E686" s="753"/>
      <c r="F686" s="754"/>
      <c r="G686" s="749"/>
      <c r="H686" s="755"/>
      <c r="I686" s="730"/>
      <c r="J686" s="251"/>
      <c r="K686" s="250"/>
      <c r="L686" s="251"/>
      <c r="M686" s="251"/>
      <c r="N686" s="251"/>
    </row>
    <row r="687" spans="2:14" ht="22.5" hidden="1" x14ac:dyDescent="0.25">
      <c r="B687" s="852" t="s">
        <v>478</v>
      </c>
      <c r="C687" s="873">
        <v>93205</v>
      </c>
      <c r="D687" s="765" t="s">
        <v>480</v>
      </c>
      <c r="E687" s="753" t="s">
        <v>37</v>
      </c>
      <c r="F687" s="754"/>
      <c r="G687" s="859"/>
      <c r="H687" s="860"/>
      <c r="I687" s="861"/>
      <c r="J687" s="251"/>
      <c r="K687" s="250">
        <f>G689*F689</f>
        <v>42.8</v>
      </c>
      <c r="L687" s="251"/>
      <c r="M687" s="251"/>
      <c r="N687" s="251"/>
    </row>
    <row r="688" spans="2:14" hidden="1" x14ac:dyDescent="0.25">
      <c r="B688" s="852"/>
      <c r="C688" s="873"/>
      <c r="D688" s="866" t="s">
        <v>785</v>
      </c>
      <c r="E688" s="753"/>
      <c r="F688" s="754">
        <v>1</v>
      </c>
      <c r="G688" s="859">
        <v>67.27</v>
      </c>
      <c r="H688" s="860"/>
      <c r="I688" s="861"/>
      <c r="J688" s="251"/>
      <c r="K688" s="250"/>
      <c r="L688" s="251"/>
      <c r="M688" s="251"/>
      <c r="N688" s="251"/>
    </row>
    <row r="689" spans="2:14" hidden="1" x14ac:dyDescent="0.25">
      <c r="B689" s="852"/>
      <c r="C689" s="873"/>
      <c r="D689" s="866" t="s">
        <v>785</v>
      </c>
      <c r="E689" s="753"/>
      <c r="F689" s="754">
        <v>1</v>
      </c>
      <c r="G689" s="859">
        <v>42.8</v>
      </c>
      <c r="H689" s="860"/>
      <c r="I689" s="861"/>
      <c r="J689" s="251"/>
      <c r="K689" s="250"/>
      <c r="L689" s="251"/>
      <c r="M689" s="251"/>
      <c r="N689" s="251"/>
    </row>
    <row r="690" spans="2:14" ht="22.5" hidden="1" x14ac:dyDescent="0.25">
      <c r="B690" s="852" t="s">
        <v>481</v>
      </c>
      <c r="C690" s="873">
        <v>101616</v>
      </c>
      <c r="D690" s="765" t="s">
        <v>55</v>
      </c>
      <c r="E690" s="753" t="s">
        <v>17</v>
      </c>
      <c r="F690" s="754">
        <v>8</v>
      </c>
      <c r="G690" s="749">
        <v>0.6</v>
      </c>
      <c r="H690" s="755">
        <v>0.6</v>
      </c>
      <c r="I690" s="730"/>
      <c r="J690" s="251"/>
      <c r="K690" s="250">
        <f>(F690*G690*H690)</f>
        <v>2.88</v>
      </c>
      <c r="L690" s="251"/>
      <c r="M690" s="251"/>
      <c r="N690" s="251"/>
    </row>
    <row r="691" spans="2:14" ht="33.75" hidden="1" x14ac:dyDescent="0.25">
      <c r="B691" s="852" t="s">
        <v>482</v>
      </c>
      <c r="C691" s="873">
        <v>96619</v>
      </c>
      <c r="D691" s="765" t="s">
        <v>58</v>
      </c>
      <c r="E691" s="753" t="s">
        <v>17</v>
      </c>
      <c r="F691" s="754">
        <v>8</v>
      </c>
      <c r="G691" s="749">
        <v>0.6</v>
      </c>
      <c r="H691" s="755">
        <v>0.6</v>
      </c>
      <c r="I691" s="730"/>
      <c r="J691" s="251"/>
      <c r="K691" s="250">
        <f>(F691*G691*H691)</f>
        <v>2.88</v>
      </c>
      <c r="L691" s="251"/>
      <c r="M691" s="251"/>
      <c r="N691" s="251"/>
    </row>
    <row r="692" spans="2:14" ht="22.5" hidden="1" x14ac:dyDescent="0.25">
      <c r="B692" s="852" t="s">
        <v>483</v>
      </c>
      <c r="C692" s="873">
        <v>96545</v>
      </c>
      <c r="D692" s="858" t="s">
        <v>61</v>
      </c>
      <c r="E692" s="753" t="s">
        <v>62</v>
      </c>
      <c r="F692" s="754"/>
      <c r="G692" s="749"/>
      <c r="H692" s="753"/>
      <c r="I692" s="730"/>
      <c r="J692" s="251"/>
      <c r="K692" s="250">
        <f>G693</f>
        <v>33.43</v>
      </c>
      <c r="L692" s="251"/>
      <c r="M692" s="251"/>
      <c r="N692" s="251"/>
    </row>
    <row r="693" spans="2:14" ht="22.5" hidden="1" x14ac:dyDescent="0.25">
      <c r="B693" s="852"/>
      <c r="C693" s="873"/>
      <c r="D693" s="756" t="s">
        <v>709</v>
      </c>
      <c r="E693" s="753"/>
      <c r="F693" s="754">
        <v>1</v>
      </c>
      <c r="G693" s="749">
        <v>33.43</v>
      </c>
      <c r="H693" s="753"/>
      <c r="I693" s="730"/>
      <c r="J693" s="251"/>
      <c r="K693" s="250"/>
      <c r="L693" s="251"/>
      <c r="M693" s="251"/>
      <c r="N693" s="251"/>
    </row>
    <row r="694" spans="2:14" ht="33.75" x14ac:dyDescent="0.25">
      <c r="B694" s="852" t="s">
        <v>484</v>
      </c>
      <c r="C694" s="873">
        <v>94966</v>
      </c>
      <c r="D694" s="858" t="s">
        <v>65</v>
      </c>
      <c r="E694" s="753" t="s">
        <v>41</v>
      </c>
      <c r="F694" s="754"/>
      <c r="G694" s="868" t="s">
        <v>1185</v>
      </c>
      <c r="H694" s="869"/>
      <c r="I694" s="870"/>
      <c r="J694" s="251">
        <f>'BOLETIM DE MEDIÇÃO 10'!R181-'MEMORIAL DE CÁLCULO 10'!K694</f>
        <v>9.8900100000000002</v>
      </c>
      <c r="K694" s="250">
        <v>5.14</v>
      </c>
      <c r="L694" s="251">
        <f>J694+K694</f>
        <v>15.030010000000001</v>
      </c>
      <c r="M694" s="251">
        <f>'BOLETIM DE MEDIÇÃO 10'!G181</f>
        <v>15.03</v>
      </c>
      <c r="N694" s="251">
        <f>M694-L694</f>
        <v>-1.000000000139778E-5</v>
      </c>
    </row>
    <row r="695" spans="2:14" ht="19.899999999999999" customHeight="1" x14ac:dyDescent="0.25">
      <c r="B695" s="852"/>
      <c r="C695" s="873"/>
      <c r="D695" s="874" t="s">
        <v>1186</v>
      </c>
      <c r="E695" s="875"/>
      <c r="F695" s="876"/>
      <c r="G695" s="877"/>
      <c r="H695" s="878"/>
      <c r="I695" s="879"/>
      <c r="J695" s="251"/>
      <c r="K695" s="250"/>
      <c r="L695" s="251"/>
      <c r="M695" s="251"/>
      <c r="N695" s="251"/>
    </row>
    <row r="696" spans="2:14" x14ac:dyDescent="0.25">
      <c r="B696" s="852"/>
      <c r="C696" s="873"/>
      <c r="D696" s="880" t="s">
        <v>1187</v>
      </c>
      <c r="E696" s="875"/>
      <c r="F696" s="876"/>
      <c r="G696" s="881" t="s">
        <v>649</v>
      </c>
      <c r="H696" s="882" t="s">
        <v>650</v>
      </c>
      <c r="I696" s="883" t="s">
        <v>651</v>
      </c>
      <c r="J696" s="251"/>
      <c r="K696" s="250"/>
      <c r="L696" s="251"/>
      <c r="M696" s="251"/>
      <c r="N696" s="251"/>
    </row>
    <row r="697" spans="2:14" x14ac:dyDescent="0.25">
      <c r="B697" s="884"/>
      <c r="C697" s="885"/>
      <c r="D697" s="756" t="s">
        <v>579</v>
      </c>
      <c r="E697" s="753"/>
      <c r="F697" s="754">
        <v>43</v>
      </c>
      <c r="G697" s="886">
        <v>0.6</v>
      </c>
      <c r="H697" s="855">
        <v>0.6</v>
      </c>
      <c r="I697" s="730">
        <v>0.25</v>
      </c>
      <c r="J697" s="251"/>
      <c r="K697" s="251">
        <f>G697*H697*I697*F697</f>
        <v>3.8699999999999997</v>
      </c>
      <c r="L697" s="251"/>
      <c r="M697" s="251"/>
      <c r="N697" s="251"/>
    </row>
    <row r="698" spans="2:14" x14ac:dyDescent="0.25">
      <c r="B698" s="884"/>
      <c r="C698" s="885"/>
      <c r="D698" s="756" t="s">
        <v>580</v>
      </c>
      <c r="E698" s="753"/>
      <c r="F698" s="844">
        <v>43</v>
      </c>
      <c r="G698" s="887">
        <v>0.2</v>
      </c>
      <c r="H698" s="855">
        <v>0.2</v>
      </c>
      <c r="I698" s="888">
        <v>1</v>
      </c>
      <c r="J698" s="251"/>
      <c r="K698" s="251">
        <f>G698*H698*I698*F698</f>
        <v>1.7200000000000004</v>
      </c>
      <c r="L698" s="251"/>
      <c r="M698" s="251"/>
      <c r="N698" s="251"/>
    </row>
    <row r="699" spans="2:14" x14ac:dyDescent="0.25">
      <c r="B699" s="884"/>
      <c r="C699" s="885"/>
      <c r="D699" s="880" t="s">
        <v>1188</v>
      </c>
      <c r="E699" s="875"/>
      <c r="F699" s="876"/>
      <c r="G699" s="881"/>
      <c r="H699" s="882"/>
      <c r="I699" s="883"/>
      <c r="J699" s="251"/>
      <c r="K699" s="250"/>
      <c r="L699" s="251"/>
      <c r="M699" s="251"/>
      <c r="N699" s="251"/>
    </row>
    <row r="700" spans="2:14" x14ac:dyDescent="0.25">
      <c r="B700" s="884"/>
      <c r="C700" s="885"/>
      <c r="D700" s="756" t="s">
        <v>782</v>
      </c>
      <c r="E700" s="753"/>
      <c r="F700" s="754">
        <v>5</v>
      </c>
      <c r="G700" s="749">
        <v>0.2</v>
      </c>
      <c r="H700" s="755">
        <v>0.2</v>
      </c>
      <c r="I700" s="730">
        <v>2.5</v>
      </c>
      <c r="J700" s="251"/>
      <c r="K700" s="726">
        <f t="shared" ref="K700:K709" si="17">(I700/H700)*G700*0.154*F700</f>
        <v>1.925</v>
      </c>
      <c r="L700" s="251"/>
      <c r="M700" s="251"/>
      <c r="N700" s="251"/>
    </row>
    <row r="701" spans="2:14" x14ac:dyDescent="0.25">
      <c r="B701" s="884"/>
      <c r="C701" s="885"/>
      <c r="D701" s="756" t="s">
        <v>783</v>
      </c>
      <c r="E701" s="753"/>
      <c r="F701" s="754">
        <v>1</v>
      </c>
      <c r="G701" s="749">
        <v>0.2</v>
      </c>
      <c r="H701" s="755">
        <v>0.2</v>
      </c>
      <c r="I701" s="730">
        <f>2.5+0.51</f>
        <v>3.01</v>
      </c>
      <c r="J701" s="251"/>
      <c r="K701" s="726">
        <f t="shared" si="17"/>
        <v>0.46353999999999995</v>
      </c>
      <c r="L701" s="251"/>
      <c r="M701" s="251"/>
      <c r="N701" s="251"/>
    </row>
    <row r="702" spans="2:14" x14ac:dyDescent="0.25">
      <c r="B702" s="884"/>
      <c r="C702" s="885"/>
      <c r="D702" s="756" t="s">
        <v>783</v>
      </c>
      <c r="E702" s="753"/>
      <c r="F702" s="754">
        <v>1</v>
      </c>
      <c r="G702" s="749">
        <v>0.2</v>
      </c>
      <c r="H702" s="755">
        <v>0.2</v>
      </c>
      <c r="I702" s="730">
        <f>2.5+0.49</f>
        <v>2.99</v>
      </c>
      <c r="J702" s="251"/>
      <c r="K702" s="726">
        <f t="shared" si="17"/>
        <v>0.46046000000000004</v>
      </c>
      <c r="L702" s="251"/>
      <c r="M702" s="251"/>
      <c r="N702" s="251"/>
    </row>
    <row r="703" spans="2:14" x14ac:dyDescent="0.25">
      <c r="B703" s="884"/>
      <c r="C703" s="885"/>
      <c r="D703" s="756" t="s">
        <v>783</v>
      </c>
      <c r="E703" s="753"/>
      <c r="F703" s="754">
        <v>1</v>
      </c>
      <c r="G703" s="749">
        <v>0.2</v>
      </c>
      <c r="H703" s="755">
        <v>0.2</v>
      </c>
      <c r="I703" s="730">
        <f>2.5+0.46</f>
        <v>2.96</v>
      </c>
      <c r="J703" s="251"/>
      <c r="K703" s="726">
        <f t="shared" si="17"/>
        <v>0.45583999999999997</v>
      </c>
      <c r="L703" s="251"/>
      <c r="M703" s="251"/>
      <c r="N703" s="251"/>
    </row>
    <row r="704" spans="2:14" x14ac:dyDescent="0.25">
      <c r="B704" s="884"/>
      <c r="C704" s="885"/>
      <c r="D704" s="756" t="s">
        <v>783</v>
      </c>
      <c r="E704" s="753"/>
      <c r="F704" s="754">
        <v>1</v>
      </c>
      <c r="G704" s="749">
        <v>0.2</v>
      </c>
      <c r="H704" s="755">
        <v>0.2</v>
      </c>
      <c r="I704" s="730">
        <f>2.5+0.47</f>
        <v>2.9699999999999998</v>
      </c>
      <c r="J704" s="251"/>
      <c r="K704" s="726">
        <f t="shared" si="17"/>
        <v>0.45737999999999995</v>
      </c>
      <c r="L704" s="251"/>
      <c r="M704" s="251"/>
      <c r="N704" s="251"/>
    </row>
    <row r="705" spans="2:14" x14ac:dyDescent="0.25">
      <c r="B705" s="884"/>
      <c r="C705" s="885"/>
      <c r="D705" s="756" t="s">
        <v>783</v>
      </c>
      <c r="E705" s="753"/>
      <c r="F705" s="754">
        <v>1</v>
      </c>
      <c r="G705" s="749">
        <v>0.2</v>
      </c>
      <c r="H705" s="755">
        <v>0.2</v>
      </c>
      <c r="I705" s="730">
        <f>2.5+0.38</f>
        <v>2.88</v>
      </c>
      <c r="J705" s="251"/>
      <c r="K705" s="726">
        <f t="shared" si="17"/>
        <v>0.44351999999999997</v>
      </c>
      <c r="L705" s="251"/>
      <c r="M705" s="251"/>
      <c r="N705" s="251"/>
    </row>
    <row r="706" spans="2:14" x14ac:dyDescent="0.25">
      <c r="B706" s="884"/>
      <c r="C706" s="885"/>
      <c r="D706" s="756" t="s">
        <v>783</v>
      </c>
      <c r="E706" s="753"/>
      <c r="F706" s="754">
        <v>1</v>
      </c>
      <c r="G706" s="749">
        <v>0.2</v>
      </c>
      <c r="H706" s="755">
        <v>0.2</v>
      </c>
      <c r="I706" s="730">
        <f>2.5+0.3</f>
        <v>2.8</v>
      </c>
      <c r="J706" s="251"/>
      <c r="K706" s="726">
        <f t="shared" si="17"/>
        <v>0.43119999999999997</v>
      </c>
      <c r="L706" s="251"/>
      <c r="M706" s="251"/>
      <c r="N706" s="251"/>
    </row>
    <row r="707" spans="2:14" x14ac:dyDescent="0.25">
      <c r="B707" s="884"/>
      <c r="C707" s="885"/>
      <c r="D707" s="756" t="s">
        <v>783</v>
      </c>
      <c r="E707" s="753"/>
      <c r="F707" s="754">
        <v>1</v>
      </c>
      <c r="G707" s="749">
        <v>0.2</v>
      </c>
      <c r="H707" s="755">
        <v>0.2</v>
      </c>
      <c r="I707" s="730">
        <f>2.5+0.2</f>
        <v>2.7</v>
      </c>
      <c r="J707" s="251"/>
      <c r="K707" s="726">
        <f t="shared" si="17"/>
        <v>0.4158</v>
      </c>
      <c r="L707" s="251"/>
      <c r="M707" s="251"/>
      <c r="N707" s="251"/>
    </row>
    <row r="708" spans="2:14" x14ac:dyDescent="0.25">
      <c r="B708" s="884"/>
      <c r="C708" s="885"/>
      <c r="D708" s="756" t="s">
        <v>783</v>
      </c>
      <c r="E708" s="753"/>
      <c r="F708" s="754">
        <v>1</v>
      </c>
      <c r="G708" s="749">
        <v>0.2</v>
      </c>
      <c r="H708" s="755">
        <v>0.2</v>
      </c>
      <c r="I708" s="730">
        <f>2.5+0.1</f>
        <v>2.6</v>
      </c>
      <c r="J708" s="251"/>
      <c r="K708" s="726">
        <f t="shared" si="17"/>
        <v>0.40040000000000003</v>
      </c>
      <c r="L708" s="251"/>
      <c r="M708" s="251"/>
      <c r="N708" s="251"/>
    </row>
    <row r="709" spans="2:14" x14ac:dyDescent="0.25">
      <c r="B709" s="884"/>
      <c r="C709" s="885"/>
      <c r="D709" s="756" t="s">
        <v>783</v>
      </c>
      <c r="E709" s="753"/>
      <c r="F709" s="754">
        <v>1</v>
      </c>
      <c r="G709" s="749">
        <v>0.2</v>
      </c>
      <c r="H709" s="755">
        <v>0.2</v>
      </c>
      <c r="I709" s="730">
        <f>2.5+0.07</f>
        <v>2.57</v>
      </c>
      <c r="J709" s="251"/>
      <c r="K709" s="726">
        <f t="shared" si="17"/>
        <v>0.39577999999999997</v>
      </c>
      <c r="L709" s="251"/>
      <c r="M709" s="251"/>
      <c r="N709" s="251"/>
    </row>
    <row r="710" spans="2:14" x14ac:dyDescent="0.25">
      <c r="B710" s="884"/>
      <c r="C710" s="885"/>
      <c r="D710" s="756" t="s">
        <v>783</v>
      </c>
      <c r="E710" s="875"/>
      <c r="F710" s="876">
        <v>2</v>
      </c>
      <c r="G710" s="881">
        <v>0.2</v>
      </c>
      <c r="H710" s="882">
        <v>0.2</v>
      </c>
      <c r="I710" s="730">
        <f>2.5+0.46</f>
        <v>2.96</v>
      </c>
      <c r="J710" s="251"/>
      <c r="K710" s="251">
        <f t="shared" ref="K710:K732" si="18">F710*G710*H710*I710</f>
        <v>0.23680000000000004</v>
      </c>
      <c r="L710" s="251"/>
      <c r="M710" s="251"/>
      <c r="N710" s="251"/>
    </row>
    <row r="711" spans="2:14" x14ac:dyDescent="0.25">
      <c r="B711" s="884"/>
      <c r="C711" s="885"/>
      <c r="D711" s="756" t="s">
        <v>783</v>
      </c>
      <c r="E711" s="875"/>
      <c r="F711" s="876">
        <v>1</v>
      </c>
      <c r="G711" s="881">
        <v>0.2</v>
      </c>
      <c r="H711" s="882">
        <v>0.2</v>
      </c>
      <c r="I711" s="730">
        <f>2.5+0.47</f>
        <v>2.9699999999999998</v>
      </c>
      <c r="J711" s="251"/>
      <c r="K711" s="251">
        <f t="shared" si="18"/>
        <v>0.11880000000000002</v>
      </c>
      <c r="L711" s="251"/>
      <c r="M711" s="251"/>
      <c r="N711" s="251"/>
    </row>
    <row r="712" spans="2:14" x14ac:dyDescent="0.25">
      <c r="B712" s="884"/>
      <c r="C712" s="885"/>
      <c r="D712" s="756" t="s">
        <v>783</v>
      </c>
      <c r="E712" s="875"/>
      <c r="F712" s="876">
        <v>1</v>
      </c>
      <c r="G712" s="881">
        <v>0.2</v>
      </c>
      <c r="H712" s="882">
        <v>0.2</v>
      </c>
      <c r="I712" s="730">
        <f>2.5+0.48</f>
        <v>2.98</v>
      </c>
      <c r="J712" s="251"/>
      <c r="K712" s="251">
        <f t="shared" si="18"/>
        <v>0.11920000000000003</v>
      </c>
      <c r="L712" s="251"/>
      <c r="M712" s="251"/>
      <c r="N712" s="251"/>
    </row>
    <row r="713" spans="2:14" x14ac:dyDescent="0.25">
      <c r="B713" s="884"/>
      <c r="C713" s="885"/>
      <c r="D713" s="889" t="s">
        <v>783</v>
      </c>
      <c r="E713" s="753"/>
      <c r="F713" s="844">
        <v>2</v>
      </c>
      <c r="G713" s="881">
        <v>0.2</v>
      </c>
      <c r="H713" s="882">
        <v>0.2</v>
      </c>
      <c r="I713" s="730">
        <f>2.5+0.54</f>
        <v>3.04</v>
      </c>
      <c r="J713" s="251"/>
      <c r="K713" s="251">
        <f t="shared" si="18"/>
        <v>0.24320000000000006</v>
      </c>
      <c r="L713" s="251"/>
      <c r="M713" s="251"/>
      <c r="N713" s="251"/>
    </row>
    <row r="714" spans="2:14" x14ac:dyDescent="0.25">
      <c r="B714" s="884"/>
      <c r="C714" s="885"/>
      <c r="D714" s="889" t="s">
        <v>783</v>
      </c>
      <c r="E714" s="875"/>
      <c r="F714" s="876">
        <v>1</v>
      </c>
      <c r="G714" s="881">
        <v>0.2</v>
      </c>
      <c r="H714" s="882">
        <v>0.2</v>
      </c>
      <c r="I714" s="730">
        <f>2.5+0.67</f>
        <v>3.17</v>
      </c>
      <c r="J714" s="251"/>
      <c r="K714" s="251">
        <f t="shared" si="18"/>
        <v>0.12680000000000002</v>
      </c>
      <c r="L714" s="251"/>
      <c r="M714" s="251"/>
      <c r="N714" s="251"/>
    </row>
    <row r="715" spans="2:14" x14ac:dyDescent="0.25">
      <c r="B715" s="884"/>
      <c r="C715" s="885"/>
      <c r="D715" s="756" t="s">
        <v>783</v>
      </c>
      <c r="E715" s="875"/>
      <c r="F715" s="876">
        <v>1</v>
      </c>
      <c r="G715" s="881">
        <v>0.2</v>
      </c>
      <c r="H715" s="882">
        <v>0.2</v>
      </c>
      <c r="I715" s="730">
        <f>2.5+0.76</f>
        <v>3.26</v>
      </c>
      <c r="J715" s="251"/>
      <c r="K715" s="251">
        <f t="shared" si="18"/>
        <v>0.13040000000000002</v>
      </c>
      <c r="L715" s="251"/>
      <c r="M715" s="251"/>
      <c r="N715" s="251"/>
    </row>
    <row r="716" spans="2:14" x14ac:dyDescent="0.25">
      <c r="B716" s="884"/>
      <c r="C716" s="885"/>
      <c r="D716" s="756" t="s">
        <v>783</v>
      </c>
      <c r="E716" s="875"/>
      <c r="F716" s="876">
        <v>1</v>
      </c>
      <c r="G716" s="881">
        <v>0.2</v>
      </c>
      <c r="H716" s="882">
        <v>0.2</v>
      </c>
      <c r="I716" s="730">
        <f>2.5+0.8</f>
        <v>3.3</v>
      </c>
      <c r="J716" s="251"/>
      <c r="K716" s="251">
        <f t="shared" si="18"/>
        <v>0.13200000000000001</v>
      </c>
      <c r="L716" s="251"/>
      <c r="M716" s="251"/>
      <c r="N716" s="251"/>
    </row>
    <row r="717" spans="2:14" x14ac:dyDescent="0.25">
      <c r="B717" s="884"/>
      <c r="C717" s="885"/>
      <c r="D717" s="756" t="s">
        <v>783</v>
      </c>
      <c r="E717" s="875"/>
      <c r="F717" s="876">
        <v>1</v>
      </c>
      <c r="G717" s="881">
        <v>0.2</v>
      </c>
      <c r="H717" s="882">
        <v>0.2</v>
      </c>
      <c r="I717" s="730">
        <f>2.5+0.77</f>
        <v>3.27</v>
      </c>
      <c r="J717" s="251"/>
      <c r="K717" s="251">
        <f t="shared" si="18"/>
        <v>0.13080000000000003</v>
      </c>
      <c r="L717" s="251"/>
      <c r="M717" s="251"/>
      <c r="N717" s="251"/>
    </row>
    <row r="718" spans="2:14" x14ac:dyDescent="0.25">
      <c r="B718" s="884"/>
      <c r="C718" s="885"/>
      <c r="D718" s="756" t="s">
        <v>783</v>
      </c>
      <c r="E718" s="875"/>
      <c r="F718" s="876">
        <v>1</v>
      </c>
      <c r="G718" s="881">
        <v>0.2</v>
      </c>
      <c r="H718" s="882">
        <v>0.2</v>
      </c>
      <c r="I718" s="730">
        <f>2.5+0.74</f>
        <v>3.24</v>
      </c>
      <c r="J718" s="251"/>
      <c r="K718" s="251">
        <f t="shared" si="18"/>
        <v>0.12960000000000002</v>
      </c>
      <c r="L718" s="251"/>
      <c r="M718" s="251"/>
      <c r="N718" s="251"/>
    </row>
    <row r="719" spans="2:14" x14ac:dyDescent="0.25">
      <c r="B719" s="890"/>
      <c r="C719" s="890"/>
      <c r="D719" s="756" t="s">
        <v>783</v>
      </c>
      <c r="E719" s="875"/>
      <c r="F719" s="876">
        <v>1</v>
      </c>
      <c r="G719" s="881">
        <v>0.2</v>
      </c>
      <c r="H719" s="882">
        <v>0.2</v>
      </c>
      <c r="I719" s="730">
        <f>2.5+0.69</f>
        <v>3.19</v>
      </c>
      <c r="J719" s="251"/>
      <c r="K719" s="251">
        <f t="shared" si="18"/>
        <v>0.12760000000000002</v>
      </c>
      <c r="L719" s="251"/>
      <c r="M719" s="251"/>
      <c r="N719" s="251"/>
    </row>
    <row r="720" spans="2:14" x14ac:dyDescent="0.25">
      <c r="B720" s="884"/>
      <c r="C720" s="885"/>
      <c r="D720" s="756" t="s">
        <v>783</v>
      </c>
      <c r="E720" s="875"/>
      <c r="F720" s="876">
        <v>2</v>
      </c>
      <c r="G720" s="881">
        <v>0.2</v>
      </c>
      <c r="H720" s="882">
        <v>0.2</v>
      </c>
      <c r="I720" s="730">
        <f>2.5+0.53</f>
        <v>3.0300000000000002</v>
      </c>
      <c r="J720" s="251"/>
      <c r="K720" s="251">
        <f t="shared" si="18"/>
        <v>0.24240000000000006</v>
      </c>
      <c r="L720" s="251"/>
      <c r="M720" s="251"/>
      <c r="N720" s="251"/>
    </row>
    <row r="721" spans="2:14" x14ac:dyDescent="0.25">
      <c r="B721" s="884"/>
      <c r="C721" s="885"/>
      <c r="D721" s="756" t="s">
        <v>783</v>
      </c>
      <c r="E721" s="875"/>
      <c r="F721" s="876">
        <v>1</v>
      </c>
      <c r="G721" s="881">
        <v>0.2</v>
      </c>
      <c r="H721" s="882">
        <v>0.2</v>
      </c>
      <c r="I721" s="730">
        <f>2.5+0.57</f>
        <v>3.07</v>
      </c>
      <c r="J721" s="251"/>
      <c r="K721" s="251">
        <f t="shared" si="18"/>
        <v>0.12280000000000002</v>
      </c>
      <c r="L721" s="251"/>
      <c r="M721" s="251"/>
      <c r="N721" s="251"/>
    </row>
    <row r="722" spans="2:14" x14ac:dyDescent="0.25">
      <c r="B722" s="884"/>
      <c r="C722" s="885"/>
      <c r="D722" s="889" t="s">
        <v>783</v>
      </c>
      <c r="E722" s="753"/>
      <c r="F722" s="844">
        <v>1</v>
      </c>
      <c r="G722" s="881">
        <v>0.2</v>
      </c>
      <c r="H722" s="882">
        <v>0.2</v>
      </c>
      <c r="I722" s="730">
        <f>2.5+0.55</f>
        <v>3.05</v>
      </c>
      <c r="J722" s="251"/>
      <c r="K722" s="251">
        <f t="shared" si="18"/>
        <v>0.12200000000000001</v>
      </c>
      <c r="L722" s="251"/>
      <c r="M722" s="251"/>
      <c r="N722" s="251"/>
    </row>
    <row r="723" spans="2:14" x14ac:dyDescent="0.25">
      <c r="B723" s="884"/>
      <c r="C723" s="885"/>
      <c r="D723" s="889" t="s">
        <v>783</v>
      </c>
      <c r="E723" s="875"/>
      <c r="F723" s="876">
        <v>2</v>
      </c>
      <c r="G723" s="881">
        <v>0.2</v>
      </c>
      <c r="H723" s="882">
        <v>0.2</v>
      </c>
      <c r="I723" s="730">
        <f>2.5+0.6</f>
        <v>3.1</v>
      </c>
      <c r="J723" s="251"/>
      <c r="K723" s="251">
        <f t="shared" si="18"/>
        <v>0.24800000000000005</v>
      </c>
      <c r="L723" s="251"/>
      <c r="M723" s="251"/>
      <c r="N723" s="251"/>
    </row>
    <row r="724" spans="2:14" x14ac:dyDescent="0.25">
      <c r="B724" s="884"/>
      <c r="C724" s="885"/>
      <c r="D724" s="756" t="s">
        <v>783</v>
      </c>
      <c r="E724" s="875"/>
      <c r="F724" s="876">
        <v>1</v>
      </c>
      <c r="G724" s="881">
        <v>0.2</v>
      </c>
      <c r="H724" s="882">
        <v>0.2</v>
      </c>
      <c r="I724" s="730">
        <f>2.5+0.64</f>
        <v>3.14</v>
      </c>
      <c r="J724" s="251"/>
      <c r="K724" s="251">
        <f t="shared" si="18"/>
        <v>0.12560000000000002</v>
      </c>
      <c r="L724" s="251"/>
      <c r="M724" s="251"/>
      <c r="N724" s="251"/>
    </row>
    <row r="725" spans="2:14" x14ac:dyDescent="0.25">
      <c r="B725" s="884"/>
      <c r="C725" s="885"/>
      <c r="D725" s="756" t="s">
        <v>783</v>
      </c>
      <c r="E725" s="875"/>
      <c r="F725" s="876">
        <v>1</v>
      </c>
      <c r="G725" s="881">
        <v>0.2</v>
      </c>
      <c r="H725" s="882">
        <v>0.2</v>
      </c>
      <c r="I725" s="730">
        <f>2.5+0.63</f>
        <v>3.13</v>
      </c>
      <c r="J725" s="251"/>
      <c r="K725" s="251">
        <f t="shared" si="18"/>
        <v>0.12520000000000003</v>
      </c>
      <c r="L725" s="251"/>
      <c r="M725" s="251"/>
      <c r="N725" s="251"/>
    </row>
    <row r="726" spans="2:14" x14ac:dyDescent="0.25">
      <c r="B726" s="884"/>
      <c r="C726" s="885"/>
      <c r="D726" s="756" t="s">
        <v>783</v>
      </c>
      <c r="E726" s="875"/>
      <c r="F726" s="876">
        <v>1</v>
      </c>
      <c r="G726" s="881">
        <v>0.2</v>
      </c>
      <c r="H726" s="882">
        <v>0.2</v>
      </c>
      <c r="I726" s="730">
        <f>2.5+0.66</f>
        <v>3.16</v>
      </c>
      <c r="J726" s="251"/>
      <c r="K726" s="251">
        <f t="shared" si="18"/>
        <v>0.12640000000000004</v>
      </c>
      <c r="L726" s="251"/>
      <c r="M726" s="251"/>
      <c r="N726" s="251"/>
    </row>
    <row r="727" spans="2:14" x14ac:dyDescent="0.25">
      <c r="B727" s="884"/>
      <c r="C727" s="885"/>
      <c r="D727" s="756" t="s">
        <v>783</v>
      </c>
      <c r="E727" s="875"/>
      <c r="F727" s="876">
        <v>2</v>
      </c>
      <c r="G727" s="881">
        <v>0.2</v>
      </c>
      <c r="H727" s="882">
        <v>0.2</v>
      </c>
      <c r="I727" s="730">
        <f>2.5+0.64</f>
        <v>3.14</v>
      </c>
      <c r="J727" s="251"/>
      <c r="K727" s="251">
        <f t="shared" si="18"/>
        <v>0.25120000000000003</v>
      </c>
      <c r="L727" s="251"/>
      <c r="M727" s="251"/>
      <c r="N727" s="251"/>
    </row>
    <row r="728" spans="2:14" x14ac:dyDescent="0.25">
      <c r="B728" s="884"/>
      <c r="C728" s="885"/>
      <c r="D728" s="756" t="s">
        <v>783</v>
      </c>
      <c r="E728" s="875"/>
      <c r="F728" s="876">
        <v>1</v>
      </c>
      <c r="G728" s="881">
        <v>0.2</v>
      </c>
      <c r="H728" s="882">
        <v>0.2</v>
      </c>
      <c r="I728" s="730">
        <f>2.5+0.58</f>
        <v>3.08</v>
      </c>
      <c r="J728" s="251"/>
      <c r="K728" s="251">
        <f t="shared" si="18"/>
        <v>0.12320000000000003</v>
      </c>
      <c r="L728" s="251"/>
      <c r="M728" s="251"/>
      <c r="N728" s="251"/>
    </row>
    <row r="729" spans="2:14" x14ac:dyDescent="0.25">
      <c r="B729" s="884"/>
      <c r="C729" s="885"/>
      <c r="D729" s="756" t="s">
        <v>783</v>
      </c>
      <c r="E729" s="875"/>
      <c r="F729" s="876">
        <v>1</v>
      </c>
      <c r="G729" s="881">
        <v>0.2</v>
      </c>
      <c r="H729" s="882">
        <v>0.2</v>
      </c>
      <c r="I729" s="730">
        <f>2.5+0.58</f>
        <v>3.08</v>
      </c>
      <c r="J729" s="251"/>
      <c r="K729" s="251">
        <f t="shared" si="18"/>
        <v>0.12320000000000003</v>
      </c>
      <c r="L729" s="251"/>
      <c r="M729" s="251"/>
      <c r="N729" s="251"/>
    </row>
    <row r="730" spans="2:14" x14ac:dyDescent="0.25">
      <c r="B730" s="884"/>
      <c r="C730" s="885"/>
      <c r="D730" s="756" t="s">
        <v>783</v>
      </c>
      <c r="E730" s="875"/>
      <c r="F730" s="876">
        <v>2</v>
      </c>
      <c r="G730" s="881">
        <v>0.2</v>
      </c>
      <c r="H730" s="882">
        <v>0.2</v>
      </c>
      <c r="I730" s="730">
        <f>2.5+0.57</f>
        <v>3.07</v>
      </c>
      <c r="J730" s="251"/>
      <c r="K730" s="251">
        <f t="shared" si="18"/>
        <v>0.24560000000000004</v>
      </c>
      <c r="L730" s="251"/>
      <c r="M730" s="251"/>
      <c r="N730" s="251"/>
    </row>
    <row r="731" spans="2:14" x14ac:dyDescent="0.25">
      <c r="B731" s="884"/>
      <c r="C731" s="885"/>
      <c r="D731" s="756" t="s">
        <v>783</v>
      </c>
      <c r="E731" s="875"/>
      <c r="F731" s="876">
        <v>1</v>
      </c>
      <c r="G731" s="881">
        <v>0.2</v>
      </c>
      <c r="H731" s="882">
        <v>0.2</v>
      </c>
      <c r="I731" s="730">
        <f>2.5+0.6</f>
        <v>3.1</v>
      </c>
      <c r="J731" s="251"/>
      <c r="K731" s="251">
        <f t="shared" si="18"/>
        <v>0.12400000000000003</v>
      </c>
      <c r="L731" s="251"/>
      <c r="M731" s="251"/>
      <c r="N731" s="251"/>
    </row>
    <row r="732" spans="2:14" x14ac:dyDescent="0.25">
      <c r="B732" s="884"/>
      <c r="C732" s="885"/>
      <c r="D732" s="756" t="s">
        <v>783</v>
      </c>
      <c r="E732" s="875"/>
      <c r="F732" s="876">
        <v>1</v>
      </c>
      <c r="G732" s="881">
        <v>0.2</v>
      </c>
      <c r="H732" s="882">
        <v>0.2</v>
      </c>
      <c r="I732" s="730">
        <f>2.5+0.44</f>
        <v>2.94</v>
      </c>
      <c r="J732" s="251"/>
      <c r="K732" s="251">
        <f t="shared" si="18"/>
        <v>0.11760000000000002</v>
      </c>
      <c r="L732" s="251"/>
      <c r="M732" s="251"/>
      <c r="N732" s="251"/>
    </row>
    <row r="733" spans="2:14" x14ac:dyDescent="0.25">
      <c r="B733" s="884"/>
      <c r="C733" s="885"/>
      <c r="D733" s="756"/>
      <c r="E733" s="875"/>
      <c r="F733" s="876"/>
      <c r="G733" s="881"/>
      <c r="H733" s="882"/>
      <c r="I733" s="730"/>
      <c r="J733" s="251"/>
      <c r="K733" s="251"/>
      <c r="L733" s="251"/>
      <c r="M733" s="251"/>
      <c r="N733" s="251"/>
    </row>
    <row r="734" spans="2:14" ht="45" hidden="1" x14ac:dyDescent="0.25">
      <c r="B734" s="852" t="s">
        <v>485</v>
      </c>
      <c r="C734" s="873">
        <v>103800</v>
      </c>
      <c r="D734" s="765" t="s">
        <v>487</v>
      </c>
      <c r="E734" s="753" t="s">
        <v>41</v>
      </c>
      <c r="F734" s="754">
        <v>1</v>
      </c>
      <c r="G734" s="749">
        <v>120.88</v>
      </c>
      <c r="H734" s="755">
        <v>0.3</v>
      </c>
      <c r="I734" s="730">
        <v>0.3</v>
      </c>
      <c r="J734" s="251"/>
      <c r="K734" s="250">
        <f>F734*(G734*H734*I734)</f>
        <v>10.879199999999999</v>
      </c>
      <c r="L734" s="251"/>
      <c r="M734" s="251"/>
      <c r="N734" s="251"/>
    </row>
    <row r="735" spans="2:14" ht="22.5" x14ac:dyDescent="0.25">
      <c r="B735" s="852" t="s">
        <v>488</v>
      </c>
      <c r="C735" s="873">
        <v>103670</v>
      </c>
      <c r="D735" s="765" t="s">
        <v>71</v>
      </c>
      <c r="E735" s="753" t="s">
        <v>41</v>
      </c>
      <c r="F735" s="754"/>
      <c r="G735" s="868" t="s">
        <v>1189</v>
      </c>
      <c r="H735" s="869"/>
      <c r="I735" s="870"/>
      <c r="J735" s="251">
        <f>'BOLETIM DE MEDIÇÃO 10'!R183-'MEMORIAL DE CÁLCULO 10'!K735</f>
        <v>9.8900299999999994</v>
      </c>
      <c r="K735" s="250">
        <f>G736</f>
        <v>5.14</v>
      </c>
      <c r="L735" s="251">
        <f>J735+K735</f>
        <v>15.03003</v>
      </c>
      <c r="M735" s="251">
        <f>'BOLETIM DE MEDIÇÃO 10'!G183</f>
        <v>15.03</v>
      </c>
      <c r="N735" s="251">
        <f>M735-L735</f>
        <v>-3.0000000000640625E-5</v>
      </c>
    </row>
    <row r="736" spans="2:14" x14ac:dyDescent="0.25">
      <c r="B736" s="852"/>
      <c r="C736" s="873"/>
      <c r="D736" s="872" t="s">
        <v>581</v>
      </c>
      <c r="E736" s="753"/>
      <c r="F736" s="754">
        <v>1</v>
      </c>
      <c r="G736" s="859">
        <f>K694</f>
        <v>5.14</v>
      </c>
      <c r="H736" s="860"/>
      <c r="I736" s="861"/>
      <c r="J736" s="251"/>
      <c r="K736" s="250"/>
      <c r="L736" s="251"/>
      <c r="M736" s="251"/>
      <c r="N736" s="251"/>
    </row>
    <row r="737" spans="2:14" ht="22.5" x14ac:dyDescent="0.25">
      <c r="B737" s="852" t="s">
        <v>489</v>
      </c>
      <c r="C737" s="873">
        <v>96543</v>
      </c>
      <c r="D737" s="765" t="s">
        <v>74</v>
      </c>
      <c r="E737" s="753" t="s">
        <v>62</v>
      </c>
      <c r="F737" s="754"/>
      <c r="G737" s="868" t="s">
        <v>1190</v>
      </c>
      <c r="H737" s="869"/>
      <c r="I737" s="870"/>
      <c r="J737" s="251">
        <f>'BOLETIM DE MEDIÇÃO 10'!R184-'MEMORIAL DE CÁLCULO 10'!K737</f>
        <v>162.02085199999996</v>
      </c>
      <c r="K737" s="250">
        <v>57.13</v>
      </c>
      <c r="L737" s="251">
        <f>J737+K737</f>
        <v>219.15085199999996</v>
      </c>
      <c r="M737" s="251">
        <f>'BOLETIM DE MEDIÇÃO 10'!G184</f>
        <v>219.15</v>
      </c>
      <c r="N737" s="251">
        <f>M737-L737</f>
        <v>-8.5199999995211328E-4</v>
      </c>
    </row>
    <row r="738" spans="2:14" x14ac:dyDescent="0.25">
      <c r="B738" s="852"/>
      <c r="C738" s="873"/>
      <c r="D738" s="874" t="s">
        <v>1186</v>
      </c>
      <c r="E738" s="753"/>
      <c r="F738" s="754"/>
      <c r="G738" s="749" t="s">
        <v>583</v>
      </c>
      <c r="H738" s="755" t="s">
        <v>584</v>
      </c>
      <c r="I738" s="730" t="s">
        <v>781</v>
      </c>
      <c r="J738" s="251"/>
      <c r="K738" s="250"/>
      <c r="L738" s="251"/>
      <c r="M738" s="251"/>
      <c r="N738" s="251"/>
    </row>
    <row r="739" spans="2:14" x14ac:dyDescent="0.25">
      <c r="B739" s="852"/>
      <c r="C739" s="873"/>
      <c r="D739" s="872" t="s">
        <v>1191</v>
      </c>
      <c r="E739" s="753"/>
      <c r="F739" s="754">
        <v>43</v>
      </c>
      <c r="G739" s="749">
        <v>0.68</v>
      </c>
      <c r="H739" s="755">
        <v>0.1</v>
      </c>
      <c r="I739" s="730">
        <v>1</v>
      </c>
      <c r="J739" s="251"/>
      <c r="K739" s="726">
        <f>(I739/H739)*G739*0.154*F739</f>
        <v>45.029600000000002</v>
      </c>
      <c r="L739" s="251"/>
      <c r="M739" s="251"/>
      <c r="N739" s="251"/>
    </row>
    <row r="740" spans="2:14" x14ac:dyDescent="0.25">
      <c r="B740" s="852"/>
      <c r="C740" s="873"/>
      <c r="D740" s="866" t="s">
        <v>1188</v>
      </c>
      <c r="E740" s="753"/>
      <c r="F740" s="754"/>
      <c r="G740" s="749"/>
      <c r="H740" s="755"/>
      <c r="I740" s="730"/>
      <c r="J740" s="251"/>
      <c r="K740" s="726"/>
      <c r="L740" s="251"/>
      <c r="M740" s="251"/>
      <c r="N740" s="251"/>
    </row>
    <row r="741" spans="2:14" x14ac:dyDescent="0.25">
      <c r="B741" s="852"/>
      <c r="C741" s="873"/>
      <c r="D741" s="756" t="s">
        <v>782</v>
      </c>
      <c r="E741" s="753"/>
      <c r="F741" s="754">
        <v>5</v>
      </c>
      <c r="G741" s="749">
        <v>0.68</v>
      </c>
      <c r="H741" s="755">
        <v>0.1</v>
      </c>
      <c r="I741" s="730">
        <v>2.5</v>
      </c>
      <c r="J741" s="251"/>
      <c r="K741" s="726">
        <f t="shared" ref="K741:K773" si="19">(I741/H741)*G741*0.154*F741</f>
        <v>13.09</v>
      </c>
      <c r="L741" s="251"/>
      <c r="M741" s="251"/>
      <c r="N741" s="251"/>
    </row>
    <row r="742" spans="2:14" x14ac:dyDescent="0.25">
      <c r="B742" s="852"/>
      <c r="C742" s="873"/>
      <c r="D742" s="756" t="s">
        <v>783</v>
      </c>
      <c r="E742" s="753"/>
      <c r="F742" s="754">
        <v>1</v>
      </c>
      <c r="G742" s="749">
        <v>0.68</v>
      </c>
      <c r="H742" s="755">
        <v>0.1</v>
      </c>
      <c r="I742" s="730">
        <f>2.5+0.51</f>
        <v>3.01</v>
      </c>
      <c r="J742" s="251"/>
      <c r="K742" s="726">
        <f t="shared" si="19"/>
        <v>3.152072</v>
      </c>
      <c r="L742" s="251"/>
      <c r="M742" s="251"/>
      <c r="N742" s="251"/>
    </row>
    <row r="743" spans="2:14" x14ac:dyDescent="0.25">
      <c r="B743" s="852"/>
      <c r="C743" s="873"/>
      <c r="D743" s="756" t="s">
        <v>783</v>
      </c>
      <c r="E743" s="753"/>
      <c r="F743" s="754">
        <v>1</v>
      </c>
      <c r="G743" s="749">
        <v>0.68</v>
      </c>
      <c r="H743" s="755">
        <v>0.1</v>
      </c>
      <c r="I743" s="730">
        <f>2.5+0.49</f>
        <v>2.99</v>
      </c>
      <c r="J743" s="251"/>
      <c r="K743" s="726">
        <f t="shared" si="19"/>
        <v>3.1311280000000008</v>
      </c>
      <c r="L743" s="251"/>
      <c r="M743" s="251"/>
      <c r="N743" s="251"/>
    </row>
    <row r="744" spans="2:14" x14ac:dyDescent="0.25">
      <c r="B744" s="852"/>
      <c r="C744" s="873"/>
      <c r="D744" s="756" t="s">
        <v>783</v>
      </c>
      <c r="E744" s="753"/>
      <c r="F744" s="754">
        <v>1</v>
      </c>
      <c r="G744" s="749">
        <v>0.68</v>
      </c>
      <c r="H744" s="755">
        <v>0.1</v>
      </c>
      <c r="I744" s="730">
        <f>2.5+0.46</f>
        <v>2.96</v>
      </c>
      <c r="J744" s="251"/>
      <c r="K744" s="726">
        <f t="shared" si="19"/>
        <v>3.0997119999999998</v>
      </c>
      <c r="L744" s="251"/>
      <c r="M744" s="251"/>
      <c r="N744" s="251"/>
    </row>
    <row r="745" spans="2:14" x14ac:dyDescent="0.25">
      <c r="B745" s="852"/>
      <c r="C745" s="873"/>
      <c r="D745" s="756" t="s">
        <v>783</v>
      </c>
      <c r="E745" s="753"/>
      <c r="F745" s="754">
        <v>1</v>
      </c>
      <c r="G745" s="749">
        <v>0.68</v>
      </c>
      <c r="H745" s="755">
        <v>0.1</v>
      </c>
      <c r="I745" s="730">
        <f>2.5+0.47</f>
        <v>2.9699999999999998</v>
      </c>
      <c r="J745" s="251"/>
      <c r="K745" s="726">
        <f t="shared" si="19"/>
        <v>3.1101839999999998</v>
      </c>
      <c r="L745" s="251"/>
      <c r="M745" s="251"/>
      <c r="N745" s="251"/>
    </row>
    <row r="746" spans="2:14" x14ac:dyDescent="0.25">
      <c r="B746" s="852"/>
      <c r="C746" s="873"/>
      <c r="D746" s="756" t="s">
        <v>783</v>
      </c>
      <c r="E746" s="753"/>
      <c r="F746" s="754">
        <v>1</v>
      </c>
      <c r="G746" s="749">
        <v>0.68</v>
      </c>
      <c r="H746" s="755">
        <v>0.1</v>
      </c>
      <c r="I746" s="730">
        <f>2.5+0.38</f>
        <v>2.88</v>
      </c>
      <c r="J746" s="251"/>
      <c r="K746" s="726">
        <f t="shared" si="19"/>
        <v>3.015936</v>
      </c>
      <c r="L746" s="251"/>
      <c r="M746" s="251"/>
      <c r="N746" s="251"/>
    </row>
    <row r="747" spans="2:14" x14ac:dyDescent="0.25">
      <c r="B747" s="852"/>
      <c r="C747" s="873"/>
      <c r="D747" s="756" t="s">
        <v>783</v>
      </c>
      <c r="E747" s="753"/>
      <c r="F747" s="754">
        <v>1</v>
      </c>
      <c r="G747" s="749">
        <v>0.68</v>
      </c>
      <c r="H747" s="755">
        <v>0.1</v>
      </c>
      <c r="I747" s="730">
        <f>2.5+0.3</f>
        <v>2.8</v>
      </c>
      <c r="J747" s="251"/>
      <c r="K747" s="726">
        <f t="shared" si="19"/>
        <v>2.9321599999999997</v>
      </c>
      <c r="L747" s="251"/>
      <c r="M747" s="251"/>
      <c r="N747" s="251"/>
    </row>
    <row r="748" spans="2:14" x14ac:dyDescent="0.25">
      <c r="B748" s="852"/>
      <c r="C748" s="873"/>
      <c r="D748" s="756" t="s">
        <v>783</v>
      </c>
      <c r="E748" s="753"/>
      <c r="F748" s="754">
        <v>1</v>
      </c>
      <c r="G748" s="749">
        <v>0.68</v>
      </c>
      <c r="H748" s="755">
        <v>0.1</v>
      </c>
      <c r="I748" s="730">
        <f>2.5+0.2</f>
        <v>2.7</v>
      </c>
      <c r="J748" s="251"/>
      <c r="K748" s="726">
        <f t="shared" si="19"/>
        <v>2.8274400000000006</v>
      </c>
      <c r="L748" s="251"/>
      <c r="M748" s="251"/>
      <c r="N748" s="251"/>
    </row>
    <row r="749" spans="2:14" x14ac:dyDescent="0.25">
      <c r="B749" s="852"/>
      <c r="C749" s="873"/>
      <c r="D749" s="756" t="s">
        <v>783</v>
      </c>
      <c r="E749" s="753"/>
      <c r="F749" s="754">
        <v>1</v>
      </c>
      <c r="G749" s="749">
        <v>0.68</v>
      </c>
      <c r="H749" s="755">
        <v>0.1</v>
      </c>
      <c r="I749" s="730">
        <f>2.5+0.1</f>
        <v>2.6</v>
      </c>
      <c r="J749" s="251"/>
      <c r="K749" s="726">
        <f t="shared" si="19"/>
        <v>2.7227199999999998</v>
      </c>
      <c r="L749" s="251"/>
      <c r="M749" s="251"/>
      <c r="N749" s="251"/>
    </row>
    <row r="750" spans="2:14" x14ac:dyDescent="0.25">
      <c r="B750" s="852"/>
      <c r="C750" s="873"/>
      <c r="D750" s="756" t="s">
        <v>783</v>
      </c>
      <c r="E750" s="753"/>
      <c r="F750" s="754">
        <v>1</v>
      </c>
      <c r="G750" s="749">
        <v>0.68</v>
      </c>
      <c r="H750" s="755">
        <v>0.1</v>
      </c>
      <c r="I750" s="730">
        <f>2.5+0.07</f>
        <v>2.57</v>
      </c>
      <c r="J750" s="251"/>
      <c r="K750" s="726">
        <f t="shared" si="19"/>
        <v>2.6913039999999997</v>
      </c>
      <c r="L750" s="251"/>
      <c r="M750" s="251"/>
      <c r="N750" s="251"/>
    </row>
    <row r="751" spans="2:14" x14ac:dyDescent="0.25">
      <c r="B751" s="852"/>
      <c r="C751" s="873"/>
      <c r="D751" s="756" t="s">
        <v>783</v>
      </c>
      <c r="E751" s="875"/>
      <c r="F751" s="876">
        <v>2</v>
      </c>
      <c r="G751" s="749">
        <v>0.68</v>
      </c>
      <c r="H751" s="755">
        <v>0.1</v>
      </c>
      <c r="I751" s="730">
        <f>2.5+0.46</f>
        <v>2.96</v>
      </c>
      <c r="J751" s="251"/>
      <c r="K751" s="726">
        <f t="shared" si="19"/>
        <v>6.1994239999999996</v>
      </c>
      <c r="L751" s="251"/>
      <c r="M751" s="251"/>
      <c r="N751" s="251"/>
    </row>
    <row r="752" spans="2:14" x14ac:dyDescent="0.25">
      <c r="B752" s="852"/>
      <c r="C752" s="873"/>
      <c r="D752" s="756" t="s">
        <v>783</v>
      </c>
      <c r="E752" s="875"/>
      <c r="F752" s="876">
        <v>1</v>
      </c>
      <c r="G752" s="749">
        <v>0.68</v>
      </c>
      <c r="H752" s="755">
        <v>0.1</v>
      </c>
      <c r="I752" s="730">
        <f>2.5+0.47</f>
        <v>2.9699999999999998</v>
      </c>
      <c r="J752" s="251"/>
      <c r="K752" s="726">
        <f t="shared" si="19"/>
        <v>3.1101839999999998</v>
      </c>
      <c r="L752" s="251"/>
      <c r="M752" s="251"/>
      <c r="N752" s="251"/>
    </row>
    <row r="753" spans="2:14" x14ac:dyDescent="0.25">
      <c r="B753" s="852"/>
      <c r="C753" s="873"/>
      <c r="D753" s="756" t="s">
        <v>783</v>
      </c>
      <c r="E753" s="875"/>
      <c r="F753" s="876">
        <v>1</v>
      </c>
      <c r="G753" s="749">
        <v>0.68</v>
      </c>
      <c r="H753" s="755">
        <v>0.1</v>
      </c>
      <c r="I753" s="730">
        <f>2.5+0.48</f>
        <v>2.98</v>
      </c>
      <c r="J753" s="251"/>
      <c r="K753" s="726">
        <f t="shared" si="19"/>
        <v>3.1206559999999999</v>
      </c>
      <c r="L753" s="251"/>
      <c r="M753" s="251"/>
      <c r="N753" s="251"/>
    </row>
    <row r="754" spans="2:14" x14ac:dyDescent="0.25">
      <c r="B754" s="852"/>
      <c r="C754" s="873"/>
      <c r="D754" s="889" t="s">
        <v>783</v>
      </c>
      <c r="E754" s="753"/>
      <c r="F754" s="844">
        <v>2</v>
      </c>
      <c r="G754" s="749">
        <v>0.68</v>
      </c>
      <c r="H754" s="755">
        <v>0.1</v>
      </c>
      <c r="I754" s="730">
        <f>2.5+0.54</f>
        <v>3.04</v>
      </c>
      <c r="J754" s="251"/>
      <c r="K754" s="726">
        <f t="shared" si="19"/>
        <v>6.3669760000000002</v>
      </c>
      <c r="L754" s="251"/>
      <c r="M754" s="251"/>
      <c r="N754" s="251"/>
    </row>
    <row r="755" spans="2:14" x14ac:dyDescent="0.25">
      <c r="B755" s="852"/>
      <c r="C755" s="873"/>
      <c r="D755" s="889" t="s">
        <v>783</v>
      </c>
      <c r="E755" s="875"/>
      <c r="F755" s="876">
        <v>1</v>
      </c>
      <c r="G755" s="749">
        <v>0.68</v>
      </c>
      <c r="H755" s="755">
        <v>0.1</v>
      </c>
      <c r="I755" s="730">
        <f>2.5+0.67</f>
        <v>3.17</v>
      </c>
      <c r="J755" s="251"/>
      <c r="K755" s="726">
        <f t="shared" si="19"/>
        <v>3.3196240000000001</v>
      </c>
      <c r="L755" s="251"/>
      <c r="M755" s="251"/>
      <c r="N755" s="251"/>
    </row>
    <row r="756" spans="2:14" x14ac:dyDescent="0.25">
      <c r="B756" s="852"/>
      <c r="C756" s="873"/>
      <c r="D756" s="756" t="s">
        <v>783</v>
      </c>
      <c r="E756" s="875"/>
      <c r="F756" s="876">
        <v>1</v>
      </c>
      <c r="G756" s="749">
        <v>0.68</v>
      </c>
      <c r="H756" s="755">
        <v>0.1</v>
      </c>
      <c r="I756" s="730">
        <f>2.5+0.76</f>
        <v>3.26</v>
      </c>
      <c r="J756" s="251"/>
      <c r="K756" s="726">
        <f t="shared" si="19"/>
        <v>3.413872</v>
      </c>
      <c r="L756" s="251"/>
      <c r="M756" s="251"/>
      <c r="N756" s="251"/>
    </row>
    <row r="757" spans="2:14" x14ac:dyDescent="0.25">
      <c r="B757" s="852"/>
      <c r="C757" s="873"/>
      <c r="D757" s="756" t="s">
        <v>783</v>
      </c>
      <c r="E757" s="875"/>
      <c r="F757" s="876">
        <v>1</v>
      </c>
      <c r="G757" s="749">
        <v>0.68</v>
      </c>
      <c r="H757" s="755">
        <v>0.1</v>
      </c>
      <c r="I757" s="730">
        <f>2.5+0.8</f>
        <v>3.3</v>
      </c>
      <c r="J757" s="251"/>
      <c r="K757" s="726">
        <f t="shared" si="19"/>
        <v>3.4557599999999997</v>
      </c>
      <c r="L757" s="251"/>
      <c r="M757" s="251"/>
      <c r="N757" s="251"/>
    </row>
    <row r="758" spans="2:14" x14ac:dyDescent="0.25">
      <c r="B758" s="852"/>
      <c r="C758" s="873"/>
      <c r="D758" s="756" t="s">
        <v>783</v>
      </c>
      <c r="E758" s="875"/>
      <c r="F758" s="876">
        <v>1</v>
      </c>
      <c r="G758" s="749">
        <v>0.68</v>
      </c>
      <c r="H758" s="755">
        <v>0.1</v>
      </c>
      <c r="I758" s="730">
        <f>2.5+0.77</f>
        <v>3.27</v>
      </c>
      <c r="J758" s="251"/>
      <c r="K758" s="726">
        <f t="shared" si="19"/>
        <v>3.4243439999999996</v>
      </c>
      <c r="L758" s="251"/>
      <c r="M758" s="251"/>
      <c r="N758" s="251"/>
    </row>
    <row r="759" spans="2:14" x14ac:dyDescent="0.25">
      <c r="B759" s="852"/>
      <c r="C759" s="873"/>
      <c r="D759" s="756" t="s">
        <v>783</v>
      </c>
      <c r="E759" s="875"/>
      <c r="F759" s="876">
        <v>1</v>
      </c>
      <c r="G759" s="749">
        <v>0.68</v>
      </c>
      <c r="H759" s="755">
        <v>0.1</v>
      </c>
      <c r="I759" s="730">
        <f>2.5+0.74</f>
        <v>3.24</v>
      </c>
      <c r="J759" s="251"/>
      <c r="K759" s="726">
        <f t="shared" si="19"/>
        <v>3.3929279999999999</v>
      </c>
      <c r="L759" s="251"/>
      <c r="M759" s="251"/>
      <c r="N759" s="251"/>
    </row>
    <row r="760" spans="2:14" x14ac:dyDescent="0.25">
      <c r="B760" s="852"/>
      <c r="C760" s="873"/>
      <c r="D760" s="756" t="s">
        <v>783</v>
      </c>
      <c r="E760" s="875"/>
      <c r="F760" s="876">
        <v>1</v>
      </c>
      <c r="G760" s="749">
        <v>0.68</v>
      </c>
      <c r="H760" s="755">
        <v>0.1</v>
      </c>
      <c r="I760" s="730">
        <f>2.5+0.69</f>
        <v>3.19</v>
      </c>
      <c r="J760" s="251"/>
      <c r="K760" s="726">
        <f t="shared" si="19"/>
        <v>3.3405680000000002</v>
      </c>
      <c r="L760" s="251"/>
      <c r="M760" s="251"/>
      <c r="N760" s="251"/>
    </row>
    <row r="761" spans="2:14" x14ac:dyDescent="0.25">
      <c r="B761" s="852"/>
      <c r="C761" s="873"/>
      <c r="D761" s="756" t="s">
        <v>783</v>
      </c>
      <c r="E761" s="875"/>
      <c r="F761" s="876">
        <v>2</v>
      </c>
      <c r="G761" s="749">
        <v>0.68</v>
      </c>
      <c r="H761" s="755">
        <v>0.1</v>
      </c>
      <c r="I761" s="730">
        <f>2.5+0.53</f>
        <v>3.0300000000000002</v>
      </c>
      <c r="J761" s="251"/>
      <c r="K761" s="726">
        <f t="shared" si="19"/>
        <v>6.346032000000001</v>
      </c>
      <c r="L761" s="251"/>
      <c r="M761" s="251"/>
      <c r="N761" s="251"/>
    </row>
    <row r="762" spans="2:14" x14ac:dyDescent="0.25">
      <c r="B762" s="852"/>
      <c r="C762" s="873"/>
      <c r="D762" s="756" t="s">
        <v>783</v>
      </c>
      <c r="E762" s="875"/>
      <c r="F762" s="876">
        <v>1</v>
      </c>
      <c r="G762" s="749">
        <v>0.68</v>
      </c>
      <c r="H762" s="755">
        <v>0.1</v>
      </c>
      <c r="I762" s="730">
        <f>2.5+0.57</f>
        <v>3.07</v>
      </c>
      <c r="J762" s="251"/>
      <c r="K762" s="726">
        <f t="shared" si="19"/>
        <v>3.2149039999999998</v>
      </c>
      <c r="L762" s="251"/>
      <c r="M762" s="251"/>
      <c r="N762" s="251"/>
    </row>
    <row r="763" spans="2:14" x14ac:dyDescent="0.25">
      <c r="B763" s="852"/>
      <c r="C763" s="873"/>
      <c r="D763" s="889" t="s">
        <v>783</v>
      </c>
      <c r="E763" s="753"/>
      <c r="F763" s="844">
        <v>1</v>
      </c>
      <c r="G763" s="749">
        <v>0.68</v>
      </c>
      <c r="H763" s="755">
        <v>0.1</v>
      </c>
      <c r="I763" s="730">
        <f>2.5+0.55</f>
        <v>3.05</v>
      </c>
      <c r="J763" s="251"/>
      <c r="K763" s="726">
        <f t="shared" si="19"/>
        <v>3.1939599999999997</v>
      </c>
      <c r="L763" s="251"/>
      <c r="M763" s="251"/>
      <c r="N763" s="251"/>
    </row>
    <row r="764" spans="2:14" x14ac:dyDescent="0.25">
      <c r="B764" s="852"/>
      <c r="C764" s="873"/>
      <c r="D764" s="889" t="s">
        <v>783</v>
      </c>
      <c r="E764" s="875"/>
      <c r="F764" s="876">
        <v>2</v>
      </c>
      <c r="G764" s="749">
        <v>0.68</v>
      </c>
      <c r="H764" s="755">
        <v>0.1</v>
      </c>
      <c r="I764" s="730">
        <f>2.5+0.6</f>
        <v>3.1</v>
      </c>
      <c r="J764" s="251"/>
      <c r="K764" s="726">
        <f t="shared" si="19"/>
        <v>6.4926400000000006</v>
      </c>
      <c r="L764" s="251"/>
      <c r="M764" s="251"/>
      <c r="N764" s="251"/>
    </row>
    <row r="765" spans="2:14" x14ac:dyDescent="0.25">
      <c r="B765" s="852"/>
      <c r="C765" s="873"/>
      <c r="D765" s="756" t="s">
        <v>783</v>
      </c>
      <c r="E765" s="875"/>
      <c r="F765" s="876">
        <v>1</v>
      </c>
      <c r="G765" s="749">
        <v>0.68</v>
      </c>
      <c r="H765" s="755">
        <v>0.1</v>
      </c>
      <c r="I765" s="730">
        <f>2.5+0.64</f>
        <v>3.14</v>
      </c>
      <c r="J765" s="251"/>
      <c r="K765" s="726">
        <f t="shared" si="19"/>
        <v>3.288208</v>
      </c>
      <c r="L765" s="251"/>
      <c r="M765" s="251"/>
      <c r="N765" s="251"/>
    </row>
    <row r="766" spans="2:14" x14ac:dyDescent="0.25">
      <c r="B766" s="852"/>
      <c r="C766" s="873"/>
      <c r="D766" s="756" t="s">
        <v>783</v>
      </c>
      <c r="E766" s="875"/>
      <c r="F766" s="876">
        <v>1</v>
      </c>
      <c r="G766" s="749">
        <v>0.68</v>
      </c>
      <c r="H766" s="755">
        <v>0.1</v>
      </c>
      <c r="I766" s="730">
        <f>2.5+0.63</f>
        <v>3.13</v>
      </c>
      <c r="J766" s="251"/>
      <c r="K766" s="726">
        <f t="shared" si="19"/>
        <v>3.277736</v>
      </c>
      <c r="L766" s="251"/>
      <c r="M766" s="251"/>
      <c r="N766" s="251"/>
    </row>
    <row r="767" spans="2:14" x14ac:dyDescent="0.25">
      <c r="B767" s="852"/>
      <c r="C767" s="873"/>
      <c r="D767" s="756" t="s">
        <v>783</v>
      </c>
      <c r="E767" s="875"/>
      <c r="F767" s="876">
        <v>1</v>
      </c>
      <c r="G767" s="749">
        <v>0.68</v>
      </c>
      <c r="H767" s="755">
        <v>0.1</v>
      </c>
      <c r="I767" s="730">
        <f>2.5+0.66</f>
        <v>3.16</v>
      </c>
      <c r="J767" s="251"/>
      <c r="K767" s="726">
        <f t="shared" si="19"/>
        <v>3.3091520000000005</v>
      </c>
      <c r="L767" s="251"/>
      <c r="M767" s="251"/>
      <c r="N767" s="251"/>
    </row>
    <row r="768" spans="2:14" x14ac:dyDescent="0.25">
      <c r="B768" s="852"/>
      <c r="C768" s="873"/>
      <c r="D768" s="756" t="s">
        <v>783</v>
      </c>
      <c r="E768" s="875"/>
      <c r="F768" s="876">
        <v>2</v>
      </c>
      <c r="G768" s="749">
        <v>0.68</v>
      </c>
      <c r="H768" s="755">
        <v>0.1</v>
      </c>
      <c r="I768" s="730">
        <f>2.5+0.64</f>
        <v>3.14</v>
      </c>
      <c r="J768" s="251"/>
      <c r="K768" s="726">
        <f t="shared" si="19"/>
        <v>6.576416</v>
      </c>
      <c r="L768" s="251"/>
      <c r="M768" s="251"/>
      <c r="N768" s="251"/>
    </row>
    <row r="769" spans="2:14" x14ac:dyDescent="0.25">
      <c r="B769" s="852"/>
      <c r="C769" s="873"/>
      <c r="D769" s="756" t="s">
        <v>783</v>
      </c>
      <c r="E769" s="875"/>
      <c r="F769" s="876">
        <v>1</v>
      </c>
      <c r="G769" s="749">
        <v>0.68</v>
      </c>
      <c r="H769" s="755">
        <v>0.1</v>
      </c>
      <c r="I769" s="730">
        <f>2.5+0.58</f>
        <v>3.08</v>
      </c>
      <c r="J769" s="251"/>
      <c r="K769" s="726">
        <f t="shared" si="19"/>
        <v>3.2253760000000002</v>
      </c>
      <c r="L769" s="251"/>
      <c r="M769" s="251"/>
      <c r="N769" s="251"/>
    </row>
    <row r="770" spans="2:14" x14ac:dyDescent="0.25">
      <c r="B770" s="852"/>
      <c r="C770" s="873"/>
      <c r="D770" s="756" t="s">
        <v>783</v>
      </c>
      <c r="E770" s="875"/>
      <c r="F770" s="876">
        <v>1</v>
      </c>
      <c r="G770" s="749">
        <v>0.68</v>
      </c>
      <c r="H770" s="755">
        <v>0.1</v>
      </c>
      <c r="I770" s="730">
        <f>2.5+0.58</f>
        <v>3.08</v>
      </c>
      <c r="J770" s="251"/>
      <c r="K770" s="726">
        <f t="shared" si="19"/>
        <v>3.2253760000000002</v>
      </c>
      <c r="L770" s="251"/>
      <c r="M770" s="251"/>
      <c r="N770" s="251"/>
    </row>
    <row r="771" spans="2:14" x14ac:dyDescent="0.25">
      <c r="B771" s="852"/>
      <c r="C771" s="873"/>
      <c r="D771" s="756" t="s">
        <v>783</v>
      </c>
      <c r="E771" s="875"/>
      <c r="F771" s="876">
        <v>2</v>
      </c>
      <c r="G771" s="749">
        <v>0.68</v>
      </c>
      <c r="H771" s="755">
        <v>0.1</v>
      </c>
      <c r="I771" s="730">
        <f>2.5+0.57</f>
        <v>3.07</v>
      </c>
      <c r="J771" s="251"/>
      <c r="K771" s="726">
        <f t="shared" si="19"/>
        <v>6.4298079999999995</v>
      </c>
      <c r="L771" s="251"/>
      <c r="M771" s="251"/>
      <c r="N771" s="251"/>
    </row>
    <row r="772" spans="2:14" x14ac:dyDescent="0.25">
      <c r="B772" s="852"/>
      <c r="C772" s="873"/>
      <c r="D772" s="756" t="s">
        <v>783</v>
      </c>
      <c r="E772" s="875"/>
      <c r="F772" s="876">
        <v>1</v>
      </c>
      <c r="G772" s="749">
        <v>0.68</v>
      </c>
      <c r="H772" s="755">
        <v>0.1</v>
      </c>
      <c r="I772" s="730">
        <f>2.5+0.6</f>
        <v>3.1</v>
      </c>
      <c r="J772" s="251"/>
      <c r="K772" s="726">
        <f t="shared" si="19"/>
        <v>3.2463200000000003</v>
      </c>
      <c r="L772" s="251"/>
      <c r="M772" s="251"/>
      <c r="N772" s="251"/>
    </row>
    <row r="773" spans="2:14" x14ac:dyDescent="0.25">
      <c r="B773" s="852"/>
      <c r="C773" s="873"/>
      <c r="D773" s="756" t="s">
        <v>783</v>
      </c>
      <c r="E773" s="875"/>
      <c r="F773" s="876">
        <v>1</v>
      </c>
      <c r="G773" s="749">
        <v>0.68</v>
      </c>
      <c r="H773" s="755">
        <v>0.1</v>
      </c>
      <c r="I773" s="730">
        <f>2.5+0.44</f>
        <v>2.94</v>
      </c>
      <c r="J773" s="251"/>
      <c r="K773" s="726">
        <f t="shared" si="19"/>
        <v>3.0787680000000002</v>
      </c>
      <c r="L773" s="251"/>
      <c r="M773" s="251"/>
      <c r="N773" s="251"/>
    </row>
    <row r="774" spans="2:14" ht="22.5" x14ac:dyDescent="0.25">
      <c r="B774" s="852"/>
      <c r="C774" s="873"/>
      <c r="D774" s="891" t="s">
        <v>1192</v>
      </c>
      <c r="E774" s="753"/>
      <c r="F774" s="876"/>
      <c r="G774" s="749" t="s">
        <v>650</v>
      </c>
      <c r="H774" s="755" t="s">
        <v>1193</v>
      </c>
      <c r="I774" s="774" t="s">
        <v>1194</v>
      </c>
      <c r="J774" s="251"/>
      <c r="K774" s="726"/>
      <c r="L774" s="251"/>
      <c r="M774" s="251"/>
      <c r="N774" s="251"/>
    </row>
    <row r="775" spans="2:14" x14ac:dyDescent="0.25">
      <c r="B775" s="852"/>
      <c r="C775" s="873"/>
      <c r="D775" s="756" t="s">
        <v>1195</v>
      </c>
      <c r="E775" s="753"/>
      <c r="F775" s="876">
        <v>2</v>
      </c>
      <c r="G775" s="749">
        <v>130.85</v>
      </c>
      <c r="H775" s="755">
        <v>0.2</v>
      </c>
      <c r="I775" s="730">
        <v>0.2</v>
      </c>
      <c r="J775" s="251"/>
      <c r="K775" s="726">
        <f>(I775/H775)*G775*0.154*F775</f>
        <v>40.3018</v>
      </c>
      <c r="L775" s="251"/>
      <c r="M775" s="251"/>
      <c r="N775" s="251"/>
    </row>
    <row r="776" spans="2:14" x14ac:dyDescent="0.25">
      <c r="B776" s="852"/>
      <c r="C776" s="873"/>
      <c r="D776" s="756"/>
      <c r="E776" s="753"/>
      <c r="F776" s="876"/>
      <c r="G776" s="749"/>
      <c r="H776" s="755"/>
      <c r="I776" s="730"/>
      <c r="J776" s="251"/>
      <c r="K776" s="726"/>
      <c r="L776" s="251"/>
      <c r="M776" s="251"/>
      <c r="N776" s="251"/>
    </row>
    <row r="777" spans="2:14" ht="33.75" x14ac:dyDescent="0.25">
      <c r="B777" s="852" t="s">
        <v>490</v>
      </c>
      <c r="C777" s="873">
        <v>96546</v>
      </c>
      <c r="D777" s="858" t="s">
        <v>80</v>
      </c>
      <c r="E777" s="753" t="s">
        <v>62</v>
      </c>
      <c r="F777" s="754"/>
      <c r="G777" s="868" t="s">
        <v>1196</v>
      </c>
      <c r="H777" s="869"/>
      <c r="I777" s="870"/>
      <c r="J777" s="251">
        <f>'BOLETIM DE MEDIÇÃO 10'!R185-'MEMORIAL DE CÁLCULO 10'!K777</f>
        <v>377.7958799999999</v>
      </c>
      <c r="K777" s="250">
        <v>43.701000000000001</v>
      </c>
      <c r="L777" s="251">
        <f>J777+K777</f>
        <v>421.49687999999992</v>
      </c>
      <c r="M777" s="251">
        <f>'BOLETIM DE MEDIÇÃO 10'!G185</f>
        <v>421.51</v>
      </c>
      <c r="N777" s="251">
        <f>M777-L777</f>
        <v>1.3120000000071741E-2</v>
      </c>
    </row>
    <row r="778" spans="2:14" x14ac:dyDescent="0.25">
      <c r="B778" s="884"/>
      <c r="C778" s="885"/>
      <c r="D778" s="874" t="s">
        <v>1186</v>
      </c>
      <c r="E778" s="753"/>
      <c r="F778" s="754"/>
      <c r="G778" s="859" t="s">
        <v>1197</v>
      </c>
      <c r="H778" s="892"/>
      <c r="I778" s="730" t="s">
        <v>1198</v>
      </c>
      <c r="J778" s="251"/>
      <c r="K778" s="250"/>
      <c r="L778" s="251"/>
      <c r="M778" s="251"/>
      <c r="N778" s="251"/>
    </row>
    <row r="779" spans="2:14" x14ac:dyDescent="0.25">
      <c r="B779" s="884"/>
      <c r="C779" s="885"/>
      <c r="D779" s="872" t="s">
        <v>1191</v>
      </c>
      <c r="E779" s="753"/>
      <c r="F779" s="754">
        <v>43</v>
      </c>
      <c r="G779" s="859">
        <v>4</v>
      </c>
      <c r="H779" s="892"/>
      <c r="I779" s="730">
        <v>1</v>
      </c>
      <c r="J779" s="251"/>
      <c r="K779" s="726">
        <f>I779*G779*F779*0.617</f>
        <v>106.124</v>
      </c>
      <c r="L779" s="251"/>
      <c r="M779" s="251"/>
      <c r="N779" s="251"/>
    </row>
    <row r="780" spans="2:14" x14ac:dyDescent="0.25">
      <c r="B780" s="884"/>
      <c r="C780" s="885"/>
      <c r="D780" s="891" t="s">
        <v>1188</v>
      </c>
      <c r="E780" s="753"/>
      <c r="F780" s="876"/>
      <c r="G780" s="893"/>
      <c r="H780" s="894"/>
      <c r="I780" s="730"/>
      <c r="J780" s="251"/>
      <c r="K780" s="726"/>
      <c r="L780" s="251"/>
      <c r="M780" s="251"/>
      <c r="N780" s="251"/>
    </row>
    <row r="781" spans="2:14" x14ac:dyDescent="0.25">
      <c r="B781" s="884"/>
      <c r="C781" s="885"/>
      <c r="D781" s="756" t="s">
        <v>782</v>
      </c>
      <c r="E781" s="753"/>
      <c r="F781" s="754">
        <v>5</v>
      </c>
      <c r="G781" s="859">
        <v>4</v>
      </c>
      <c r="H781" s="892"/>
      <c r="I781" s="730">
        <v>2.5</v>
      </c>
      <c r="J781" s="251"/>
      <c r="K781" s="726">
        <f t="shared" ref="K781:K813" si="20">I781*G781*F781*0.617</f>
        <v>30.85</v>
      </c>
      <c r="L781" s="251"/>
      <c r="M781" s="251"/>
      <c r="N781" s="251"/>
    </row>
    <row r="782" spans="2:14" x14ac:dyDescent="0.25">
      <c r="B782" s="884"/>
      <c r="C782" s="885"/>
      <c r="D782" s="756" t="s">
        <v>783</v>
      </c>
      <c r="E782" s="753"/>
      <c r="F782" s="754">
        <v>1</v>
      </c>
      <c r="G782" s="859">
        <v>4</v>
      </c>
      <c r="H782" s="892"/>
      <c r="I782" s="730">
        <f>2.5+0.51</f>
        <v>3.01</v>
      </c>
      <c r="J782" s="251"/>
      <c r="K782" s="726">
        <f t="shared" si="20"/>
        <v>7.4286799999999991</v>
      </c>
      <c r="L782" s="251"/>
      <c r="M782" s="251"/>
      <c r="N782" s="251"/>
    </row>
    <row r="783" spans="2:14" x14ac:dyDescent="0.25">
      <c r="B783" s="884"/>
      <c r="C783" s="885"/>
      <c r="D783" s="756" t="s">
        <v>783</v>
      </c>
      <c r="E783" s="753"/>
      <c r="F783" s="754">
        <v>1</v>
      </c>
      <c r="G783" s="859">
        <v>4</v>
      </c>
      <c r="H783" s="892"/>
      <c r="I783" s="730">
        <f>2.5+0.49</f>
        <v>2.99</v>
      </c>
      <c r="J783" s="251"/>
      <c r="K783" s="726">
        <f t="shared" si="20"/>
        <v>7.3793200000000008</v>
      </c>
      <c r="L783" s="251"/>
      <c r="M783" s="251"/>
      <c r="N783" s="251"/>
    </row>
    <row r="784" spans="2:14" x14ac:dyDescent="0.25">
      <c r="B784" s="884"/>
      <c r="C784" s="885"/>
      <c r="D784" s="756" t="s">
        <v>783</v>
      </c>
      <c r="E784" s="753"/>
      <c r="F784" s="754">
        <v>1</v>
      </c>
      <c r="G784" s="859">
        <v>4</v>
      </c>
      <c r="H784" s="892"/>
      <c r="I784" s="730">
        <f>2.5+0.46</f>
        <v>2.96</v>
      </c>
      <c r="J784" s="251"/>
      <c r="K784" s="726">
        <f t="shared" si="20"/>
        <v>7.3052799999999998</v>
      </c>
      <c r="L784" s="251"/>
      <c r="M784" s="251"/>
      <c r="N784" s="251"/>
    </row>
    <row r="785" spans="2:14" x14ac:dyDescent="0.25">
      <c r="B785" s="884"/>
      <c r="C785" s="885"/>
      <c r="D785" s="756" t="s">
        <v>783</v>
      </c>
      <c r="E785" s="753"/>
      <c r="F785" s="754">
        <v>1</v>
      </c>
      <c r="G785" s="859">
        <v>4</v>
      </c>
      <c r="H785" s="892"/>
      <c r="I785" s="730">
        <f>2.5+0.47</f>
        <v>2.9699999999999998</v>
      </c>
      <c r="J785" s="251"/>
      <c r="K785" s="726">
        <f t="shared" si="20"/>
        <v>7.3299599999999989</v>
      </c>
      <c r="L785" s="251"/>
      <c r="M785" s="251"/>
      <c r="N785" s="251"/>
    </row>
    <row r="786" spans="2:14" x14ac:dyDescent="0.25">
      <c r="B786" s="884"/>
      <c r="C786" s="885"/>
      <c r="D786" s="756" t="s">
        <v>783</v>
      </c>
      <c r="E786" s="753"/>
      <c r="F786" s="754">
        <v>1</v>
      </c>
      <c r="G786" s="859">
        <v>4</v>
      </c>
      <c r="H786" s="892"/>
      <c r="I786" s="730">
        <f>2.5+0.38</f>
        <v>2.88</v>
      </c>
      <c r="J786" s="251"/>
      <c r="K786" s="726">
        <f t="shared" si="20"/>
        <v>7.1078399999999995</v>
      </c>
      <c r="L786" s="251"/>
      <c r="M786" s="251"/>
      <c r="N786" s="251"/>
    </row>
    <row r="787" spans="2:14" x14ac:dyDescent="0.25">
      <c r="B787" s="884"/>
      <c r="C787" s="885"/>
      <c r="D787" s="756" t="s">
        <v>783</v>
      </c>
      <c r="E787" s="753"/>
      <c r="F787" s="754">
        <v>1</v>
      </c>
      <c r="G787" s="859">
        <v>4</v>
      </c>
      <c r="H787" s="892"/>
      <c r="I787" s="730">
        <f>2.5+0.3</f>
        <v>2.8</v>
      </c>
      <c r="J787" s="251"/>
      <c r="K787" s="726">
        <f t="shared" si="20"/>
        <v>6.9103999999999992</v>
      </c>
      <c r="L787" s="251"/>
      <c r="M787" s="251"/>
      <c r="N787" s="251"/>
    </row>
    <row r="788" spans="2:14" x14ac:dyDescent="0.25">
      <c r="B788" s="884"/>
      <c r="C788" s="885"/>
      <c r="D788" s="756" t="s">
        <v>783</v>
      </c>
      <c r="E788" s="753"/>
      <c r="F788" s="754">
        <v>1</v>
      </c>
      <c r="G788" s="859">
        <v>4</v>
      </c>
      <c r="H788" s="892"/>
      <c r="I788" s="730">
        <f>2.5+0.2</f>
        <v>2.7</v>
      </c>
      <c r="J788" s="251"/>
      <c r="K788" s="726">
        <f t="shared" si="20"/>
        <v>6.6636000000000006</v>
      </c>
      <c r="L788" s="251"/>
      <c r="M788" s="251"/>
      <c r="N788" s="251"/>
    </row>
    <row r="789" spans="2:14" x14ac:dyDescent="0.25">
      <c r="B789" s="884"/>
      <c r="C789" s="885"/>
      <c r="D789" s="756" t="s">
        <v>783</v>
      </c>
      <c r="E789" s="753"/>
      <c r="F789" s="754">
        <v>1</v>
      </c>
      <c r="G789" s="859">
        <v>4</v>
      </c>
      <c r="H789" s="892"/>
      <c r="I789" s="730">
        <f>2.5+0.1</f>
        <v>2.6</v>
      </c>
      <c r="J789" s="251"/>
      <c r="K789" s="726">
        <f t="shared" si="20"/>
        <v>6.4168000000000003</v>
      </c>
      <c r="L789" s="251"/>
      <c r="M789" s="251"/>
      <c r="N789" s="251"/>
    </row>
    <row r="790" spans="2:14" x14ac:dyDescent="0.25">
      <c r="B790" s="884"/>
      <c r="C790" s="885"/>
      <c r="D790" s="756" t="s">
        <v>783</v>
      </c>
      <c r="E790" s="753"/>
      <c r="F790" s="754">
        <v>1</v>
      </c>
      <c r="G790" s="859">
        <v>4</v>
      </c>
      <c r="H790" s="892"/>
      <c r="I790" s="730">
        <f>2.5+0.07</f>
        <v>2.57</v>
      </c>
      <c r="J790" s="251"/>
      <c r="K790" s="726">
        <f t="shared" si="20"/>
        <v>6.3427599999999993</v>
      </c>
      <c r="L790" s="251"/>
      <c r="M790" s="251"/>
      <c r="N790" s="251"/>
    </row>
    <row r="791" spans="2:14" x14ac:dyDescent="0.25">
      <c r="B791" s="884"/>
      <c r="C791" s="885"/>
      <c r="D791" s="756" t="s">
        <v>783</v>
      </c>
      <c r="E791" s="875"/>
      <c r="F791" s="876">
        <v>2</v>
      </c>
      <c r="G791" s="859">
        <v>4</v>
      </c>
      <c r="H791" s="892"/>
      <c r="I791" s="730">
        <f>2.5+0.46</f>
        <v>2.96</v>
      </c>
      <c r="J791" s="251"/>
      <c r="K791" s="726">
        <f t="shared" si="20"/>
        <v>14.61056</v>
      </c>
      <c r="L791" s="251"/>
      <c r="M791" s="251"/>
      <c r="N791" s="251"/>
    </row>
    <row r="792" spans="2:14" x14ac:dyDescent="0.25">
      <c r="B792" s="884"/>
      <c r="C792" s="885"/>
      <c r="D792" s="756" t="s">
        <v>783</v>
      </c>
      <c r="E792" s="875"/>
      <c r="F792" s="876">
        <v>1</v>
      </c>
      <c r="G792" s="859">
        <v>4</v>
      </c>
      <c r="H792" s="892"/>
      <c r="I792" s="730">
        <f>2.5+0.47</f>
        <v>2.9699999999999998</v>
      </c>
      <c r="J792" s="251"/>
      <c r="K792" s="726">
        <f t="shared" si="20"/>
        <v>7.3299599999999989</v>
      </c>
      <c r="L792" s="251"/>
      <c r="M792" s="251"/>
      <c r="N792" s="251"/>
    </row>
    <row r="793" spans="2:14" x14ac:dyDescent="0.25">
      <c r="B793" s="884"/>
      <c r="C793" s="885"/>
      <c r="D793" s="756" t="s">
        <v>783</v>
      </c>
      <c r="E793" s="875"/>
      <c r="F793" s="876">
        <v>1</v>
      </c>
      <c r="G793" s="859">
        <v>4</v>
      </c>
      <c r="H793" s="892"/>
      <c r="I793" s="730">
        <f>2.5+0.48</f>
        <v>2.98</v>
      </c>
      <c r="J793" s="251"/>
      <c r="K793" s="726">
        <f t="shared" si="20"/>
        <v>7.3546399999999998</v>
      </c>
      <c r="L793" s="251"/>
      <c r="M793" s="251"/>
      <c r="N793" s="251"/>
    </row>
    <row r="794" spans="2:14" x14ac:dyDescent="0.25">
      <c r="B794" s="884"/>
      <c r="C794" s="885"/>
      <c r="D794" s="889" t="s">
        <v>783</v>
      </c>
      <c r="E794" s="753"/>
      <c r="F794" s="844">
        <v>2</v>
      </c>
      <c r="G794" s="859">
        <v>4</v>
      </c>
      <c r="H794" s="892"/>
      <c r="I794" s="730">
        <f>2.5+0.54</f>
        <v>3.04</v>
      </c>
      <c r="J794" s="251"/>
      <c r="K794" s="726">
        <f t="shared" si="20"/>
        <v>15.00544</v>
      </c>
      <c r="L794" s="251"/>
      <c r="M794" s="251"/>
      <c r="N794" s="251"/>
    </row>
    <row r="795" spans="2:14" x14ac:dyDescent="0.25">
      <c r="B795" s="884"/>
      <c r="C795" s="885"/>
      <c r="D795" s="889" t="s">
        <v>783</v>
      </c>
      <c r="E795" s="875"/>
      <c r="F795" s="876">
        <v>1</v>
      </c>
      <c r="G795" s="859">
        <v>4</v>
      </c>
      <c r="H795" s="892"/>
      <c r="I795" s="730">
        <f>2.5+0.67</f>
        <v>3.17</v>
      </c>
      <c r="J795" s="251"/>
      <c r="K795" s="726">
        <f t="shared" si="20"/>
        <v>7.8235599999999996</v>
      </c>
      <c r="L795" s="251"/>
      <c r="M795" s="251"/>
      <c r="N795" s="251"/>
    </row>
    <row r="796" spans="2:14" x14ac:dyDescent="0.25">
      <c r="B796" s="884"/>
      <c r="C796" s="885"/>
      <c r="D796" s="756" t="s">
        <v>783</v>
      </c>
      <c r="E796" s="875"/>
      <c r="F796" s="876">
        <v>1</v>
      </c>
      <c r="G796" s="859">
        <v>4</v>
      </c>
      <c r="H796" s="892"/>
      <c r="I796" s="730">
        <f>2.5+0.76</f>
        <v>3.26</v>
      </c>
      <c r="J796" s="251"/>
      <c r="K796" s="726">
        <f t="shared" si="20"/>
        <v>8.0456799999999991</v>
      </c>
      <c r="L796" s="251"/>
      <c r="M796" s="251"/>
      <c r="N796" s="251"/>
    </row>
    <row r="797" spans="2:14" x14ac:dyDescent="0.25">
      <c r="B797" s="884"/>
      <c r="C797" s="885"/>
      <c r="D797" s="756" t="s">
        <v>783</v>
      </c>
      <c r="E797" s="875"/>
      <c r="F797" s="876">
        <v>1</v>
      </c>
      <c r="G797" s="859">
        <v>4</v>
      </c>
      <c r="H797" s="892"/>
      <c r="I797" s="730">
        <f>2.5+0.8</f>
        <v>3.3</v>
      </c>
      <c r="J797" s="251"/>
      <c r="K797" s="726">
        <f t="shared" si="20"/>
        <v>8.1443999999999992</v>
      </c>
      <c r="L797" s="251"/>
      <c r="M797" s="251"/>
      <c r="N797" s="251"/>
    </row>
    <row r="798" spans="2:14" x14ac:dyDescent="0.25">
      <c r="B798" s="884"/>
      <c r="C798" s="885"/>
      <c r="D798" s="756" t="s">
        <v>783</v>
      </c>
      <c r="E798" s="875"/>
      <c r="F798" s="876">
        <v>1</v>
      </c>
      <c r="G798" s="859">
        <v>4</v>
      </c>
      <c r="H798" s="892"/>
      <c r="I798" s="730">
        <f>2.5+0.77</f>
        <v>3.27</v>
      </c>
      <c r="J798" s="251"/>
      <c r="K798" s="726">
        <f t="shared" si="20"/>
        <v>8.0703599999999991</v>
      </c>
      <c r="L798" s="251"/>
      <c r="M798" s="251"/>
      <c r="N798" s="251"/>
    </row>
    <row r="799" spans="2:14" x14ac:dyDescent="0.25">
      <c r="B799" s="884"/>
      <c r="C799" s="885"/>
      <c r="D799" s="756" t="s">
        <v>783</v>
      </c>
      <c r="E799" s="875"/>
      <c r="F799" s="876">
        <v>1</v>
      </c>
      <c r="G799" s="859">
        <v>4</v>
      </c>
      <c r="H799" s="892"/>
      <c r="I799" s="730">
        <f>2.5+0.74</f>
        <v>3.24</v>
      </c>
      <c r="J799" s="251"/>
      <c r="K799" s="726">
        <f t="shared" si="20"/>
        <v>7.9963200000000008</v>
      </c>
      <c r="L799" s="251"/>
      <c r="M799" s="251"/>
      <c r="N799" s="251"/>
    </row>
    <row r="800" spans="2:14" x14ac:dyDescent="0.25">
      <c r="B800" s="884"/>
      <c r="C800" s="885"/>
      <c r="D800" s="756" t="s">
        <v>783</v>
      </c>
      <c r="E800" s="875"/>
      <c r="F800" s="876">
        <v>1</v>
      </c>
      <c r="G800" s="859">
        <v>4</v>
      </c>
      <c r="H800" s="892"/>
      <c r="I800" s="730">
        <f>2.5+0.69</f>
        <v>3.19</v>
      </c>
      <c r="J800" s="251"/>
      <c r="K800" s="726">
        <f t="shared" si="20"/>
        <v>7.8729199999999997</v>
      </c>
      <c r="L800" s="251"/>
      <c r="M800" s="251"/>
      <c r="N800" s="251"/>
    </row>
    <row r="801" spans="2:14" x14ac:dyDescent="0.25">
      <c r="B801" s="884"/>
      <c r="C801" s="885"/>
      <c r="D801" s="756" t="s">
        <v>783</v>
      </c>
      <c r="E801" s="875"/>
      <c r="F801" s="876">
        <v>2</v>
      </c>
      <c r="G801" s="859">
        <v>4</v>
      </c>
      <c r="H801" s="892"/>
      <c r="I801" s="730">
        <f>2.5+0.53</f>
        <v>3.0300000000000002</v>
      </c>
      <c r="J801" s="251"/>
      <c r="K801" s="726">
        <f t="shared" si="20"/>
        <v>14.956080000000002</v>
      </c>
      <c r="L801" s="251"/>
      <c r="M801" s="251"/>
      <c r="N801" s="251"/>
    </row>
    <row r="802" spans="2:14" x14ac:dyDescent="0.25">
      <c r="B802" s="884"/>
      <c r="C802" s="885"/>
      <c r="D802" s="756" t="s">
        <v>783</v>
      </c>
      <c r="E802" s="875"/>
      <c r="F802" s="876">
        <v>1</v>
      </c>
      <c r="G802" s="859">
        <v>4</v>
      </c>
      <c r="H802" s="892"/>
      <c r="I802" s="730">
        <f>2.5+0.57</f>
        <v>3.07</v>
      </c>
      <c r="J802" s="251"/>
      <c r="K802" s="726">
        <f t="shared" si="20"/>
        <v>7.5767599999999993</v>
      </c>
      <c r="L802" s="251"/>
      <c r="M802" s="251"/>
      <c r="N802" s="251"/>
    </row>
    <row r="803" spans="2:14" x14ac:dyDescent="0.25">
      <c r="B803" s="884"/>
      <c r="C803" s="885"/>
      <c r="D803" s="889" t="s">
        <v>783</v>
      </c>
      <c r="E803" s="753"/>
      <c r="F803" s="844">
        <v>1</v>
      </c>
      <c r="G803" s="859">
        <v>4</v>
      </c>
      <c r="H803" s="892"/>
      <c r="I803" s="730">
        <f>2.5+0.55</f>
        <v>3.05</v>
      </c>
      <c r="J803" s="251"/>
      <c r="K803" s="726">
        <f t="shared" si="20"/>
        <v>7.5273999999999992</v>
      </c>
      <c r="L803" s="251"/>
      <c r="M803" s="251"/>
      <c r="N803" s="251"/>
    </row>
    <row r="804" spans="2:14" x14ac:dyDescent="0.25">
      <c r="B804" s="884"/>
      <c r="C804" s="885"/>
      <c r="D804" s="889" t="s">
        <v>783</v>
      </c>
      <c r="E804" s="875"/>
      <c r="F804" s="876">
        <v>2</v>
      </c>
      <c r="G804" s="859">
        <v>4</v>
      </c>
      <c r="H804" s="892"/>
      <c r="I804" s="730">
        <f>2.5+0.6</f>
        <v>3.1</v>
      </c>
      <c r="J804" s="251"/>
      <c r="K804" s="726">
        <f t="shared" si="20"/>
        <v>15.301600000000001</v>
      </c>
      <c r="L804" s="251"/>
      <c r="M804" s="251"/>
      <c r="N804" s="251"/>
    </row>
    <row r="805" spans="2:14" x14ac:dyDescent="0.25">
      <c r="B805" s="884"/>
      <c r="C805" s="885"/>
      <c r="D805" s="756" t="s">
        <v>783</v>
      </c>
      <c r="E805" s="875"/>
      <c r="F805" s="876">
        <v>1</v>
      </c>
      <c r="G805" s="859">
        <v>4</v>
      </c>
      <c r="H805" s="892"/>
      <c r="I805" s="730">
        <f>2.5+0.64</f>
        <v>3.14</v>
      </c>
      <c r="J805" s="251"/>
      <c r="K805" s="726">
        <f t="shared" si="20"/>
        <v>7.7495200000000004</v>
      </c>
      <c r="L805" s="251"/>
      <c r="M805" s="251"/>
      <c r="N805" s="251"/>
    </row>
    <row r="806" spans="2:14" x14ac:dyDescent="0.25">
      <c r="B806" s="884"/>
      <c r="C806" s="885"/>
      <c r="D806" s="756" t="s">
        <v>783</v>
      </c>
      <c r="E806" s="875"/>
      <c r="F806" s="876">
        <v>1</v>
      </c>
      <c r="G806" s="859">
        <v>4</v>
      </c>
      <c r="H806" s="892"/>
      <c r="I806" s="730">
        <f>2.5+0.63</f>
        <v>3.13</v>
      </c>
      <c r="J806" s="251"/>
      <c r="K806" s="726">
        <f t="shared" si="20"/>
        <v>7.7248399999999995</v>
      </c>
      <c r="L806" s="251"/>
      <c r="M806" s="251"/>
      <c r="N806" s="251"/>
    </row>
    <row r="807" spans="2:14" x14ac:dyDescent="0.25">
      <c r="B807" s="884"/>
      <c r="C807" s="885"/>
      <c r="D807" s="756" t="s">
        <v>783</v>
      </c>
      <c r="E807" s="875"/>
      <c r="F807" s="876">
        <v>1</v>
      </c>
      <c r="G807" s="859">
        <v>4</v>
      </c>
      <c r="H807" s="892"/>
      <c r="I807" s="730">
        <f>2.5+0.66</f>
        <v>3.16</v>
      </c>
      <c r="J807" s="251"/>
      <c r="K807" s="726">
        <f t="shared" si="20"/>
        <v>7.7988800000000005</v>
      </c>
      <c r="L807" s="251"/>
      <c r="M807" s="251"/>
      <c r="N807" s="251"/>
    </row>
    <row r="808" spans="2:14" x14ac:dyDescent="0.25">
      <c r="B808" s="884"/>
      <c r="C808" s="885"/>
      <c r="D808" s="756" t="s">
        <v>783</v>
      </c>
      <c r="E808" s="875"/>
      <c r="F808" s="876">
        <v>2</v>
      </c>
      <c r="G808" s="859">
        <v>4</v>
      </c>
      <c r="H808" s="892"/>
      <c r="I808" s="730">
        <f>2.5+0.64</f>
        <v>3.14</v>
      </c>
      <c r="J808" s="251"/>
      <c r="K808" s="726">
        <f t="shared" si="20"/>
        <v>15.499040000000001</v>
      </c>
      <c r="L808" s="251"/>
      <c r="M808" s="251"/>
      <c r="N808" s="251"/>
    </row>
    <row r="809" spans="2:14" x14ac:dyDescent="0.25">
      <c r="B809" s="884"/>
      <c r="C809" s="885"/>
      <c r="D809" s="756" t="s">
        <v>783</v>
      </c>
      <c r="E809" s="875"/>
      <c r="F809" s="876">
        <v>1</v>
      </c>
      <c r="G809" s="859">
        <v>4</v>
      </c>
      <c r="H809" s="892"/>
      <c r="I809" s="730">
        <f>2.5+0.58</f>
        <v>3.08</v>
      </c>
      <c r="J809" s="251"/>
      <c r="K809" s="726">
        <f t="shared" si="20"/>
        <v>7.6014400000000002</v>
      </c>
      <c r="L809" s="251"/>
      <c r="M809" s="251"/>
      <c r="N809" s="251"/>
    </row>
    <row r="810" spans="2:14" x14ac:dyDescent="0.25">
      <c r="B810" s="884"/>
      <c r="C810" s="885"/>
      <c r="D810" s="756" t="s">
        <v>783</v>
      </c>
      <c r="E810" s="875"/>
      <c r="F810" s="876">
        <v>1</v>
      </c>
      <c r="G810" s="859">
        <v>4</v>
      </c>
      <c r="H810" s="892"/>
      <c r="I810" s="730">
        <f>2.5+0.58</f>
        <v>3.08</v>
      </c>
      <c r="J810" s="251"/>
      <c r="K810" s="726">
        <f t="shared" si="20"/>
        <v>7.6014400000000002</v>
      </c>
      <c r="L810" s="251"/>
      <c r="M810" s="251"/>
      <c r="N810" s="251"/>
    </row>
    <row r="811" spans="2:14" x14ac:dyDescent="0.25">
      <c r="B811" s="884"/>
      <c r="C811" s="885"/>
      <c r="D811" s="756" t="s">
        <v>783</v>
      </c>
      <c r="E811" s="875"/>
      <c r="F811" s="876">
        <v>2</v>
      </c>
      <c r="G811" s="859">
        <v>4</v>
      </c>
      <c r="H811" s="892"/>
      <c r="I811" s="730">
        <f>2.5+0.57</f>
        <v>3.07</v>
      </c>
      <c r="J811" s="251"/>
      <c r="K811" s="726">
        <f t="shared" si="20"/>
        <v>15.153519999999999</v>
      </c>
      <c r="L811" s="251"/>
      <c r="M811" s="251"/>
      <c r="N811" s="251"/>
    </row>
    <row r="812" spans="2:14" x14ac:dyDescent="0.25">
      <c r="B812" s="884"/>
      <c r="C812" s="885"/>
      <c r="D812" s="756" t="s">
        <v>783</v>
      </c>
      <c r="E812" s="875"/>
      <c r="F812" s="876">
        <v>1</v>
      </c>
      <c r="G812" s="859">
        <v>4</v>
      </c>
      <c r="H812" s="892"/>
      <c r="I812" s="730">
        <f>2.5+0.6</f>
        <v>3.1</v>
      </c>
      <c r="J812" s="251"/>
      <c r="K812" s="726">
        <f t="shared" si="20"/>
        <v>7.6508000000000003</v>
      </c>
      <c r="L812" s="251"/>
      <c r="M812" s="251"/>
      <c r="N812" s="251"/>
    </row>
    <row r="813" spans="2:14" x14ac:dyDescent="0.25">
      <c r="B813" s="884"/>
      <c r="C813" s="885"/>
      <c r="D813" s="756" t="s">
        <v>783</v>
      </c>
      <c r="E813" s="875"/>
      <c r="F813" s="876">
        <v>1</v>
      </c>
      <c r="G813" s="859">
        <v>4</v>
      </c>
      <c r="H813" s="892"/>
      <c r="I813" s="730">
        <f>2.5+0.44</f>
        <v>2.94</v>
      </c>
      <c r="J813" s="251"/>
      <c r="K813" s="726">
        <f t="shared" si="20"/>
        <v>7.2559199999999997</v>
      </c>
      <c r="L813" s="251"/>
      <c r="M813" s="251"/>
      <c r="N813" s="251"/>
    </row>
    <row r="814" spans="2:14" x14ac:dyDescent="0.25">
      <c r="B814" s="884"/>
      <c r="C814" s="885"/>
      <c r="D814" s="889"/>
      <c r="E814" s="875"/>
      <c r="F814" s="876"/>
      <c r="G814" s="859"/>
      <c r="H814" s="892"/>
      <c r="I814" s="730"/>
      <c r="J814" s="251"/>
      <c r="K814" s="726"/>
      <c r="L814" s="251"/>
      <c r="M814" s="251"/>
      <c r="N814" s="251"/>
    </row>
    <row r="815" spans="2:14" ht="33.75" x14ac:dyDescent="0.25">
      <c r="B815" s="884" t="s">
        <v>491</v>
      </c>
      <c r="C815" s="885">
        <v>96536</v>
      </c>
      <c r="D815" s="895" t="s">
        <v>86</v>
      </c>
      <c r="E815" s="875" t="s">
        <v>17</v>
      </c>
      <c r="F815" s="844"/>
      <c r="G815" s="846" t="s">
        <v>1199</v>
      </c>
      <c r="H815" s="847"/>
      <c r="I815" s="848"/>
      <c r="J815" s="251">
        <f>'BOLETIM DE MEDIÇÃO 10'!R186-'MEMORIAL DE CÁLCULO 10'!K815</f>
        <v>149.60000000000002</v>
      </c>
      <c r="K815" s="250">
        <v>12.83</v>
      </c>
      <c r="L815" s="251">
        <f>J815+K815</f>
        <v>162.43000000000004</v>
      </c>
      <c r="M815" s="251">
        <f>'BOLETIM DE MEDIÇÃO 10'!G186</f>
        <v>162.43</v>
      </c>
      <c r="N815" s="251">
        <f>M815-L815</f>
        <v>0</v>
      </c>
    </row>
    <row r="816" spans="2:14" x14ac:dyDescent="0.25">
      <c r="B816" s="884"/>
      <c r="C816" s="885"/>
      <c r="D816" s="756"/>
      <c r="E816" s="753"/>
      <c r="F816" s="754"/>
      <c r="G816" s="886"/>
      <c r="H816" s="855"/>
      <c r="I816" s="730"/>
      <c r="J816" s="251"/>
      <c r="K816" s="250"/>
      <c r="L816" s="251"/>
      <c r="M816" s="251"/>
      <c r="N816" s="251"/>
    </row>
    <row r="817" spans="2:14" x14ac:dyDescent="0.25">
      <c r="B817" s="884"/>
      <c r="C817" s="885"/>
      <c r="D817" s="874" t="s">
        <v>1186</v>
      </c>
      <c r="E817" s="753"/>
      <c r="F817" s="754"/>
      <c r="G817" s="881" t="s">
        <v>649</v>
      </c>
      <c r="H817" s="882" t="s">
        <v>650</v>
      </c>
      <c r="I817" s="883" t="s">
        <v>651</v>
      </c>
      <c r="J817" s="251"/>
      <c r="K817" s="250"/>
      <c r="L817" s="251"/>
      <c r="M817" s="251"/>
      <c r="N817" s="251"/>
    </row>
    <row r="818" spans="2:14" x14ac:dyDescent="0.25">
      <c r="B818" s="884"/>
      <c r="C818" s="873"/>
      <c r="D818" s="872" t="s">
        <v>1191</v>
      </c>
      <c r="E818" s="753"/>
      <c r="F818" s="754">
        <v>43</v>
      </c>
      <c r="G818" s="881">
        <v>0.2</v>
      </c>
      <c r="H818" s="882">
        <v>0.2</v>
      </c>
      <c r="I818" s="730">
        <v>1</v>
      </c>
      <c r="J818" s="251"/>
      <c r="K818" s="250">
        <f>((G818+H818)*2)*I818*F818</f>
        <v>34.4</v>
      </c>
      <c r="L818" s="251"/>
      <c r="M818" s="251"/>
      <c r="N818" s="251"/>
    </row>
    <row r="819" spans="2:14" x14ac:dyDescent="0.25">
      <c r="B819" s="884"/>
      <c r="C819" s="885"/>
      <c r="D819" s="756" t="s">
        <v>579</v>
      </c>
      <c r="E819" s="753"/>
      <c r="F819" s="754">
        <v>43</v>
      </c>
      <c r="G819" s="886">
        <v>0.6</v>
      </c>
      <c r="H819" s="855">
        <v>0.6</v>
      </c>
      <c r="I819" s="730">
        <v>0.25</v>
      </c>
      <c r="J819" s="251"/>
      <c r="K819" s="250">
        <f>((H819*2)+(G819*2))*I819*F819</f>
        <v>25.8</v>
      </c>
      <c r="L819" s="251"/>
      <c r="M819" s="251"/>
      <c r="N819" s="251"/>
    </row>
    <row r="820" spans="2:14" x14ac:dyDescent="0.25">
      <c r="B820" s="884"/>
      <c r="C820" s="885"/>
      <c r="D820" s="866" t="s">
        <v>1188</v>
      </c>
      <c r="E820" s="753"/>
      <c r="F820" s="876"/>
      <c r="G820" s="881"/>
      <c r="H820" s="882"/>
      <c r="I820" s="730"/>
      <c r="J820" s="251"/>
      <c r="K820" s="250"/>
      <c r="L820" s="251"/>
      <c r="M820" s="251"/>
      <c r="N820" s="251"/>
    </row>
    <row r="821" spans="2:14" x14ac:dyDescent="0.25">
      <c r="B821" s="884"/>
      <c r="C821" s="885"/>
      <c r="D821" s="756" t="s">
        <v>782</v>
      </c>
      <c r="E821" s="753"/>
      <c r="F821" s="754">
        <v>5</v>
      </c>
      <c r="G821" s="749">
        <v>0.2</v>
      </c>
      <c r="H821" s="755">
        <v>0.2</v>
      </c>
      <c r="I821" s="730">
        <v>2.5</v>
      </c>
      <c r="J821" s="251"/>
      <c r="K821" s="250">
        <f t="shared" ref="K821:K853" si="21">((G821+H821)*2)*I821*F821</f>
        <v>10</v>
      </c>
      <c r="L821" s="251"/>
      <c r="M821" s="251"/>
      <c r="N821" s="251"/>
    </row>
    <row r="822" spans="2:14" x14ac:dyDescent="0.25">
      <c r="B822" s="884"/>
      <c r="C822" s="885"/>
      <c r="D822" s="756" t="s">
        <v>783</v>
      </c>
      <c r="E822" s="753"/>
      <c r="F822" s="754">
        <v>1</v>
      </c>
      <c r="G822" s="749">
        <v>0.2</v>
      </c>
      <c r="H822" s="755">
        <v>0.2</v>
      </c>
      <c r="I822" s="730">
        <f>2.5+0.51</f>
        <v>3.01</v>
      </c>
      <c r="J822" s="251"/>
      <c r="K822" s="250">
        <f t="shared" si="21"/>
        <v>2.4079999999999999</v>
      </c>
      <c r="L822" s="251"/>
      <c r="M822" s="251"/>
      <c r="N822" s="251"/>
    </row>
    <row r="823" spans="2:14" x14ac:dyDescent="0.25">
      <c r="B823" s="884"/>
      <c r="C823" s="885"/>
      <c r="D823" s="756" t="s">
        <v>783</v>
      </c>
      <c r="E823" s="753"/>
      <c r="F823" s="754">
        <v>1</v>
      </c>
      <c r="G823" s="749">
        <v>0.2</v>
      </c>
      <c r="H823" s="755">
        <v>0.2</v>
      </c>
      <c r="I823" s="730">
        <f>2.5+0.49</f>
        <v>2.99</v>
      </c>
      <c r="J823" s="251"/>
      <c r="K823" s="250">
        <f t="shared" si="21"/>
        <v>2.3920000000000003</v>
      </c>
      <c r="L823" s="251"/>
      <c r="M823" s="251"/>
      <c r="N823" s="251"/>
    </row>
    <row r="824" spans="2:14" x14ac:dyDescent="0.25">
      <c r="B824" s="884"/>
      <c r="C824" s="885"/>
      <c r="D824" s="756" t="s">
        <v>783</v>
      </c>
      <c r="E824" s="753"/>
      <c r="F824" s="754">
        <v>1</v>
      </c>
      <c r="G824" s="749">
        <v>0.2</v>
      </c>
      <c r="H824" s="755">
        <v>0.2</v>
      </c>
      <c r="I824" s="730">
        <f>2.5+0.46</f>
        <v>2.96</v>
      </c>
      <c r="J824" s="251"/>
      <c r="K824" s="250">
        <f t="shared" si="21"/>
        <v>2.3679999999999999</v>
      </c>
      <c r="L824" s="251"/>
      <c r="M824" s="251"/>
      <c r="N824" s="251"/>
    </row>
    <row r="825" spans="2:14" x14ac:dyDescent="0.25">
      <c r="B825" s="884"/>
      <c r="C825" s="885"/>
      <c r="D825" s="756" t="s">
        <v>783</v>
      </c>
      <c r="E825" s="753"/>
      <c r="F825" s="754">
        <v>1</v>
      </c>
      <c r="G825" s="749">
        <v>0.2</v>
      </c>
      <c r="H825" s="755">
        <v>0.2</v>
      </c>
      <c r="I825" s="730">
        <f>2.5+0.47</f>
        <v>2.9699999999999998</v>
      </c>
      <c r="J825" s="251"/>
      <c r="K825" s="250">
        <f t="shared" si="21"/>
        <v>2.3759999999999999</v>
      </c>
      <c r="L825" s="251"/>
      <c r="M825" s="251"/>
      <c r="N825" s="251"/>
    </row>
    <row r="826" spans="2:14" x14ac:dyDescent="0.25">
      <c r="B826" s="884"/>
      <c r="C826" s="885"/>
      <c r="D826" s="756" t="s">
        <v>783</v>
      </c>
      <c r="E826" s="753"/>
      <c r="F826" s="754">
        <v>1</v>
      </c>
      <c r="G826" s="749">
        <v>0.2</v>
      </c>
      <c r="H826" s="755">
        <v>0.2</v>
      </c>
      <c r="I826" s="730">
        <f>2.5+0.38</f>
        <v>2.88</v>
      </c>
      <c r="J826" s="251"/>
      <c r="K826" s="250">
        <f t="shared" si="21"/>
        <v>2.3039999999999998</v>
      </c>
      <c r="L826" s="251"/>
      <c r="M826" s="251"/>
      <c r="N826" s="251"/>
    </row>
    <row r="827" spans="2:14" x14ac:dyDescent="0.25">
      <c r="B827" s="884"/>
      <c r="C827" s="885"/>
      <c r="D827" s="756" t="s">
        <v>783</v>
      </c>
      <c r="E827" s="753"/>
      <c r="F827" s="754">
        <v>1</v>
      </c>
      <c r="G827" s="749">
        <v>0.2</v>
      </c>
      <c r="H827" s="755">
        <v>0.2</v>
      </c>
      <c r="I827" s="730">
        <f>2.5+0.3</f>
        <v>2.8</v>
      </c>
      <c r="J827" s="251"/>
      <c r="K827" s="250">
        <f t="shared" si="21"/>
        <v>2.2399999999999998</v>
      </c>
      <c r="L827" s="251"/>
      <c r="M827" s="251"/>
      <c r="N827" s="251"/>
    </row>
    <row r="828" spans="2:14" x14ac:dyDescent="0.25">
      <c r="B828" s="884"/>
      <c r="C828" s="885"/>
      <c r="D828" s="756" t="s">
        <v>783</v>
      </c>
      <c r="E828" s="753"/>
      <c r="F828" s="754">
        <v>1</v>
      </c>
      <c r="G828" s="749">
        <v>0.2</v>
      </c>
      <c r="H828" s="755">
        <v>0.2</v>
      </c>
      <c r="I828" s="730">
        <f>2.5+0.2</f>
        <v>2.7</v>
      </c>
      <c r="J828" s="251"/>
      <c r="K828" s="250">
        <f t="shared" si="21"/>
        <v>2.16</v>
      </c>
      <c r="L828" s="251"/>
      <c r="M828" s="251"/>
      <c r="N828" s="251"/>
    </row>
    <row r="829" spans="2:14" x14ac:dyDescent="0.25">
      <c r="B829" s="884"/>
      <c r="C829" s="885"/>
      <c r="D829" s="756" t="s">
        <v>783</v>
      </c>
      <c r="E829" s="753"/>
      <c r="F829" s="754">
        <v>1</v>
      </c>
      <c r="G829" s="749">
        <v>0.2</v>
      </c>
      <c r="H829" s="755">
        <v>0.2</v>
      </c>
      <c r="I829" s="730">
        <f>2.5+0.1</f>
        <v>2.6</v>
      </c>
      <c r="J829" s="251"/>
      <c r="K829" s="250">
        <f t="shared" si="21"/>
        <v>2.08</v>
      </c>
      <c r="L829" s="251"/>
      <c r="M829" s="251"/>
      <c r="N829" s="251"/>
    </row>
    <row r="830" spans="2:14" x14ac:dyDescent="0.25">
      <c r="B830" s="884"/>
      <c r="C830" s="885"/>
      <c r="D830" s="756" t="s">
        <v>783</v>
      </c>
      <c r="E830" s="753"/>
      <c r="F830" s="754">
        <v>1</v>
      </c>
      <c r="G830" s="749">
        <v>0.2</v>
      </c>
      <c r="H830" s="755">
        <v>0.2</v>
      </c>
      <c r="I830" s="730">
        <f>2.5+0.07</f>
        <v>2.57</v>
      </c>
      <c r="J830" s="251"/>
      <c r="K830" s="250">
        <f t="shared" si="21"/>
        <v>2.056</v>
      </c>
      <c r="L830" s="251"/>
      <c r="M830" s="251"/>
      <c r="N830" s="251"/>
    </row>
    <row r="831" spans="2:14" x14ac:dyDescent="0.25">
      <c r="B831" s="884"/>
      <c r="C831" s="885"/>
      <c r="D831" s="756" t="s">
        <v>783</v>
      </c>
      <c r="E831" s="875"/>
      <c r="F831" s="876">
        <v>2</v>
      </c>
      <c r="G831" s="881">
        <v>0.2</v>
      </c>
      <c r="H831" s="882">
        <v>0.2</v>
      </c>
      <c r="I831" s="730">
        <f>2.5+0.46</f>
        <v>2.96</v>
      </c>
      <c r="J831" s="251"/>
      <c r="K831" s="250">
        <f t="shared" si="21"/>
        <v>4.7359999999999998</v>
      </c>
      <c r="L831" s="251"/>
      <c r="M831" s="251"/>
      <c r="N831" s="251"/>
    </row>
    <row r="832" spans="2:14" x14ac:dyDescent="0.25">
      <c r="B832" s="884"/>
      <c r="C832" s="885"/>
      <c r="D832" s="756" t="s">
        <v>783</v>
      </c>
      <c r="E832" s="875"/>
      <c r="F832" s="876">
        <v>1</v>
      </c>
      <c r="G832" s="881">
        <v>0.2</v>
      </c>
      <c r="H832" s="882">
        <v>0.2</v>
      </c>
      <c r="I832" s="730">
        <f>2.5+0.47</f>
        <v>2.9699999999999998</v>
      </c>
      <c r="J832" s="251"/>
      <c r="K832" s="250">
        <f t="shared" si="21"/>
        <v>2.3759999999999999</v>
      </c>
      <c r="L832" s="251"/>
      <c r="M832" s="251"/>
      <c r="N832" s="251"/>
    </row>
    <row r="833" spans="2:14" x14ac:dyDescent="0.25">
      <c r="B833" s="884"/>
      <c r="C833" s="885"/>
      <c r="D833" s="756" t="s">
        <v>783</v>
      </c>
      <c r="E833" s="875"/>
      <c r="F833" s="876">
        <v>1</v>
      </c>
      <c r="G833" s="881">
        <v>0.2</v>
      </c>
      <c r="H833" s="882">
        <v>0.2</v>
      </c>
      <c r="I833" s="730">
        <f>2.5+0.48</f>
        <v>2.98</v>
      </c>
      <c r="J833" s="251"/>
      <c r="K833" s="250">
        <f t="shared" si="21"/>
        <v>2.3839999999999999</v>
      </c>
      <c r="L833" s="251"/>
      <c r="M833" s="251"/>
      <c r="N833" s="251"/>
    </row>
    <row r="834" spans="2:14" x14ac:dyDescent="0.25">
      <c r="B834" s="884"/>
      <c r="C834" s="885"/>
      <c r="D834" s="889" t="s">
        <v>783</v>
      </c>
      <c r="E834" s="753"/>
      <c r="F834" s="844">
        <v>2</v>
      </c>
      <c r="G834" s="881">
        <v>0.2</v>
      </c>
      <c r="H834" s="882">
        <v>0.2</v>
      </c>
      <c r="I834" s="730">
        <f>2.5+0.54</f>
        <v>3.04</v>
      </c>
      <c r="J834" s="251"/>
      <c r="K834" s="250">
        <f t="shared" si="21"/>
        <v>4.8640000000000008</v>
      </c>
      <c r="L834" s="251"/>
      <c r="M834" s="251"/>
      <c r="N834" s="251"/>
    </row>
    <row r="835" spans="2:14" x14ac:dyDescent="0.25">
      <c r="B835" s="884"/>
      <c r="C835" s="885"/>
      <c r="D835" s="889" t="s">
        <v>783</v>
      </c>
      <c r="E835" s="875"/>
      <c r="F835" s="876">
        <v>1</v>
      </c>
      <c r="G835" s="881">
        <v>0.2</v>
      </c>
      <c r="H835" s="882">
        <v>0.2</v>
      </c>
      <c r="I835" s="730">
        <f>2.5+0.67</f>
        <v>3.17</v>
      </c>
      <c r="J835" s="251"/>
      <c r="K835" s="250">
        <f t="shared" si="21"/>
        <v>2.536</v>
      </c>
      <c r="L835" s="251"/>
      <c r="M835" s="251"/>
      <c r="N835" s="251"/>
    </row>
    <row r="836" spans="2:14" x14ac:dyDescent="0.25">
      <c r="B836" s="884"/>
      <c r="C836" s="885"/>
      <c r="D836" s="756" t="s">
        <v>783</v>
      </c>
      <c r="E836" s="875"/>
      <c r="F836" s="876">
        <v>1</v>
      </c>
      <c r="G836" s="881">
        <v>0.2</v>
      </c>
      <c r="H836" s="882">
        <v>0.2</v>
      </c>
      <c r="I836" s="730">
        <f>2.5+0.76</f>
        <v>3.26</v>
      </c>
      <c r="J836" s="251"/>
      <c r="K836" s="250">
        <f t="shared" si="21"/>
        <v>2.6080000000000001</v>
      </c>
      <c r="L836" s="251"/>
      <c r="M836" s="251"/>
      <c r="N836" s="251"/>
    </row>
    <row r="837" spans="2:14" x14ac:dyDescent="0.25">
      <c r="B837" s="884"/>
      <c r="C837" s="885"/>
      <c r="D837" s="756" t="s">
        <v>783</v>
      </c>
      <c r="E837" s="875"/>
      <c r="F837" s="876">
        <v>1</v>
      </c>
      <c r="G837" s="881">
        <v>0.2</v>
      </c>
      <c r="H837" s="882">
        <v>0.2</v>
      </c>
      <c r="I837" s="730">
        <f>2.5+0.8</f>
        <v>3.3</v>
      </c>
      <c r="J837" s="251"/>
      <c r="K837" s="250">
        <f t="shared" si="21"/>
        <v>2.64</v>
      </c>
      <c r="L837" s="251"/>
      <c r="M837" s="251"/>
      <c r="N837" s="251"/>
    </row>
    <row r="838" spans="2:14" x14ac:dyDescent="0.25">
      <c r="B838" s="884"/>
      <c r="C838" s="885"/>
      <c r="D838" s="756" t="s">
        <v>783</v>
      </c>
      <c r="E838" s="875"/>
      <c r="F838" s="876">
        <v>1</v>
      </c>
      <c r="G838" s="881">
        <v>0.2</v>
      </c>
      <c r="H838" s="882">
        <v>0.2</v>
      </c>
      <c r="I838" s="730">
        <f>2.5+0.77</f>
        <v>3.27</v>
      </c>
      <c r="J838" s="251"/>
      <c r="K838" s="250">
        <f t="shared" si="21"/>
        <v>2.6160000000000001</v>
      </c>
      <c r="L838" s="251"/>
      <c r="M838" s="251"/>
      <c r="N838" s="251"/>
    </row>
    <row r="839" spans="2:14" x14ac:dyDescent="0.25">
      <c r="B839" s="884"/>
      <c r="C839" s="885"/>
      <c r="D839" s="756" t="s">
        <v>783</v>
      </c>
      <c r="E839" s="875"/>
      <c r="F839" s="876">
        <v>1</v>
      </c>
      <c r="G839" s="881">
        <v>0.2</v>
      </c>
      <c r="H839" s="882">
        <v>0.2</v>
      </c>
      <c r="I839" s="730">
        <f>2.5+0.74</f>
        <v>3.24</v>
      </c>
      <c r="J839" s="251"/>
      <c r="K839" s="250">
        <f t="shared" si="21"/>
        <v>2.5920000000000005</v>
      </c>
      <c r="L839" s="251"/>
      <c r="M839" s="251"/>
      <c r="N839" s="251"/>
    </row>
    <row r="840" spans="2:14" x14ac:dyDescent="0.25">
      <c r="B840" s="884"/>
      <c r="C840" s="885"/>
      <c r="D840" s="756" t="s">
        <v>783</v>
      </c>
      <c r="E840" s="875"/>
      <c r="F840" s="876">
        <v>1</v>
      </c>
      <c r="G840" s="881">
        <v>0.2</v>
      </c>
      <c r="H840" s="882">
        <v>0.2</v>
      </c>
      <c r="I840" s="730">
        <f>2.5+0.69</f>
        <v>3.19</v>
      </c>
      <c r="J840" s="251"/>
      <c r="K840" s="250">
        <f t="shared" si="21"/>
        <v>2.552</v>
      </c>
      <c r="L840" s="251"/>
      <c r="M840" s="251"/>
      <c r="N840" s="251"/>
    </row>
    <row r="841" spans="2:14" x14ac:dyDescent="0.25">
      <c r="B841" s="884"/>
      <c r="C841" s="885"/>
      <c r="D841" s="756" t="s">
        <v>783</v>
      </c>
      <c r="E841" s="875"/>
      <c r="F841" s="876">
        <v>2</v>
      </c>
      <c r="G841" s="881">
        <v>0.2</v>
      </c>
      <c r="H841" s="882">
        <v>0.2</v>
      </c>
      <c r="I841" s="730">
        <f>2.5+0.53</f>
        <v>3.0300000000000002</v>
      </c>
      <c r="J841" s="251"/>
      <c r="K841" s="250">
        <f t="shared" si="21"/>
        <v>4.8480000000000008</v>
      </c>
      <c r="L841" s="251"/>
      <c r="M841" s="251"/>
      <c r="N841" s="251"/>
    </row>
    <row r="842" spans="2:14" x14ac:dyDescent="0.25">
      <c r="B842" s="884"/>
      <c r="C842" s="885"/>
      <c r="D842" s="756" t="s">
        <v>783</v>
      </c>
      <c r="E842" s="875"/>
      <c r="F842" s="876">
        <v>1</v>
      </c>
      <c r="G842" s="881">
        <v>0.2</v>
      </c>
      <c r="H842" s="882">
        <v>0.2</v>
      </c>
      <c r="I842" s="730">
        <f>2.5+0.57</f>
        <v>3.07</v>
      </c>
      <c r="J842" s="251"/>
      <c r="K842" s="250">
        <f t="shared" si="21"/>
        <v>2.456</v>
      </c>
      <c r="L842" s="251"/>
      <c r="M842" s="251"/>
      <c r="N842" s="251"/>
    </row>
    <row r="843" spans="2:14" x14ac:dyDescent="0.25">
      <c r="B843" s="884"/>
      <c r="C843" s="885"/>
      <c r="D843" s="889" t="s">
        <v>783</v>
      </c>
      <c r="E843" s="753"/>
      <c r="F843" s="844">
        <v>1</v>
      </c>
      <c r="G843" s="881">
        <v>0.2</v>
      </c>
      <c r="H843" s="882">
        <v>0.2</v>
      </c>
      <c r="I843" s="730">
        <f>2.5+0.55</f>
        <v>3.05</v>
      </c>
      <c r="J843" s="251"/>
      <c r="K843" s="250">
        <f t="shared" si="21"/>
        <v>2.44</v>
      </c>
      <c r="L843" s="251"/>
      <c r="M843" s="251"/>
      <c r="N843" s="251"/>
    </row>
    <row r="844" spans="2:14" x14ac:dyDescent="0.25">
      <c r="B844" s="884"/>
      <c r="C844" s="885"/>
      <c r="D844" s="889" t="s">
        <v>783</v>
      </c>
      <c r="E844" s="875"/>
      <c r="F844" s="876">
        <v>2</v>
      </c>
      <c r="G844" s="881">
        <v>0.2</v>
      </c>
      <c r="H844" s="882">
        <v>0.2</v>
      </c>
      <c r="I844" s="730">
        <f>2.5+0.6</f>
        <v>3.1</v>
      </c>
      <c r="J844" s="251"/>
      <c r="K844" s="250">
        <f t="shared" si="21"/>
        <v>4.9600000000000009</v>
      </c>
      <c r="L844" s="251"/>
      <c r="M844" s="251"/>
      <c r="N844" s="251"/>
    </row>
    <row r="845" spans="2:14" x14ac:dyDescent="0.25">
      <c r="B845" s="884"/>
      <c r="C845" s="885"/>
      <c r="D845" s="756" t="s">
        <v>783</v>
      </c>
      <c r="E845" s="875"/>
      <c r="F845" s="876">
        <v>1</v>
      </c>
      <c r="G845" s="881">
        <v>0.2</v>
      </c>
      <c r="H845" s="882">
        <v>0.2</v>
      </c>
      <c r="I845" s="730">
        <f>2.5+0.64</f>
        <v>3.14</v>
      </c>
      <c r="J845" s="251"/>
      <c r="K845" s="250">
        <f t="shared" si="21"/>
        <v>2.5120000000000005</v>
      </c>
      <c r="L845" s="251"/>
      <c r="M845" s="251"/>
      <c r="N845" s="251"/>
    </row>
    <row r="846" spans="2:14" x14ac:dyDescent="0.25">
      <c r="B846" s="884"/>
      <c r="C846" s="885"/>
      <c r="D846" s="756" t="s">
        <v>783</v>
      </c>
      <c r="E846" s="875"/>
      <c r="F846" s="876">
        <v>1</v>
      </c>
      <c r="G846" s="881">
        <v>0.2</v>
      </c>
      <c r="H846" s="882">
        <v>0.2</v>
      </c>
      <c r="I846" s="730">
        <f>2.5+0.63</f>
        <v>3.13</v>
      </c>
      <c r="J846" s="251"/>
      <c r="K846" s="250">
        <f t="shared" si="21"/>
        <v>2.504</v>
      </c>
      <c r="L846" s="251"/>
      <c r="M846" s="251"/>
      <c r="N846" s="251"/>
    </row>
    <row r="847" spans="2:14" x14ac:dyDescent="0.25">
      <c r="B847" s="884"/>
      <c r="C847" s="885"/>
      <c r="D847" s="756" t="s">
        <v>783</v>
      </c>
      <c r="E847" s="875"/>
      <c r="F847" s="876">
        <v>1</v>
      </c>
      <c r="G847" s="881">
        <v>0.2</v>
      </c>
      <c r="H847" s="882">
        <v>0.2</v>
      </c>
      <c r="I847" s="730">
        <f>2.5+0.66</f>
        <v>3.16</v>
      </c>
      <c r="J847" s="251"/>
      <c r="K847" s="250">
        <f t="shared" si="21"/>
        <v>2.5280000000000005</v>
      </c>
      <c r="L847" s="251"/>
      <c r="M847" s="251"/>
      <c r="N847" s="251"/>
    </row>
    <row r="848" spans="2:14" x14ac:dyDescent="0.25">
      <c r="B848" s="884"/>
      <c r="C848" s="885"/>
      <c r="D848" s="756" t="s">
        <v>783</v>
      </c>
      <c r="E848" s="875"/>
      <c r="F848" s="876">
        <v>2</v>
      </c>
      <c r="G848" s="881">
        <v>0.2</v>
      </c>
      <c r="H848" s="882">
        <v>0.2</v>
      </c>
      <c r="I848" s="730">
        <f>2.5+0.64</f>
        <v>3.14</v>
      </c>
      <c r="J848" s="251"/>
      <c r="K848" s="250">
        <f t="shared" si="21"/>
        <v>5.0240000000000009</v>
      </c>
      <c r="L848" s="251"/>
      <c r="M848" s="251"/>
      <c r="N848" s="251"/>
    </row>
    <row r="849" spans="2:14" x14ac:dyDescent="0.25">
      <c r="B849" s="884"/>
      <c r="C849" s="885"/>
      <c r="D849" s="756" t="s">
        <v>783</v>
      </c>
      <c r="E849" s="875"/>
      <c r="F849" s="876">
        <v>1</v>
      </c>
      <c r="G849" s="881">
        <v>0.2</v>
      </c>
      <c r="H849" s="882">
        <v>0.2</v>
      </c>
      <c r="I849" s="730">
        <f>2.5+0.58</f>
        <v>3.08</v>
      </c>
      <c r="J849" s="251"/>
      <c r="K849" s="250">
        <f t="shared" si="21"/>
        <v>2.4640000000000004</v>
      </c>
      <c r="L849" s="251"/>
      <c r="M849" s="251"/>
      <c r="N849" s="251"/>
    </row>
    <row r="850" spans="2:14" x14ac:dyDescent="0.25">
      <c r="B850" s="884"/>
      <c r="C850" s="885"/>
      <c r="D850" s="756" t="s">
        <v>783</v>
      </c>
      <c r="E850" s="875"/>
      <c r="F850" s="876">
        <v>1</v>
      </c>
      <c r="G850" s="881">
        <v>0.2</v>
      </c>
      <c r="H850" s="882">
        <v>0.2</v>
      </c>
      <c r="I850" s="730">
        <f>2.5+0.58</f>
        <v>3.08</v>
      </c>
      <c r="J850" s="251"/>
      <c r="K850" s="250">
        <f t="shared" si="21"/>
        <v>2.4640000000000004</v>
      </c>
      <c r="L850" s="251"/>
      <c r="M850" s="251"/>
      <c r="N850" s="251"/>
    </row>
    <row r="851" spans="2:14" x14ac:dyDescent="0.25">
      <c r="B851" s="884"/>
      <c r="C851" s="885"/>
      <c r="D851" s="756" t="s">
        <v>783</v>
      </c>
      <c r="E851" s="875"/>
      <c r="F851" s="876">
        <v>2</v>
      </c>
      <c r="G851" s="881">
        <v>0.2</v>
      </c>
      <c r="H851" s="882">
        <v>0.2</v>
      </c>
      <c r="I851" s="730">
        <f>2.5+0.57</f>
        <v>3.07</v>
      </c>
      <c r="J851" s="251"/>
      <c r="K851" s="250">
        <f t="shared" si="21"/>
        <v>4.9119999999999999</v>
      </c>
      <c r="L851" s="251"/>
      <c r="M851" s="251"/>
      <c r="N851" s="251"/>
    </row>
    <row r="852" spans="2:14" x14ac:dyDescent="0.25">
      <c r="B852" s="884"/>
      <c r="C852" s="885"/>
      <c r="D852" s="756" t="s">
        <v>783</v>
      </c>
      <c r="E852" s="875"/>
      <c r="F852" s="876">
        <v>1</v>
      </c>
      <c r="G852" s="881">
        <v>0.2</v>
      </c>
      <c r="H852" s="882">
        <v>0.2</v>
      </c>
      <c r="I852" s="730">
        <f>2.5+0.6</f>
        <v>3.1</v>
      </c>
      <c r="J852" s="251"/>
      <c r="K852" s="250">
        <f t="shared" si="21"/>
        <v>2.4800000000000004</v>
      </c>
      <c r="L852" s="251"/>
      <c r="M852" s="251"/>
      <c r="N852" s="251"/>
    </row>
    <row r="853" spans="2:14" x14ac:dyDescent="0.25">
      <c r="B853" s="857"/>
      <c r="C853" s="890"/>
      <c r="D853" s="756" t="s">
        <v>783</v>
      </c>
      <c r="E853" s="875"/>
      <c r="F853" s="876">
        <v>1</v>
      </c>
      <c r="G853" s="881">
        <v>0.2</v>
      </c>
      <c r="H853" s="882">
        <v>0.2</v>
      </c>
      <c r="I853" s="730">
        <f>2.5+0.44</f>
        <v>2.94</v>
      </c>
      <c r="J853" s="251"/>
      <c r="K853" s="250">
        <f t="shared" si="21"/>
        <v>2.3519999999999999</v>
      </c>
      <c r="L853" s="251"/>
      <c r="M853" s="251"/>
      <c r="N853" s="251"/>
    </row>
    <row r="854" spans="2:14" x14ac:dyDescent="0.25">
      <c r="B854" s="884"/>
      <c r="C854" s="885"/>
      <c r="D854" s="756"/>
      <c r="E854" s="875"/>
      <c r="F854" s="876"/>
      <c r="G854" s="881"/>
      <c r="H854" s="882"/>
      <c r="I854" s="730"/>
      <c r="J854" s="251"/>
      <c r="K854" s="250"/>
      <c r="L854" s="251"/>
      <c r="M854" s="251"/>
      <c r="N854" s="251"/>
    </row>
    <row r="855" spans="2:14" ht="22.5" hidden="1" x14ac:dyDescent="0.25">
      <c r="B855" s="890" t="s">
        <v>492</v>
      </c>
      <c r="C855" s="890"/>
      <c r="D855" s="896" t="s">
        <v>89</v>
      </c>
      <c r="E855" s="753"/>
      <c r="F855" s="844"/>
      <c r="G855" s="897"/>
      <c r="H855" s="898"/>
      <c r="I855" s="899"/>
      <c r="J855" s="251"/>
      <c r="K855" s="726"/>
      <c r="L855" s="251"/>
      <c r="M855" s="251"/>
      <c r="N855" s="251"/>
    </row>
    <row r="856" spans="2:14" hidden="1" x14ac:dyDescent="0.25">
      <c r="B856" s="890"/>
      <c r="C856" s="890"/>
      <c r="D856" s="900"/>
      <c r="E856" s="901" t="s">
        <v>17</v>
      </c>
      <c r="F856" s="902">
        <v>1</v>
      </c>
      <c r="G856" s="903">
        <v>63.6</v>
      </c>
      <c r="H856" s="904">
        <v>0.5</v>
      </c>
      <c r="I856" s="905"/>
      <c r="J856" s="251"/>
      <c r="K856" s="250">
        <f>TRUNC(F856*G856*H856,2)</f>
        <v>31.8</v>
      </c>
      <c r="L856" s="251"/>
      <c r="M856" s="251"/>
      <c r="N856" s="251"/>
    </row>
    <row r="857" spans="2:14" ht="45" hidden="1" x14ac:dyDescent="0.25">
      <c r="B857" s="906" t="s">
        <v>493</v>
      </c>
      <c r="C857" s="854">
        <v>103356</v>
      </c>
      <c r="D857" s="765" t="s">
        <v>137</v>
      </c>
      <c r="E857" s="753" t="s">
        <v>17</v>
      </c>
      <c r="F857" s="902"/>
      <c r="G857" s="859"/>
      <c r="H857" s="860"/>
      <c r="I857" s="861"/>
      <c r="J857" s="251"/>
      <c r="K857" s="907">
        <f>SUM(K858:K858)</f>
        <v>177.38200000000001</v>
      </c>
      <c r="L857" s="251"/>
      <c r="M857" s="251"/>
      <c r="N857" s="251"/>
    </row>
    <row r="858" spans="2:14" hidden="1" x14ac:dyDescent="0.25">
      <c r="B858" s="906"/>
      <c r="C858" s="854"/>
      <c r="D858" s="908" t="s">
        <v>932</v>
      </c>
      <c r="E858" s="753"/>
      <c r="F858" s="902">
        <v>1</v>
      </c>
      <c r="G858" s="845"/>
      <c r="H858" s="755">
        <v>57.22</v>
      </c>
      <c r="I858" s="730">
        <v>3.1</v>
      </c>
      <c r="J858" s="251"/>
      <c r="K858" s="907">
        <f>H858*I858*F858</f>
        <v>177.38200000000001</v>
      </c>
      <c r="L858" s="251"/>
      <c r="M858" s="251"/>
      <c r="N858" s="251"/>
    </row>
    <row r="859" spans="2:14" ht="45" x14ac:dyDescent="0.25">
      <c r="B859" s="852" t="s">
        <v>494</v>
      </c>
      <c r="C859" s="854">
        <v>87893</v>
      </c>
      <c r="D859" s="765" t="s">
        <v>151</v>
      </c>
      <c r="E859" s="753" t="s">
        <v>17</v>
      </c>
      <c r="F859" s="909"/>
      <c r="G859" s="846" t="s">
        <v>1200</v>
      </c>
      <c r="H859" s="847"/>
      <c r="I859" s="848"/>
      <c r="J859" s="251">
        <f>'BOLETIM DE MEDIÇÃO 10'!R189-'MEMORIAL DE CÁLCULO 10'!K859</f>
        <v>811.26975000000016</v>
      </c>
      <c r="K859" s="907">
        <v>71.86</v>
      </c>
      <c r="L859" s="251">
        <f>J859+K859</f>
        <v>883.12975000000017</v>
      </c>
      <c r="M859" s="251">
        <f>'BOLETIM DE MEDIÇÃO 10'!G189</f>
        <v>883.13</v>
      </c>
      <c r="N859" s="251">
        <f>M859-L859</f>
        <v>2.4999999982355803E-4</v>
      </c>
    </row>
    <row r="860" spans="2:14" x14ac:dyDescent="0.25">
      <c r="B860" s="852"/>
      <c r="C860" s="854"/>
      <c r="D860" s="866" t="s">
        <v>1201</v>
      </c>
      <c r="E860" s="753"/>
      <c r="F860" s="844">
        <v>1</v>
      </c>
      <c r="G860" s="897">
        <v>811.27</v>
      </c>
      <c r="H860" s="898"/>
      <c r="I860" s="899"/>
      <c r="J860" s="251"/>
      <c r="K860" s="910">
        <f>F860*G860</f>
        <v>811.27</v>
      </c>
      <c r="L860" s="251"/>
      <c r="M860" s="251"/>
      <c r="N860" s="251"/>
    </row>
    <row r="861" spans="2:14" ht="23.25" x14ac:dyDescent="0.25">
      <c r="B861" s="852"/>
      <c r="C861" s="854"/>
      <c r="D861" s="776" t="s">
        <v>1202</v>
      </c>
      <c r="E861" s="777"/>
      <c r="F861" s="778"/>
      <c r="G861" s="779" t="s">
        <v>833</v>
      </c>
      <c r="H861" s="780" t="s">
        <v>834</v>
      </c>
      <c r="I861" s="781" t="s">
        <v>835</v>
      </c>
      <c r="J861" s="251"/>
      <c r="K861" s="907"/>
      <c r="L861" s="251"/>
      <c r="M861" s="251"/>
      <c r="N861" s="251"/>
    </row>
    <row r="862" spans="2:14" ht="22.5" x14ac:dyDescent="0.25">
      <c r="B862" s="852"/>
      <c r="C862" s="854"/>
      <c r="D862" s="782" t="s">
        <v>879</v>
      </c>
      <c r="E862" s="777"/>
      <c r="F862" s="783">
        <v>2</v>
      </c>
      <c r="G862" s="784">
        <v>12.5</v>
      </c>
      <c r="H862" s="729">
        <f>0.1+0.18</f>
        <v>0.28000000000000003</v>
      </c>
      <c r="I862" s="783">
        <f>0.36+0.18</f>
        <v>0.54</v>
      </c>
      <c r="J862" s="251"/>
      <c r="K862" s="910">
        <f>((H862+I862)/2)*G862</f>
        <v>5.125</v>
      </c>
      <c r="L862" s="251"/>
      <c r="M862" s="251"/>
      <c r="N862" s="251"/>
    </row>
    <row r="863" spans="2:14" ht="22.5" x14ac:dyDescent="0.25">
      <c r="B863" s="852"/>
      <c r="C863" s="854"/>
      <c r="D863" s="782" t="s">
        <v>876</v>
      </c>
      <c r="E863" s="777"/>
      <c r="F863" s="783">
        <v>2</v>
      </c>
      <c r="G863" s="784">
        <v>11.67</v>
      </c>
      <c r="H863" s="729">
        <f>0.36+0.18</f>
        <v>0.54</v>
      </c>
      <c r="I863" s="783">
        <f>0.53+0.18</f>
        <v>0.71</v>
      </c>
      <c r="J863" s="251"/>
      <c r="K863" s="910">
        <f>((H863+I863)/2)*G863</f>
        <v>7.2937500000000002</v>
      </c>
      <c r="L863" s="251"/>
      <c r="M863" s="251"/>
      <c r="N863" s="251"/>
    </row>
    <row r="864" spans="2:14" ht="33.75" x14ac:dyDescent="0.25">
      <c r="B864" s="852"/>
      <c r="C864" s="854"/>
      <c r="D864" s="782" t="s">
        <v>880</v>
      </c>
      <c r="E864" s="777"/>
      <c r="F864" s="783">
        <v>2</v>
      </c>
      <c r="G864" s="784">
        <v>27.1</v>
      </c>
      <c r="H864" s="729">
        <f>0.53+0.18</f>
        <v>0.71</v>
      </c>
      <c r="I864" s="783">
        <f>0.74+0.18</f>
        <v>0.91999999999999993</v>
      </c>
      <c r="J864" s="251"/>
      <c r="K864" s="910">
        <f>((H864+I864)/2)*G864</f>
        <v>22.086500000000001</v>
      </c>
      <c r="L864" s="251"/>
      <c r="M864" s="251"/>
      <c r="N864" s="251"/>
    </row>
    <row r="865" spans="2:14" ht="33.75" x14ac:dyDescent="0.25">
      <c r="B865" s="852"/>
      <c r="C865" s="854"/>
      <c r="D865" s="782" t="s">
        <v>881</v>
      </c>
      <c r="E865" s="777"/>
      <c r="F865" s="783">
        <v>2</v>
      </c>
      <c r="G865" s="784">
        <v>33.9</v>
      </c>
      <c r="H865" s="729">
        <f>0.74+0.18</f>
        <v>0.91999999999999993</v>
      </c>
      <c r="I865" s="783">
        <f>0.61+0.18</f>
        <v>0.79</v>
      </c>
      <c r="J865" s="251"/>
      <c r="K865" s="910">
        <f>((H865+I865)/2)*G865</f>
        <v>28.984499999999997</v>
      </c>
      <c r="L865" s="251"/>
      <c r="M865" s="251"/>
      <c r="N865" s="251"/>
    </row>
    <row r="866" spans="2:14" ht="22.5" x14ac:dyDescent="0.25">
      <c r="B866" s="852"/>
      <c r="C866" s="854"/>
      <c r="D866" s="782" t="s">
        <v>882</v>
      </c>
      <c r="E866" s="777"/>
      <c r="F866" s="783">
        <v>2</v>
      </c>
      <c r="G866" s="784">
        <v>12.4</v>
      </c>
      <c r="H866" s="729">
        <f>0.61+0.18</f>
        <v>0.79</v>
      </c>
      <c r="I866" s="783">
        <f>0.38+0.18</f>
        <v>0.56000000000000005</v>
      </c>
      <c r="J866" s="251"/>
      <c r="K866" s="910">
        <f>((H866+I866)/2)*G866</f>
        <v>8.370000000000001</v>
      </c>
      <c r="L866" s="251"/>
      <c r="M866" s="251"/>
      <c r="N866" s="251"/>
    </row>
    <row r="867" spans="2:14" x14ac:dyDescent="0.25">
      <c r="B867" s="852"/>
      <c r="C867" s="854"/>
      <c r="D867" s="908"/>
      <c r="E867" s="753"/>
      <c r="F867" s="909"/>
      <c r="G867" s="845"/>
      <c r="H867" s="755"/>
      <c r="I867" s="730"/>
      <c r="J867" s="251"/>
      <c r="K867" s="907"/>
      <c r="L867" s="251"/>
      <c r="M867" s="251"/>
      <c r="N867" s="251"/>
    </row>
    <row r="868" spans="2:14" ht="56.25" x14ac:dyDescent="0.25">
      <c r="B868" s="852" t="s">
        <v>495</v>
      </c>
      <c r="C868" s="854">
        <v>87548</v>
      </c>
      <c r="D868" s="765" t="s">
        <v>154</v>
      </c>
      <c r="E868" s="753" t="s">
        <v>17</v>
      </c>
      <c r="F868" s="909"/>
      <c r="G868" s="846" t="s">
        <v>1203</v>
      </c>
      <c r="H868" s="847"/>
      <c r="I868" s="848"/>
      <c r="J868" s="251">
        <f>'BOLETIM DE MEDIÇÃO 10'!R190-'MEMORIAL DE CÁLCULO 10'!K868</f>
        <v>811.26975000000016</v>
      </c>
      <c r="K868" s="907">
        <v>71.86</v>
      </c>
      <c r="L868" s="251">
        <f>J868+K868</f>
        <v>883.12975000000017</v>
      </c>
      <c r="M868" s="251">
        <f>'BOLETIM DE MEDIÇÃO 10'!G190</f>
        <v>883.13</v>
      </c>
      <c r="N868" s="251">
        <f>M868-L868</f>
        <v>2.4999999982355803E-4</v>
      </c>
    </row>
    <row r="869" spans="2:14" x14ac:dyDescent="0.25">
      <c r="B869" s="852"/>
      <c r="C869" s="854"/>
      <c r="D869" s="866" t="s">
        <v>1204</v>
      </c>
      <c r="E869" s="753"/>
      <c r="F869" s="844">
        <v>1</v>
      </c>
      <c r="G869" s="897">
        <v>811.27</v>
      </c>
      <c r="H869" s="898"/>
      <c r="I869" s="899"/>
      <c r="J869" s="251"/>
      <c r="K869" s="910">
        <f>F869*G869</f>
        <v>811.27</v>
      </c>
      <c r="L869" s="251"/>
      <c r="M869" s="251"/>
      <c r="N869" s="251"/>
    </row>
    <row r="870" spans="2:14" ht="23.25" x14ac:dyDescent="0.25">
      <c r="B870" s="852"/>
      <c r="C870" s="854"/>
      <c r="D870" s="776" t="s">
        <v>1202</v>
      </c>
      <c r="E870" s="777"/>
      <c r="F870" s="778"/>
      <c r="G870" s="779" t="s">
        <v>833</v>
      </c>
      <c r="H870" s="780" t="s">
        <v>834</v>
      </c>
      <c r="I870" s="781" t="s">
        <v>835</v>
      </c>
      <c r="J870" s="251"/>
      <c r="K870" s="907"/>
      <c r="L870" s="251"/>
      <c r="M870" s="251"/>
      <c r="N870" s="251"/>
    </row>
    <row r="871" spans="2:14" ht="22.5" x14ac:dyDescent="0.25">
      <c r="B871" s="852"/>
      <c r="C871" s="854"/>
      <c r="D871" s="782" t="s">
        <v>879</v>
      </c>
      <c r="E871" s="777"/>
      <c r="F871" s="783">
        <v>2</v>
      </c>
      <c r="G871" s="784">
        <v>12.5</v>
      </c>
      <c r="H871" s="729">
        <f>0.1+0.18</f>
        <v>0.28000000000000003</v>
      </c>
      <c r="I871" s="783">
        <f>0.36+0.18</f>
        <v>0.54</v>
      </c>
      <c r="J871" s="251"/>
      <c r="K871" s="910">
        <f>((H871+I871)/2)*G871</f>
        <v>5.125</v>
      </c>
      <c r="L871" s="251"/>
      <c r="M871" s="251"/>
      <c r="N871" s="251"/>
    </row>
    <row r="872" spans="2:14" ht="22.5" x14ac:dyDescent="0.25">
      <c r="B872" s="852"/>
      <c r="C872" s="854"/>
      <c r="D872" s="782" t="s">
        <v>876</v>
      </c>
      <c r="E872" s="777"/>
      <c r="F872" s="783">
        <v>2</v>
      </c>
      <c r="G872" s="784">
        <v>11.67</v>
      </c>
      <c r="H872" s="729">
        <f>0.36+0.18</f>
        <v>0.54</v>
      </c>
      <c r="I872" s="783">
        <f>0.53+0.18</f>
        <v>0.71</v>
      </c>
      <c r="J872" s="251"/>
      <c r="K872" s="910">
        <f>((H872+I872)/2)*G872</f>
        <v>7.2937500000000002</v>
      </c>
      <c r="L872" s="251"/>
      <c r="M872" s="251"/>
      <c r="N872" s="251"/>
    </row>
    <row r="873" spans="2:14" ht="33.75" x14ac:dyDescent="0.25">
      <c r="B873" s="852"/>
      <c r="C873" s="854"/>
      <c r="D873" s="782" t="s">
        <v>880</v>
      </c>
      <c r="E873" s="777"/>
      <c r="F873" s="783">
        <v>2</v>
      </c>
      <c r="G873" s="784">
        <v>27.1</v>
      </c>
      <c r="H873" s="729">
        <f>0.53+0.18</f>
        <v>0.71</v>
      </c>
      <c r="I873" s="783">
        <f>0.74+0.18</f>
        <v>0.91999999999999993</v>
      </c>
      <c r="J873" s="251"/>
      <c r="K873" s="910">
        <f>((H873+I873)/2)*G873</f>
        <v>22.086500000000001</v>
      </c>
      <c r="L873" s="251"/>
      <c r="M873" s="251"/>
      <c r="N873" s="251"/>
    </row>
    <row r="874" spans="2:14" ht="33.75" x14ac:dyDescent="0.25">
      <c r="B874" s="852"/>
      <c r="C874" s="854"/>
      <c r="D874" s="782" t="s">
        <v>881</v>
      </c>
      <c r="E874" s="777"/>
      <c r="F874" s="783">
        <v>2</v>
      </c>
      <c r="G874" s="784">
        <v>33.9</v>
      </c>
      <c r="H874" s="729">
        <f>0.74+0.18</f>
        <v>0.91999999999999993</v>
      </c>
      <c r="I874" s="783">
        <f>0.61+0.18</f>
        <v>0.79</v>
      </c>
      <c r="J874" s="251"/>
      <c r="K874" s="910">
        <f>((H874+I874)/2)*G874</f>
        <v>28.984499999999997</v>
      </c>
      <c r="L874" s="251"/>
      <c r="M874" s="251"/>
      <c r="N874" s="251"/>
    </row>
    <row r="875" spans="2:14" ht="22.5" x14ac:dyDescent="0.25">
      <c r="B875" s="852"/>
      <c r="C875" s="854"/>
      <c r="D875" s="782" t="s">
        <v>882</v>
      </c>
      <c r="E875" s="777"/>
      <c r="F875" s="783">
        <v>2</v>
      </c>
      <c r="G875" s="784">
        <v>12.4</v>
      </c>
      <c r="H875" s="729">
        <f>0.61+0.18</f>
        <v>0.79</v>
      </c>
      <c r="I875" s="783">
        <f>0.38+0.18</f>
        <v>0.56000000000000005</v>
      </c>
      <c r="J875" s="251"/>
      <c r="K875" s="910">
        <f>((H875+I875)/2)*G875</f>
        <v>8.370000000000001</v>
      </c>
      <c r="L875" s="251"/>
      <c r="M875" s="251"/>
      <c r="N875" s="251"/>
    </row>
    <row r="876" spans="2:14" x14ac:dyDescent="0.25">
      <c r="B876" s="852"/>
      <c r="C876" s="854"/>
      <c r="D876" s="765"/>
      <c r="E876" s="753"/>
      <c r="F876" s="909"/>
      <c r="G876" s="845"/>
      <c r="H876" s="755"/>
      <c r="I876" s="730"/>
      <c r="J876" s="251"/>
      <c r="K876" s="911"/>
      <c r="L876" s="251"/>
      <c r="M876" s="251"/>
      <c r="N876" s="251"/>
    </row>
    <row r="877" spans="2:14" ht="22.5" hidden="1" x14ac:dyDescent="0.25">
      <c r="B877" s="852" t="s">
        <v>496</v>
      </c>
      <c r="C877" s="854">
        <v>88489</v>
      </c>
      <c r="D877" s="765" t="s">
        <v>198</v>
      </c>
      <c r="E877" s="753" t="s">
        <v>17</v>
      </c>
      <c r="F877" s="909"/>
      <c r="G877" s="846" t="s">
        <v>1205</v>
      </c>
      <c r="H877" s="847"/>
      <c r="I877" s="848"/>
      <c r="J877" s="251"/>
      <c r="K877" s="907">
        <f>SUM(K878:K884)</f>
        <v>883.12975000000006</v>
      </c>
      <c r="L877" s="251"/>
      <c r="M877" s="251"/>
      <c r="N877" s="251"/>
    </row>
    <row r="878" spans="2:14" hidden="1" x14ac:dyDescent="0.25">
      <c r="B878" s="852"/>
      <c r="C878" s="854"/>
      <c r="D878" s="866" t="s">
        <v>1206</v>
      </c>
      <c r="E878" s="753"/>
      <c r="F878" s="844">
        <v>1</v>
      </c>
      <c r="G878" s="897">
        <v>811.27</v>
      </c>
      <c r="H878" s="898"/>
      <c r="I878" s="899"/>
      <c r="J878" s="251"/>
      <c r="K878" s="910">
        <f>F878*G878</f>
        <v>811.27</v>
      </c>
      <c r="L878" s="251"/>
      <c r="M878" s="251"/>
      <c r="N878" s="251"/>
    </row>
    <row r="879" spans="2:14" ht="23.25" hidden="1" x14ac:dyDescent="0.25">
      <c r="B879" s="852"/>
      <c r="C879" s="854"/>
      <c r="D879" s="776" t="s">
        <v>1202</v>
      </c>
      <c r="E879" s="777"/>
      <c r="F879" s="778"/>
      <c r="G879" s="779" t="s">
        <v>833</v>
      </c>
      <c r="H879" s="780" t="s">
        <v>834</v>
      </c>
      <c r="I879" s="781" t="s">
        <v>835</v>
      </c>
      <c r="J879" s="251"/>
      <c r="K879" s="907"/>
      <c r="L879" s="251"/>
      <c r="M879" s="251"/>
      <c r="N879" s="251"/>
    </row>
    <row r="880" spans="2:14" ht="22.5" hidden="1" x14ac:dyDescent="0.25">
      <c r="B880" s="852"/>
      <c r="C880" s="854"/>
      <c r="D880" s="782" t="s">
        <v>879</v>
      </c>
      <c r="E880" s="777"/>
      <c r="F880" s="783">
        <v>2</v>
      </c>
      <c r="G880" s="784">
        <v>12.5</v>
      </c>
      <c r="H880" s="729">
        <f>0.1+0.18</f>
        <v>0.28000000000000003</v>
      </c>
      <c r="I880" s="783">
        <f>0.36+0.18</f>
        <v>0.54</v>
      </c>
      <c r="J880" s="251"/>
      <c r="K880" s="910">
        <f>((H880+I880)/2)*G880</f>
        <v>5.125</v>
      </c>
      <c r="L880" s="251"/>
      <c r="M880" s="251"/>
      <c r="N880" s="251"/>
    </row>
    <row r="881" spans="2:14" ht="22.5" hidden="1" x14ac:dyDescent="0.25">
      <c r="B881" s="852"/>
      <c r="C881" s="854"/>
      <c r="D881" s="782" t="s">
        <v>876</v>
      </c>
      <c r="E881" s="777"/>
      <c r="F881" s="783">
        <v>2</v>
      </c>
      <c r="G881" s="784">
        <v>11.67</v>
      </c>
      <c r="H881" s="729">
        <f>0.36+0.18</f>
        <v>0.54</v>
      </c>
      <c r="I881" s="783">
        <f>0.53+0.18</f>
        <v>0.71</v>
      </c>
      <c r="J881" s="251"/>
      <c r="K881" s="910">
        <f>((H881+I881)/2)*G881</f>
        <v>7.2937500000000002</v>
      </c>
      <c r="L881" s="251"/>
      <c r="M881" s="251"/>
      <c r="N881" s="251"/>
    </row>
    <row r="882" spans="2:14" ht="33.75" hidden="1" x14ac:dyDescent="0.25">
      <c r="B882" s="852"/>
      <c r="C882" s="854"/>
      <c r="D882" s="782" t="s">
        <v>880</v>
      </c>
      <c r="E882" s="777"/>
      <c r="F882" s="783">
        <v>2</v>
      </c>
      <c r="G882" s="784">
        <v>27.1</v>
      </c>
      <c r="H882" s="729">
        <f>0.53+0.18</f>
        <v>0.71</v>
      </c>
      <c r="I882" s="783">
        <f>0.74+0.18</f>
        <v>0.91999999999999993</v>
      </c>
      <c r="J882" s="251"/>
      <c r="K882" s="910">
        <f>((H882+I882)/2)*G882</f>
        <v>22.086500000000001</v>
      </c>
      <c r="L882" s="251"/>
      <c r="M882" s="251"/>
      <c r="N882" s="251"/>
    </row>
    <row r="883" spans="2:14" ht="33.75" hidden="1" x14ac:dyDescent="0.25">
      <c r="B883" s="852"/>
      <c r="C883" s="854"/>
      <c r="D883" s="782" t="s">
        <v>881</v>
      </c>
      <c r="E883" s="777"/>
      <c r="F883" s="783">
        <v>2</v>
      </c>
      <c r="G883" s="784">
        <v>33.9</v>
      </c>
      <c r="H883" s="729">
        <f>0.74+0.18</f>
        <v>0.91999999999999993</v>
      </c>
      <c r="I883" s="783">
        <f>0.61+0.18</f>
        <v>0.79</v>
      </c>
      <c r="J883" s="251"/>
      <c r="K883" s="910">
        <f>((H883+I883)/2)*G883</f>
        <v>28.984499999999997</v>
      </c>
      <c r="L883" s="251"/>
      <c r="M883" s="251"/>
      <c r="N883" s="251"/>
    </row>
    <row r="884" spans="2:14" ht="22.5" hidden="1" x14ac:dyDescent="0.25">
      <c r="B884" s="852"/>
      <c r="C884" s="854"/>
      <c r="D884" s="782" t="s">
        <v>882</v>
      </c>
      <c r="E884" s="777"/>
      <c r="F884" s="783">
        <v>2</v>
      </c>
      <c r="G884" s="784">
        <v>12.4</v>
      </c>
      <c r="H884" s="729">
        <f>0.61+0.18</f>
        <v>0.79</v>
      </c>
      <c r="I884" s="783">
        <f>0.38+0.18</f>
        <v>0.56000000000000005</v>
      </c>
      <c r="J884" s="251"/>
      <c r="K884" s="910">
        <f>((H884+I884)/2)*G884</f>
        <v>8.370000000000001</v>
      </c>
      <c r="L884" s="251"/>
      <c r="M884" s="251"/>
      <c r="N884" s="251"/>
    </row>
    <row r="885" spans="2:14" hidden="1" x14ac:dyDescent="0.25">
      <c r="B885" s="852"/>
      <c r="C885" s="854"/>
      <c r="D885" s="787"/>
      <c r="E885" s="777"/>
      <c r="F885" s="783"/>
      <c r="G885" s="784"/>
      <c r="H885" s="729"/>
      <c r="I885" s="783"/>
      <c r="J885" s="251"/>
      <c r="K885" s="910"/>
      <c r="L885" s="251"/>
      <c r="M885" s="251"/>
      <c r="N885" s="251"/>
    </row>
    <row r="886" spans="2:14" ht="22.5" hidden="1" x14ac:dyDescent="0.25">
      <c r="B886" s="852" t="s">
        <v>497</v>
      </c>
      <c r="C886" s="854">
        <v>95305</v>
      </c>
      <c r="D886" s="765" t="s">
        <v>499</v>
      </c>
      <c r="E886" s="753" t="s">
        <v>17</v>
      </c>
      <c r="F886" s="909"/>
      <c r="G886" s="846" t="s">
        <v>1207</v>
      </c>
      <c r="H886" s="847"/>
      <c r="I886" s="848"/>
      <c r="J886" s="251"/>
      <c r="K886" s="907">
        <f>SUM(K887:K893)</f>
        <v>883.12975000000006</v>
      </c>
      <c r="L886" s="251"/>
      <c r="M886" s="251"/>
      <c r="N886" s="251"/>
    </row>
    <row r="887" spans="2:14" hidden="1" x14ac:dyDescent="0.25">
      <c r="B887" s="852"/>
      <c r="C887" s="854"/>
      <c r="D887" s="866" t="s">
        <v>1208</v>
      </c>
      <c r="E887" s="753"/>
      <c r="F887" s="844">
        <v>1</v>
      </c>
      <c r="G887" s="897">
        <v>811.27</v>
      </c>
      <c r="H887" s="898"/>
      <c r="I887" s="899"/>
      <c r="J887" s="251"/>
      <c r="K887" s="910">
        <f>F887*G887</f>
        <v>811.27</v>
      </c>
      <c r="L887" s="251"/>
      <c r="M887" s="251"/>
      <c r="N887" s="251"/>
    </row>
    <row r="888" spans="2:14" ht="23.25" hidden="1" x14ac:dyDescent="0.25">
      <c r="B888" s="852"/>
      <c r="C888" s="854"/>
      <c r="D888" s="776" t="s">
        <v>1202</v>
      </c>
      <c r="E888" s="777"/>
      <c r="F888" s="778"/>
      <c r="G888" s="779" t="s">
        <v>833</v>
      </c>
      <c r="H888" s="780" t="s">
        <v>834</v>
      </c>
      <c r="I888" s="781" t="s">
        <v>835</v>
      </c>
      <c r="J888" s="251"/>
      <c r="K888" s="907"/>
      <c r="L888" s="251"/>
      <c r="M888" s="251"/>
      <c r="N888" s="251"/>
    </row>
    <row r="889" spans="2:14" ht="22.5" hidden="1" x14ac:dyDescent="0.25">
      <c r="B889" s="852"/>
      <c r="C889" s="854"/>
      <c r="D889" s="782" t="s">
        <v>879</v>
      </c>
      <c r="E889" s="777"/>
      <c r="F889" s="783">
        <v>2</v>
      </c>
      <c r="G889" s="784">
        <v>12.5</v>
      </c>
      <c r="H889" s="729">
        <f>0.1+0.18</f>
        <v>0.28000000000000003</v>
      </c>
      <c r="I889" s="783">
        <f>0.36+0.18</f>
        <v>0.54</v>
      </c>
      <c r="J889" s="251"/>
      <c r="K889" s="910">
        <f>((H889+I889)/2)*G889</f>
        <v>5.125</v>
      </c>
      <c r="L889" s="251"/>
      <c r="M889" s="251"/>
      <c r="N889" s="251"/>
    </row>
    <row r="890" spans="2:14" ht="22.5" hidden="1" x14ac:dyDescent="0.25">
      <c r="B890" s="852"/>
      <c r="C890" s="854"/>
      <c r="D890" s="782" t="s">
        <v>876</v>
      </c>
      <c r="E890" s="777"/>
      <c r="F890" s="783">
        <v>2</v>
      </c>
      <c r="G890" s="784">
        <v>11.67</v>
      </c>
      <c r="H890" s="729">
        <f>0.36+0.18</f>
        <v>0.54</v>
      </c>
      <c r="I890" s="783">
        <f>0.53+0.18</f>
        <v>0.71</v>
      </c>
      <c r="J890" s="251"/>
      <c r="K890" s="910">
        <f>((H890+I890)/2)*G890</f>
        <v>7.2937500000000002</v>
      </c>
      <c r="L890" s="251"/>
      <c r="M890" s="251"/>
      <c r="N890" s="251"/>
    </row>
    <row r="891" spans="2:14" ht="33.75" hidden="1" x14ac:dyDescent="0.25">
      <c r="B891" s="852"/>
      <c r="C891" s="854"/>
      <c r="D891" s="782" t="s">
        <v>880</v>
      </c>
      <c r="E891" s="777"/>
      <c r="F891" s="783">
        <v>2</v>
      </c>
      <c r="G891" s="784">
        <v>27.1</v>
      </c>
      <c r="H891" s="729">
        <f>0.53+0.18</f>
        <v>0.71</v>
      </c>
      <c r="I891" s="783">
        <f>0.74+0.18</f>
        <v>0.91999999999999993</v>
      </c>
      <c r="J891" s="251"/>
      <c r="K891" s="910">
        <f>((H891+I891)/2)*G891</f>
        <v>22.086500000000001</v>
      </c>
      <c r="L891" s="251"/>
      <c r="M891" s="251"/>
      <c r="N891" s="251"/>
    </row>
    <row r="892" spans="2:14" ht="33.75" hidden="1" x14ac:dyDescent="0.25">
      <c r="B892" s="852"/>
      <c r="C892" s="854"/>
      <c r="D892" s="782" t="s">
        <v>881</v>
      </c>
      <c r="E892" s="777"/>
      <c r="F892" s="783">
        <v>2</v>
      </c>
      <c r="G892" s="784">
        <v>33.9</v>
      </c>
      <c r="H892" s="729">
        <f>0.74+0.18</f>
        <v>0.91999999999999993</v>
      </c>
      <c r="I892" s="783">
        <f>0.61+0.18</f>
        <v>0.79</v>
      </c>
      <c r="J892" s="251"/>
      <c r="K892" s="910">
        <f>((H892+I892)/2)*G892</f>
        <v>28.984499999999997</v>
      </c>
      <c r="L892" s="251"/>
      <c r="M892" s="251"/>
      <c r="N892" s="251"/>
    </row>
    <row r="893" spans="2:14" ht="22.5" hidden="1" x14ac:dyDescent="0.25">
      <c r="B893" s="852"/>
      <c r="C893" s="854"/>
      <c r="D893" s="782" t="s">
        <v>882</v>
      </c>
      <c r="E893" s="777"/>
      <c r="F893" s="783">
        <v>2</v>
      </c>
      <c r="G893" s="784">
        <v>12.4</v>
      </c>
      <c r="H893" s="729">
        <f>0.61+0.18</f>
        <v>0.79</v>
      </c>
      <c r="I893" s="783">
        <f>0.38+0.18</f>
        <v>0.56000000000000005</v>
      </c>
      <c r="J893" s="251"/>
      <c r="K893" s="910">
        <f>((H893+I893)/2)*G893</f>
        <v>8.370000000000001</v>
      </c>
      <c r="L893" s="251"/>
      <c r="M893" s="251"/>
      <c r="N893" s="251"/>
    </row>
    <row r="894" spans="2:14" hidden="1" x14ac:dyDescent="0.25">
      <c r="B894" s="842">
        <v>1.1599999999999999</v>
      </c>
      <c r="C894" s="912" t="s">
        <v>501</v>
      </c>
      <c r="D894" s="787"/>
      <c r="E894" s="777"/>
      <c r="F894" s="783"/>
      <c r="G894" s="784"/>
      <c r="H894" s="729"/>
      <c r="I894" s="783"/>
      <c r="J894" s="251"/>
      <c r="K894" s="910"/>
      <c r="L894" s="251"/>
      <c r="M894" s="251"/>
      <c r="N894" s="251"/>
    </row>
    <row r="895" spans="2:14" ht="33.75" hidden="1" x14ac:dyDescent="0.25">
      <c r="B895" s="913" t="s">
        <v>502</v>
      </c>
      <c r="C895" s="914" t="s">
        <v>503</v>
      </c>
      <c r="D895" s="915" t="s">
        <v>504</v>
      </c>
      <c r="E895" s="916" t="s">
        <v>166</v>
      </c>
      <c r="F895" s="783"/>
      <c r="G895" s="736" t="s">
        <v>1091</v>
      </c>
      <c r="H895" s="737"/>
      <c r="I895" s="738"/>
      <c r="J895" s="251"/>
      <c r="K895" s="907">
        <v>0</v>
      </c>
      <c r="L895" s="251"/>
      <c r="M895" s="251"/>
      <c r="N895" s="251"/>
    </row>
    <row r="896" spans="2:14" ht="45" hidden="1" x14ac:dyDescent="0.25">
      <c r="B896" s="913" t="s">
        <v>505</v>
      </c>
      <c r="C896" s="914" t="s">
        <v>506</v>
      </c>
      <c r="D896" s="917" t="s">
        <v>507</v>
      </c>
      <c r="E896" s="916" t="s">
        <v>166</v>
      </c>
      <c r="F896" s="783"/>
      <c r="G896" s="736" t="s">
        <v>1091</v>
      </c>
      <c r="H896" s="737"/>
      <c r="I896" s="738"/>
      <c r="J896" s="251"/>
      <c r="K896" s="907">
        <v>0</v>
      </c>
      <c r="L896" s="251"/>
      <c r="M896" s="251"/>
      <c r="N896" s="251"/>
    </row>
    <row r="897" spans="2:14" x14ac:dyDescent="0.25">
      <c r="B897" s="842">
        <v>1.17</v>
      </c>
      <c r="C897" s="842" t="s">
        <v>1030</v>
      </c>
      <c r="D897" s="765"/>
      <c r="E897" s="753"/>
      <c r="F897" s="909"/>
      <c r="G897" s="845"/>
      <c r="H897" s="755"/>
      <c r="I897" s="730"/>
      <c r="J897" s="251"/>
      <c r="K897" s="907"/>
      <c r="L897" s="251"/>
      <c r="M897" s="251"/>
      <c r="N897" s="251"/>
    </row>
    <row r="898" spans="2:14" ht="56.25" x14ac:dyDescent="0.25">
      <c r="B898" s="913" t="s">
        <v>1017</v>
      </c>
      <c r="C898" s="914">
        <v>94327</v>
      </c>
      <c r="D898" s="915" t="s">
        <v>1209</v>
      </c>
      <c r="E898" s="916" t="s">
        <v>41</v>
      </c>
      <c r="F898" s="909"/>
      <c r="G898" s="846" t="s">
        <v>1210</v>
      </c>
      <c r="H898" s="847"/>
      <c r="I898" s="848"/>
      <c r="J898" s="251">
        <v>0</v>
      </c>
      <c r="K898" s="907">
        <f>SUM(K900:K936)-K932</f>
        <v>445.57125833333328</v>
      </c>
      <c r="L898" s="251">
        <f>J898+K898</f>
        <v>445.57125833333328</v>
      </c>
      <c r="M898" s="251">
        <f>'BOLETIM DE MEDIÇÃO 10'!G197</f>
        <v>620.19000000000005</v>
      </c>
      <c r="N898" s="251">
        <f>M898-L898</f>
        <v>174.61874166666678</v>
      </c>
    </row>
    <row r="899" spans="2:14" ht="78.75" x14ac:dyDescent="0.25">
      <c r="B899" s="852"/>
      <c r="C899" s="854"/>
      <c r="D899" s="891" t="s">
        <v>871</v>
      </c>
      <c r="E899" s="726"/>
      <c r="F899" s="727"/>
      <c r="G899" s="739" t="s">
        <v>838</v>
      </c>
      <c r="H899" s="769"/>
      <c r="I899" s="774" t="s">
        <v>870</v>
      </c>
      <c r="J899" s="251"/>
      <c r="K899" s="251"/>
      <c r="L899" s="251"/>
      <c r="M899" s="251"/>
      <c r="N899" s="251"/>
    </row>
    <row r="900" spans="2:14" x14ac:dyDescent="0.25">
      <c r="B900" s="852"/>
      <c r="C900" s="854"/>
      <c r="D900" s="867" t="s">
        <v>837</v>
      </c>
      <c r="E900" s="726"/>
      <c r="F900" s="727"/>
      <c r="G900" s="739">
        <v>9</v>
      </c>
      <c r="H900" s="769"/>
      <c r="I900" s="730">
        <f xml:space="preserve"> ((0.49+0.35) + (0.35+0.25) + (0.62+0.35) + (0.49+0.35))/4</f>
        <v>0.8125</v>
      </c>
      <c r="J900" s="251"/>
      <c r="K900" s="251">
        <f t="shared" ref="K900:K932" si="22">G900*I900</f>
        <v>7.3125</v>
      </c>
      <c r="L900" s="251"/>
      <c r="M900" s="251"/>
      <c r="N900" s="251"/>
    </row>
    <row r="901" spans="2:14" x14ac:dyDescent="0.25">
      <c r="B901" s="852"/>
      <c r="C901" s="854"/>
      <c r="D901" s="867" t="s">
        <v>839</v>
      </c>
      <c r="E901" s="726"/>
      <c r="F901" s="727"/>
      <c r="G901" s="739">
        <v>5</v>
      </c>
      <c r="H901" s="769"/>
      <c r="I901" s="730">
        <f xml:space="preserve"> ((0.62+0.35) + (0.62+0.25) + (0.62+0.35) + (0.62+0.35))/4</f>
        <v>0.94499999999999984</v>
      </c>
      <c r="J901" s="251"/>
      <c r="K901" s="251">
        <f t="shared" si="22"/>
        <v>4.7249999999999996</v>
      </c>
      <c r="L901" s="251"/>
      <c r="M901" s="251"/>
      <c r="N901" s="251"/>
    </row>
    <row r="902" spans="2:14" ht="22.5" x14ac:dyDescent="0.25">
      <c r="B902" s="852"/>
      <c r="C902" s="854"/>
      <c r="D902" s="918" t="s">
        <v>872</v>
      </c>
      <c r="E902" s="726"/>
      <c r="F902" s="727"/>
      <c r="G902" s="739">
        <f xml:space="preserve"> (13.03 * 2.7)</f>
        <v>35.180999999999997</v>
      </c>
      <c r="H902" s="769"/>
      <c r="I902" s="730">
        <f xml:space="preserve"> ((0.41+0.25) + (0.58+0.25) + (0.64+0.25) + (0.42+0.25)+ (0.35+0.25)+ (0.25+0.25))/6</f>
        <v>0.69166666666666676</v>
      </c>
      <c r="J902" s="251"/>
      <c r="K902" s="251">
        <f t="shared" si="22"/>
        <v>24.333525000000002</v>
      </c>
      <c r="L902" s="251"/>
      <c r="M902" s="251"/>
      <c r="N902" s="251"/>
    </row>
    <row r="903" spans="2:14" x14ac:dyDescent="0.25">
      <c r="B903" s="852"/>
      <c r="C903" s="854"/>
      <c r="D903" s="867" t="s">
        <v>843</v>
      </c>
      <c r="E903" s="726"/>
      <c r="F903" s="727"/>
      <c r="G903" s="739">
        <v>3</v>
      </c>
      <c r="H903" s="769"/>
      <c r="I903" s="730">
        <f xml:space="preserve"> ((0.2+0.25) + (0.2+0.25) + (0.2+0.25) + (0.2+0.25))/4</f>
        <v>0.45</v>
      </c>
      <c r="J903" s="251"/>
      <c r="K903" s="251">
        <f t="shared" si="22"/>
        <v>1.35</v>
      </c>
      <c r="L903" s="251"/>
      <c r="M903" s="251"/>
      <c r="N903" s="251"/>
    </row>
    <row r="904" spans="2:14" x14ac:dyDescent="0.25">
      <c r="B904" s="852"/>
      <c r="C904" s="854"/>
      <c r="D904" s="867" t="s">
        <v>840</v>
      </c>
      <c r="E904" s="726"/>
      <c r="F904" s="727"/>
      <c r="G904" s="739">
        <v>7</v>
      </c>
      <c r="H904" s="769"/>
      <c r="I904" s="730">
        <f xml:space="preserve"> ((0.25+0.25) + (0.25+0.25) + (0.2+0.25) + (0.3+0.25))/4</f>
        <v>0.5</v>
      </c>
      <c r="J904" s="251"/>
      <c r="K904" s="251">
        <f t="shared" si="22"/>
        <v>3.5</v>
      </c>
      <c r="L904" s="251"/>
      <c r="M904" s="251"/>
      <c r="N904" s="251"/>
    </row>
    <row r="905" spans="2:14" x14ac:dyDescent="0.25">
      <c r="B905" s="852"/>
      <c r="C905" s="854"/>
      <c r="D905" s="867" t="s">
        <v>841</v>
      </c>
      <c r="E905" s="726"/>
      <c r="F905" s="727"/>
      <c r="G905" s="739">
        <v>21</v>
      </c>
      <c r="H905" s="769"/>
      <c r="I905" s="730">
        <f xml:space="preserve"> ((0.25+0.25) + (0.31+0.25) + (0.27+0.25) + (0.2+0.25))/4</f>
        <v>0.50750000000000006</v>
      </c>
      <c r="J905" s="251"/>
      <c r="K905" s="251">
        <f t="shared" si="22"/>
        <v>10.657500000000001</v>
      </c>
      <c r="L905" s="251"/>
      <c r="M905" s="251"/>
      <c r="N905" s="251"/>
    </row>
    <row r="906" spans="2:14" x14ac:dyDescent="0.25">
      <c r="B906" s="852"/>
      <c r="C906" s="854"/>
      <c r="D906" s="867" t="s">
        <v>846</v>
      </c>
      <c r="E906" s="726"/>
      <c r="F906" s="727"/>
      <c r="G906" s="739">
        <v>27</v>
      </c>
      <c r="H906" s="769"/>
      <c r="I906" s="730">
        <f xml:space="preserve"> ((0.5+0.25) + (0.46+0.3) + (0.41+0.3) + (0.45+0.3))/4</f>
        <v>0.74249999999999994</v>
      </c>
      <c r="J906" s="251"/>
      <c r="K906" s="251">
        <f t="shared" si="22"/>
        <v>20.047499999999999</v>
      </c>
      <c r="L906" s="251"/>
      <c r="M906" s="251"/>
      <c r="N906" s="251"/>
    </row>
    <row r="907" spans="2:14" x14ac:dyDescent="0.25">
      <c r="B907" s="852"/>
      <c r="C907" s="854"/>
      <c r="D907" s="867" t="s">
        <v>842</v>
      </c>
      <c r="E907" s="726"/>
      <c r="F907" s="727"/>
      <c r="G907" s="739">
        <v>26</v>
      </c>
      <c r="H907" s="769"/>
      <c r="I907" s="730">
        <f xml:space="preserve"> ((0.25+0.3) + (0.3+0.3) + (0.27+0.3) + (0.22+0.25))/4</f>
        <v>0.54749999999999999</v>
      </c>
      <c r="J907" s="251"/>
      <c r="K907" s="251">
        <f t="shared" si="22"/>
        <v>14.234999999999999</v>
      </c>
      <c r="L907" s="251"/>
      <c r="M907" s="251"/>
      <c r="N907" s="251"/>
    </row>
    <row r="908" spans="2:14" x14ac:dyDescent="0.25">
      <c r="B908" s="852"/>
      <c r="C908" s="854"/>
      <c r="D908" s="867" t="s">
        <v>844</v>
      </c>
      <c r="E908" s="726"/>
      <c r="F908" s="727"/>
      <c r="G908" s="739">
        <v>1.6</v>
      </c>
      <c r="H908" s="769"/>
      <c r="I908" s="730">
        <f xml:space="preserve"> ((0.3+0.3) + (0.32+0.3) + (0.33+0.3) + (0.3+0.25))/4</f>
        <v>0.60000000000000009</v>
      </c>
      <c r="J908" s="251"/>
      <c r="K908" s="251">
        <f t="shared" si="22"/>
        <v>0.96000000000000019</v>
      </c>
      <c r="L908" s="251"/>
      <c r="M908" s="251"/>
      <c r="N908" s="251"/>
    </row>
    <row r="909" spans="2:14" x14ac:dyDescent="0.25">
      <c r="B909" s="852"/>
      <c r="C909" s="854"/>
      <c r="D909" s="867" t="s">
        <v>845</v>
      </c>
      <c r="E909" s="726"/>
      <c r="F909" s="727"/>
      <c r="G909" s="739">
        <v>1.6</v>
      </c>
      <c r="H909" s="769"/>
      <c r="I909" s="730">
        <f xml:space="preserve"> ((0.35+0.3) + (0.38+0.25) + (0.33+0.3) + (0.32+0.25))/4</f>
        <v>0.61999999999999988</v>
      </c>
      <c r="J909" s="251"/>
      <c r="K909" s="251">
        <f t="shared" si="22"/>
        <v>0.99199999999999988</v>
      </c>
      <c r="L909" s="251"/>
      <c r="M909" s="251"/>
      <c r="N909" s="251"/>
    </row>
    <row r="910" spans="2:14" x14ac:dyDescent="0.25">
      <c r="B910" s="852"/>
      <c r="C910" s="854"/>
      <c r="D910" s="867" t="s">
        <v>848</v>
      </c>
      <c r="E910" s="726"/>
      <c r="F910" s="727"/>
      <c r="G910" s="739">
        <v>45</v>
      </c>
      <c r="H910" s="769"/>
      <c r="I910" s="730">
        <f xml:space="preserve"> ((0.42+0.25) + (0.55+0.25) + (0.48+0.25) + (0.31+0.25))/4</f>
        <v>0.69000000000000006</v>
      </c>
      <c r="J910" s="251"/>
      <c r="K910" s="251">
        <f t="shared" si="22"/>
        <v>31.050000000000004</v>
      </c>
      <c r="L910" s="251"/>
      <c r="M910" s="251"/>
      <c r="N910" s="251"/>
    </row>
    <row r="911" spans="2:14" x14ac:dyDescent="0.25">
      <c r="B911" s="852"/>
      <c r="C911" s="854"/>
      <c r="D911" s="867" t="s">
        <v>849</v>
      </c>
      <c r="E911" s="726"/>
      <c r="F911" s="727"/>
      <c r="G911" s="739">
        <v>19</v>
      </c>
      <c r="H911" s="769"/>
      <c r="I911" s="730">
        <f xml:space="preserve"> ((0.64+0.25) + (0.64+0.25) + (0.64+0.25) + (0.63+0.25))/4</f>
        <v>0.88749999999999996</v>
      </c>
      <c r="J911" s="251"/>
      <c r="K911" s="251">
        <f t="shared" si="22"/>
        <v>16.862500000000001</v>
      </c>
      <c r="L911" s="251"/>
      <c r="M911" s="251"/>
      <c r="N911" s="251"/>
    </row>
    <row r="912" spans="2:14" x14ac:dyDescent="0.25">
      <c r="B912" s="852"/>
      <c r="C912" s="854"/>
      <c r="D912" s="867" t="s">
        <v>850</v>
      </c>
      <c r="E912" s="726"/>
      <c r="F912" s="727"/>
      <c r="G912" s="739">
        <v>19</v>
      </c>
      <c r="H912" s="769"/>
      <c r="I912" s="730">
        <f xml:space="preserve"> ((0.61+0.25) + (0.59+0.25) + (0.62+0.25) + (0.64+0.25))/4</f>
        <v>0.86499999999999999</v>
      </c>
      <c r="J912" s="251"/>
      <c r="K912" s="251">
        <f t="shared" si="22"/>
        <v>16.434999999999999</v>
      </c>
      <c r="L912" s="251"/>
      <c r="M912" s="251"/>
      <c r="N912" s="251"/>
    </row>
    <row r="913" spans="2:14" x14ac:dyDescent="0.25">
      <c r="B913" s="852"/>
      <c r="C913" s="854"/>
      <c r="D913" s="867" t="s">
        <v>851</v>
      </c>
      <c r="E913" s="726"/>
      <c r="F913" s="727"/>
      <c r="G913" s="739">
        <v>5</v>
      </c>
      <c r="H913" s="769"/>
      <c r="I913" s="730">
        <f xml:space="preserve"> ((0.61+0.25) + (0.6+0.25) + (0.55+0.25) + (0.55+0.25))/4</f>
        <v>0.8274999999999999</v>
      </c>
      <c r="J913" s="251"/>
      <c r="K913" s="251">
        <f t="shared" si="22"/>
        <v>4.1374999999999993</v>
      </c>
      <c r="L913" s="251"/>
      <c r="M913" s="251"/>
      <c r="N913" s="251"/>
    </row>
    <row r="914" spans="2:14" x14ac:dyDescent="0.25">
      <c r="B914" s="852"/>
      <c r="C914" s="854"/>
      <c r="D914" s="867" t="s">
        <v>852</v>
      </c>
      <c r="E914" s="726"/>
      <c r="F914" s="727"/>
      <c r="G914" s="739">
        <v>14</v>
      </c>
      <c r="H914" s="769"/>
      <c r="I914" s="730">
        <f xml:space="preserve"> ((0.55+0.25) + (0.53+0.25) + (0.6+0.25) + (0.63+0.25))/4</f>
        <v>0.82750000000000001</v>
      </c>
      <c r="J914" s="251"/>
      <c r="K914" s="251">
        <f t="shared" si="22"/>
        <v>11.585000000000001</v>
      </c>
      <c r="L914" s="251"/>
      <c r="M914" s="251"/>
      <c r="N914" s="251"/>
    </row>
    <row r="915" spans="2:14" x14ac:dyDescent="0.25">
      <c r="B915" s="852"/>
      <c r="C915" s="854"/>
      <c r="D915" s="867" t="s">
        <v>853</v>
      </c>
      <c r="E915" s="755"/>
      <c r="F915" s="754"/>
      <c r="G915" s="859">
        <v>36</v>
      </c>
      <c r="H915" s="892"/>
      <c r="I915" s="730">
        <f xml:space="preserve"> ((0.64+0.25) + (0.55+0.25) + (0.57+0.25) + (0.53+0.25) + (0.5+0.25) + (0.44+0.25) + (0.4+0.3) + (0.42+0.25) + (0.4+0.25) + (0.41+0.25) + (0.38+0.25) + (0.36+0.25) + (0.34+0.25))/12</f>
        <v>0.77</v>
      </c>
      <c r="J915" s="251"/>
      <c r="K915" s="251">
        <f t="shared" si="22"/>
        <v>27.72</v>
      </c>
      <c r="L915" s="251"/>
      <c r="M915" s="251"/>
      <c r="N915" s="251"/>
    </row>
    <row r="916" spans="2:14" x14ac:dyDescent="0.25">
      <c r="B916" s="852"/>
      <c r="C916" s="854"/>
      <c r="D916" s="867" t="s">
        <v>867</v>
      </c>
      <c r="E916" s="726"/>
      <c r="F916" s="727"/>
      <c r="G916" s="859">
        <v>46</v>
      </c>
      <c r="H916" s="892"/>
      <c r="I916" s="730">
        <f xml:space="preserve"> ((0.58+0.25) + (0.56+0.25) + (0.51+0.25) + (0.53+0.25))/4</f>
        <v>0.79500000000000015</v>
      </c>
      <c r="J916" s="251"/>
      <c r="K916" s="251">
        <f t="shared" si="22"/>
        <v>36.570000000000007</v>
      </c>
      <c r="L916" s="251"/>
      <c r="M916" s="251"/>
      <c r="N916" s="251"/>
    </row>
    <row r="917" spans="2:14" x14ac:dyDescent="0.25">
      <c r="B917" s="852"/>
      <c r="C917" s="854"/>
      <c r="D917" s="867" t="s">
        <v>854</v>
      </c>
      <c r="E917" s="726"/>
      <c r="F917" s="727"/>
      <c r="G917" s="739">
        <v>41</v>
      </c>
      <c r="H917" s="769"/>
      <c r="I917" s="730">
        <f xml:space="preserve"> ((0.5+0.25) + (0.5+0.25) + (0.48+0.25) + (0.5+0.3))/4</f>
        <v>0.75750000000000006</v>
      </c>
      <c r="J917" s="251"/>
      <c r="K917" s="251">
        <f t="shared" si="22"/>
        <v>31.057500000000001</v>
      </c>
      <c r="L917" s="251"/>
      <c r="M917" s="251"/>
      <c r="N917" s="251"/>
    </row>
    <row r="918" spans="2:14" x14ac:dyDescent="0.25">
      <c r="B918" s="852"/>
      <c r="C918" s="854"/>
      <c r="D918" s="867" t="s">
        <v>847</v>
      </c>
      <c r="E918" s="726"/>
      <c r="F918" s="727"/>
      <c r="G918" s="739">
        <v>27</v>
      </c>
      <c r="H918" s="769"/>
      <c r="I918" s="730">
        <f xml:space="preserve"> ((0.38+0.25) + (0.45+0.3) + (0.41+0.3) + (0.34+0.25))/4</f>
        <v>0.66999999999999993</v>
      </c>
      <c r="J918" s="251"/>
      <c r="K918" s="251">
        <f t="shared" si="22"/>
        <v>18.089999999999996</v>
      </c>
      <c r="L918" s="251"/>
      <c r="M918" s="251"/>
      <c r="N918" s="251"/>
    </row>
    <row r="919" spans="2:14" x14ac:dyDescent="0.25">
      <c r="B919" s="852"/>
      <c r="C919" s="854"/>
      <c r="D919" s="867" t="s">
        <v>855</v>
      </c>
      <c r="E919" s="726"/>
      <c r="F919" s="727"/>
      <c r="G919" s="739">
        <v>53</v>
      </c>
      <c r="H919" s="769"/>
      <c r="I919" s="730">
        <f xml:space="preserve"> ((0.41+0.3) + (0.48+0.25) + (0.53+0.3) + (0.5+0.25)+ (0.37+0.25)+ (0.38+0.25))/6</f>
        <v>0.71166666666666678</v>
      </c>
      <c r="J919" s="251"/>
      <c r="K919" s="251">
        <f t="shared" si="22"/>
        <v>37.718333333333341</v>
      </c>
      <c r="L919" s="251"/>
      <c r="M919" s="251"/>
      <c r="N919" s="251"/>
    </row>
    <row r="920" spans="2:14" ht="22.5" x14ac:dyDescent="0.25">
      <c r="B920" s="852"/>
      <c r="C920" s="854"/>
      <c r="D920" s="918" t="s">
        <v>869</v>
      </c>
      <c r="E920" s="726"/>
      <c r="F920" s="727"/>
      <c r="G920" s="739">
        <f xml:space="preserve"> (2.65*1.8)</f>
        <v>4.7699999999999996</v>
      </c>
      <c r="H920" s="769"/>
      <c r="I920" s="730">
        <f xml:space="preserve"> ((0.33+0.25) + (0.38+0.3) + (0.36+0.3) + (0.31+0.25))/4</f>
        <v>0.62</v>
      </c>
      <c r="J920" s="251"/>
      <c r="K920" s="251">
        <f t="shared" si="22"/>
        <v>2.9573999999999998</v>
      </c>
      <c r="L920" s="251"/>
      <c r="M920" s="251"/>
      <c r="N920" s="251"/>
    </row>
    <row r="921" spans="2:14" x14ac:dyDescent="0.25">
      <c r="B921" s="852"/>
      <c r="C921" s="854"/>
      <c r="D921" s="867" t="s">
        <v>856</v>
      </c>
      <c r="E921" s="726"/>
      <c r="F921" s="727"/>
      <c r="G921" s="739">
        <v>30</v>
      </c>
      <c r="H921" s="769"/>
      <c r="I921" s="730">
        <f xml:space="preserve"> ((0.49+0.25) + (0.45+0.25) + (0.42+0.25) + (0.5+0.25))/4</f>
        <v>0.71499999999999997</v>
      </c>
      <c r="J921" s="251"/>
      <c r="K921" s="251">
        <f t="shared" si="22"/>
        <v>21.45</v>
      </c>
      <c r="L921" s="251"/>
      <c r="M921" s="251"/>
      <c r="N921" s="251"/>
    </row>
    <row r="922" spans="2:14" x14ac:dyDescent="0.25">
      <c r="B922" s="852"/>
      <c r="C922" s="854"/>
      <c r="D922" s="867" t="s">
        <v>857</v>
      </c>
      <c r="E922" s="726"/>
      <c r="F922" s="727"/>
      <c r="G922" s="739">
        <v>30</v>
      </c>
      <c r="H922" s="769"/>
      <c r="I922" s="730">
        <f xml:space="preserve"> ((0.4+0.25) + (0.42+0.25) + (0.46+0.25) + (0.43+0.25))/4</f>
        <v>0.67749999999999999</v>
      </c>
      <c r="J922" s="251"/>
      <c r="K922" s="251">
        <f t="shared" si="22"/>
        <v>20.324999999999999</v>
      </c>
      <c r="L922" s="251"/>
      <c r="M922" s="251"/>
      <c r="N922" s="251"/>
    </row>
    <row r="923" spans="2:14" x14ac:dyDescent="0.25">
      <c r="B923" s="852"/>
      <c r="C923" s="854"/>
      <c r="D923" s="867" t="s">
        <v>858</v>
      </c>
      <c r="E923" s="726"/>
      <c r="F923" s="727"/>
      <c r="G923" s="739">
        <v>14</v>
      </c>
      <c r="H923" s="769"/>
      <c r="I923" s="730">
        <f xml:space="preserve"> ((0.29+0.3) + (0.36+0.25) + (0.34+0.25) + (0.28+0.25))/4</f>
        <v>0.58000000000000007</v>
      </c>
      <c r="J923" s="251"/>
      <c r="K923" s="251">
        <f t="shared" si="22"/>
        <v>8.120000000000001</v>
      </c>
      <c r="L923" s="251"/>
      <c r="M923" s="251"/>
      <c r="N923" s="251"/>
    </row>
    <row r="924" spans="2:14" x14ac:dyDescent="0.25">
      <c r="B924" s="852"/>
      <c r="C924" s="854"/>
      <c r="D924" s="867" t="s">
        <v>858</v>
      </c>
      <c r="E924" s="726"/>
      <c r="F924" s="727"/>
      <c r="G924" s="739">
        <v>14</v>
      </c>
      <c r="H924" s="769"/>
      <c r="I924" s="730">
        <f xml:space="preserve"> ((0.34+0.25) + (0.39+0.25) + (0.39+0.25) + (0.35+0.25))/4</f>
        <v>0.61750000000000005</v>
      </c>
      <c r="J924" s="251"/>
      <c r="K924" s="251">
        <f t="shared" si="22"/>
        <v>8.6450000000000014</v>
      </c>
      <c r="L924" s="251"/>
      <c r="M924" s="251"/>
      <c r="N924" s="251"/>
    </row>
    <row r="925" spans="2:14" x14ac:dyDescent="0.25">
      <c r="B925" s="852"/>
      <c r="C925" s="854"/>
      <c r="D925" s="867" t="s">
        <v>859</v>
      </c>
      <c r="E925" s="726"/>
      <c r="F925" s="727"/>
      <c r="G925" s="739">
        <v>20</v>
      </c>
      <c r="H925" s="769"/>
      <c r="I925" s="730">
        <f xml:space="preserve"> ((0.34+0.25) + (0.39+0.25) + (0.39+0.25) + (0.35+0.25))/4</f>
        <v>0.61750000000000005</v>
      </c>
      <c r="J925" s="251"/>
      <c r="K925" s="251">
        <f t="shared" si="22"/>
        <v>12.350000000000001</v>
      </c>
      <c r="L925" s="251"/>
      <c r="M925" s="251"/>
      <c r="N925" s="251"/>
    </row>
    <row r="926" spans="2:14" x14ac:dyDescent="0.25">
      <c r="B926" s="852"/>
      <c r="C926" s="854"/>
      <c r="D926" s="867" t="s">
        <v>860</v>
      </c>
      <c r="E926" s="726"/>
      <c r="F926" s="727"/>
      <c r="G926" s="739">
        <v>3</v>
      </c>
      <c r="H926" s="769"/>
      <c r="I926" s="730">
        <f xml:space="preserve"> ((0.5+0.25) + (0.58+0.25) + (0.55+0.25) + (0.49+0.25))/4</f>
        <v>0.78</v>
      </c>
      <c r="J926" s="251"/>
      <c r="K926" s="251">
        <f t="shared" si="22"/>
        <v>2.34</v>
      </c>
      <c r="L926" s="251"/>
      <c r="M926" s="251"/>
      <c r="N926" s="251"/>
    </row>
    <row r="927" spans="2:14" x14ac:dyDescent="0.25">
      <c r="B927" s="852"/>
      <c r="C927" s="854"/>
      <c r="D927" s="867" t="s">
        <v>868</v>
      </c>
      <c r="E927" s="726"/>
      <c r="F927" s="727"/>
      <c r="G927" s="739">
        <v>4</v>
      </c>
      <c r="H927" s="769"/>
      <c r="I927" s="730">
        <f xml:space="preserve"> ((0.55+0.25) + (0.6+0.25) + (0.6+0.25) + (0.5+0.25))/4</f>
        <v>0.8125</v>
      </c>
      <c r="J927" s="251"/>
      <c r="K927" s="251">
        <f t="shared" si="22"/>
        <v>3.25</v>
      </c>
      <c r="L927" s="251"/>
      <c r="M927" s="251"/>
      <c r="N927" s="251"/>
    </row>
    <row r="928" spans="2:14" x14ac:dyDescent="0.25">
      <c r="B928" s="852"/>
      <c r="C928" s="854"/>
      <c r="D928" s="867" t="s">
        <v>861</v>
      </c>
      <c r="E928" s="726"/>
      <c r="F928" s="727"/>
      <c r="G928" s="739">
        <v>12</v>
      </c>
      <c r="H928" s="769"/>
      <c r="I928" s="730">
        <f xml:space="preserve"> ((0.51+0.25) + (0.49+0.25) + (0.58+0.25) + (0.48+0.25))/4</f>
        <v>0.76500000000000001</v>
      </c>
      <c r="J928" s="251"/>
      <c r="K928" s="251">
        <f t="shared" si="22"/>
        <v>9.18</v>
      </c>
      <c r="L928" s="251"/>
      <c r="M928" s="251"/>
      <c r="N928" s="251"/>
    </row>
    <row r="929" spans="2:14" x14ac:dyDescent="0.25">
      <c r="B929" s="852"/>
      <c r="C929" s="854"/>
      <c r="D929" s="867" t="s">
        <v>862</v>
      </c>
      <c r="E929" s="726"/>
      <c r="F929" s="727"/>
      <c r="G929" s="739">
        <v>20</v>
      </c>
      <c r="H929" s="769"/>
      <c r="I929" s="730">
        <f xml:space="preserve"> ((0.54+0.25) + (0.59+0.25) + (0.62+0.25) + (0.63+0.25) + (0.61+0.25))/5</f>
        <v>0.84800000000000009</v>
      </c>
      <c r="J929" s="251"/>
      <c r="K929" s="251">
        <f t="shared" si="22"/>
        <v>16.96</v>
      </c>
      <c r="L929" s="251"/>
      <c r="M929" s="251"/>
      <c r="N929" s="251"/>
    </row>
    <row r="930" spans="2:14" x14ac:dyDescent="0.25">
      <c r="B930" s="852"/>
      <c r="C930" s="854"/>
      <c r="D930" s="867" t="s">
        <v>863</v>
      </c>
      <c r="E930" s="726"/>
      <c r="F930" s="727"/>
      <c r="G930" s="739">
        <v>4</v>
      </c>
      <c r="H930" s="769"/>
      <c r="I930" s="730">
        <f xml:space="preserve"> ((0.55+0.25) + (0.61+0.25) + (0.56+0.25) + (0.5+0.25))/4</f>
        <v>0.80500000000000005</v>
      </c>
      <c r="J930" s="251"/>
      <c r="K930" s="251">
        <f t="shared" si="22"/>
        <v>3.22</v>
      </c>
      <c r="L930" s="251"/>
      <c r="M930" s="251"/>
      <c r="N930" s="251"/>
    </row>
    <row r="931" spans="2:14" x14ac:dyDescent="0.25">
      <c r="B931" s="852"/>
      <c r="C931" s="854"/>
      <c r="D931" s="867" t="s">
        <v>864</v>
      </c>
      <c r="E931" s="726"/>
      <c r="F931" s="727"/>
      <c r="G931" s="739">
        <v>5</v>
      </c>
      <c r="H931" s="769"/>
      <c r="I931" s="730">
        <f xml:space="preserve"> ((0.53+0.25) + (0.5+0.25) + (0.47+0.25) + (0.48+0.25))/4</f>
        <v>0.745</v>
      </c>
      <c r="J931" s="251"/>
      <c r="K931" s="251">
        <f t="shared" si="22"/>
        <v>3.7250000000000001</v>
      </c>
      <c r="L931" s="251"/>
      <c r="M931" s="251"/>
      <c r="N931" s="251"/>
    </row>
    <row r="932" spans="2:14" ht="33.75" x14ac:dyDescent="0.25">
      <c r="B932" s="852"/>
      <c r="C932" s="854"/>
      <c r="D932" s="891" t="s">
        <v>873</v>
      </c>
      <c r="E932" s="726"/>
      <c r="F932" s="727"/>
      <c r="G932" s="739">
        <f>1184.23-SUM(G900:H931)</f>
        <v>582.07900000000006</v>
      </c>
      <c r="H932" s="769"/>
      <c r="I932" s="730">
        <v>0.3</v>
      </c>
      <c r="J932" s="251"/>
      <c r="K932" s="251">
        <f t="shared" si="22"/>
        <v>174.62370000000001</v>
      </c>
      <c r="L932" s="251"/>
      <c r="M932" s="251"/>
      <c r="N932" s="251"/>
    </row>
    <row r="933" spans="2:14" x14ac:dyDescent="0.25">
      <c r="B933" s="852"/>
      <c r="C933" s="854"/>
      <c r="D933" s="891" t="s">
        <v>1211</v>
      </c>
      <c r="E933" s="726"/>
      <c r="F933" s="727"/>
      <c r="G933" s="801" t="s">
        <v>1212</v>
      </c>
      <c r="H933" s="798" t="s">
        <v>651</v>
      </c>
      <c r="I933" s="807" t="s">
        <v>1213</v>
      </c>
      <c r="J933" s="251"/>
      <c r="K933" s="251"/>
      <c r="L933" s="251"/>
      <c r="M933" s="251"/>
      <c r="N933" s="251"/>
    </row>
    <row r="934" spans="2:14" ht="22.5" x14ac:dyDescent="0.25">
      <c r="B934" s="852"/>
      <c r="C934" s="854"/>
      <c r="D934" s="891" t="s">
        <v>1214</v>
      </c>
      <c r="E934" s="726"/>
      <c r="F934" s="783">
        <v>1</v>
      </c>
      <c r="G934" s="784">
        <f>(11.1+9.1+13.6+1.9+16.3+22.8+5.1+6.3+5.4+2.45+5.4+10.9)</f>
        <v>110.35000000000001</v>
      </c>
      <c r="H934" s="729">
        <v>0.15</v>
      </c>
      <c r="I934" s="783">
        <v>0.8</v>
      </c>
      <c r="J934" s="251"/>
      <c r="K934" s="251">
        <f>G934*H934*I934</f>
        <v>13.242000000000003</v>
      </c>
      <c r="L934" s="251"/>
      <c r="M934" s="251"/>
      <c r="N934" s="251"/>
    </row>
    <row r="935" spans="2:14" ht="33.75" x14ac:dyDescent="0.25">
      <c r="B935" s="852"/>
      <c r="C935" s="854"/>
      <c r="D935" s="776" t="s">
        <v>1215</v>
      </c>
      <c r="E935" s="777"/>
      <c r="F935" s="783"/>
      <c r="G935" s="785" t="s">
        <v>1067</v>
      </c>
      <c r="H935" s="786" t="s">
        <v>1068</v>
      </c>
      <c r="I935" s="783" t="s">
        <v>649</v>
      </c>
      <c r="J935" s="251"/>
      <c r="K935" s="729"/>
      <c r="L935" s="251"/>
      <c r="M935" s="251"/>
      <c r="N935" s="251"/>
    </row>
    <row r="936" spans="2:14" x14ac:dyDescent="0.25">
      <c r="B936" s="852"/>
      <c r="C936" s="854"/>
      <c r="D936" s="787"/>
      <c r="E936" s="777"/>
      <c r="F936" s="783">
        <v>1</v>
      </c>
      <c r="G936" s="784">
        <f>(6.8+3.6)</f>
        <v>10.4</v>
      </c>
      <c r="H936" s="729">
        <v>0.15</v>
      </c>
      <c r="I936" s="783">
        <v>0.3</v>
      </c>
      <c r="J936" s="251"/>
      <c r="K936" s="729">
        <f>(G936*H936*I936*F936)</f>
        <v>0.46799999999999997</v>
      </c>
      <c r="L936" s="251"/>
      <c r="M936" s="251"/>
      <c r="N936" s="251"/>
    </row>
    <row r="937" spans="2:14" x14ac:dyDescent="0.25">
      <c r="B937" s="852"/>
      <c r="C937" s="854"/>
      <c r="D937" s="891"/>
      <c r="E937" s="726"/>
      <c r="F937" s="783"/>
      <c r="G937" s="919"/>
      <c r="H937" s="919"/>
      <c r="I937" s="920"/>
      <c r="J937" s="251"/>
      <c r="K937" s="251"/>
      <c r="L937" s="251"/>
      <c r="M937" s="251"/>
      <c r="N937" s="251"/>
    </row>
    <row r="938" spans="2:14" ht="33.75" hidden="1" x14ac:dyDescent="0.25">
      <c r="B938" s="913" t="s">
        <v>1018</v>
      </c>
      <c r="C938" s="921">
        <v>97627</v>
      </c>
      <c r="D938" s="915" t="s">
        <v>1216</v>
      </c>
      <c r="E938" s="916" t="s">
        <v>41</v>
      </c>
      <c r="F938" s="909"/>
      <c r="G938" s="846" t="s">
        <v>1217</v>
      </c>
      <c r="H938" s="847"/>
      <c r="I938" s="848"/>
      <c r="J938" s="251"/>
      <c r="K938" s="907">
        <f>K940</f>
        <v>8.6800000000000016E-2</v>
      </c>
      <c r="L938" s="251"/>
      <c r="M938" s="251"/>
      <c r="N938" s="251"/>
    </row>
    <row r="939" spans="2:14" hidden="1" x14ac:dyDescent="0.25">
      <c r="B939" s="852"/>
      <c r="C939" s="854"/>
      <c r="D939" s="918"/>
      <c r="E939" s="726"/>
      <c r="F939" s="730"/>
      <c r="G939" s="728" t="s">
        <v>649</v>
      </c>
      <c r="H939" s="750" t="s">
        <v>650</v>
      </c>
      <c r="I939" s="730" t="s">
        <v>1218</v>
      </c>
      <c r="J939" s="251"/>
      <c r="K939" s="251"/>
      <c r="L939" s="251"/>
      <c r="M939" s="251"/>
      <c r="N939" s="251"/>
    </row>
    <row r="940" spans="2:14" hidden="1" x14ac:dyDescent="0.25">
      <c r="B940" s="852"/>
      <c r="C940" s="854"/>
      <c r="D940" s="918" t="s">
        <v>1219</v>
      </c>
      <c r="E940" s="726"/>
      <c r="F940" s="730">
        <v>1</v>
      </c>
      <c r="G940" s="728">
        <v>0.14000000000000001</v>
      </c>
      <c r="H940" s="750">
        <v>3.1</v>
      </c>
      <c r="I940" s="730">
        <v>0.2</v>
      </c>
      <c r="J940" s="251"/>
      <c r="K940" s="251">
        <f>G940*H940*I940*F940</f>
        <v>8.6800000000000016E-2</v>
      </c>
      <c r="L940" s="251"/>
      <c r="M940" s="251"/>
      <c r="N940" s="251"/>
    </row>
    <row r="941" spans="2:14" hidden="1" x14ac:dyDescent="0.25">
      <c r="B941" s="852"/>
      <c r="C941" s="854"/>
      <c r="D941" s="891"/>
      <c r="E941" s="726"/>
      <c r="F941" s="730"/>
      <c r="G941" s="728"/>
      <c r="H941" s="750"/>
      <c r="I941" s="730"/>
      <c r="J941" s="251"/>
      <c r="K941" s="251"/>
      <c r="L941" s="251"/>
      <c r="M941" s="251"/>
      <c r="N941" s="251"/>
    </row>
    <row r="942" spans="2:14" ht="22.5" hidden="1" x14ac:dyDescent="0.25">
      <c r="B942" s="913" t="s">
        <v>1019</v>
      </c>
      <c r="C942" s="921">
        <v>97622</v>
      </c>
      <c r="D942" s="915" t="s">
        <v>1037</v>
      </c>
      <c r="E942" s="916" t="s">
        <v>41</v>
      </c>
      <c r="F942" s="909"/>
      <c r="G942" s="846" t="s">
        <v>1220</v>
      </c>
      <c r="H942" s="847"/>
      <c r="I942" s="848"/>
      <c r="J942" s="251"/>
      <c r="K942" s="907">
        <f>K944</f>
        <v>0.18600000000000003</v>
      </c>
      <c r="L942" s="251"/>
      <c r="M942" s="251"/>
      <c r="N942" s="251"/>
    </row>
    <row r="943" spans="2:14" hidden="1" x14ac:dyDescent="0.25">
      <c r="B943" s="852"/>
      <c r="C943" s="854"/>
      <c r="D943" s="891"/>
      <c r="E943" s="726"/>
      <c r="F943" s="730"/>
      <c r="G943" s="728" t="s">
        <v>649</v>
      </c>
      <c r="H943" s="750" t="s">
        <v>650</v>
      </c>
      <c r="I943" s="730" t="s">
        <v>651</v>
      </c>
      <c r="J943" s="251"/>
      <c r="K943" s="251"/>
      <c r="L943" s="251"/>
      <c r="M943" s="251"/>
      <c r="N943" s="251"/>
    </row>
    <row r="944" spans="2:14" hidden="1" x14ac:dyDescent="0.25">
      <c r="B944" s="852"/>
      <c r="C944" s="854"/>
      <c r="D944" s="891"/>
      <c r="E944" s="726"/>
      <c r="F944" s="730">
        <v>1</v>
      </c>
      <c r="G944" s="728">
        <v>0.2</v>
      </c>
      <c r="H944" s="750">
        <v>3.1</v>
      </c>
      <c r="I944" s="730">
        <v>0.3</v>
      </c>
      <c r="J944" s="251"/>
      <c r="K944" s="251">
        <f>F944*G944*H944*I944</f>
        <v>0.18600000000000003</v>
      </c>
      <c r="L944" s="251"/>
      <c r="M944" s="251"/>
      <c r="N944" s="251"/>
    </row>
    <row r="945" spans="2:14" hidden="1" x14ac:dyDescent="0.25">
      <c r="B945" s="852"/>
      <c r="C945" s="854"/>
      <c r="D945" s="891"/>
      <c r="E945" s="726"/>
      <c r="F945" s="730"/>
      <c r="G945" s="728"/>
      <c r="H945" s="750"/>
      <c r="I945" s="730"/>
      <c r="J945" s="251"/>
      <c r="K945" s="251"/>
      <c r="L945" s="251"/>
      <c r="M945" s="251"/>
      <c r="N945" s="251"/>
    </row>
    <row r="946" spans="2:14" hidden="1" x14ac:dyDescent="0.25">
      <c r="B946" s="852" t="s">
        <v>1020</v>
      </c>
      <c r="C946" s="854" t="s">
        <v>1031</v>
      </c>
      <c r="D946" s="915" t="s">
        <v>1038</v>
      </c>
      <c r="E946" s="726" t="s">
        <v>1046</v>
      </c>
      <c r="F946" s="730"/>
      <c r="G946" s="846" t="s">
        <v>1221</v>
      </c>
      <c r="H946" s="847"/>
      <c r="I946" s="848"/>
      <c r="J946" s="251"/>
      <c r="K946" s="250">
        <f>SUM(K948)</f>
        <v>1.1000000000000001</v>
      </c>
      <c r="L946" s="251"/>
      <c r="M946" s="251"/>
      <c r="N946" s="251"/>
    </row>
    <row r="947" spans="2:14" hidden="1" x14ac:dyDescent="0.25">
      <c r="B947" s="852"/>
      <c r="C947" s="854"/>
      <c r="D947" s="891" t="s">
        <v>1222</v>
      </c>
      <c r="E947" s="726"/>
      <c r="F947" s="730"/>
      <c r="G947" s="728" t="s">
        <v>649</v>
      </c>
      <c r="H947" s="730" t="s">
        <v>651</v>
      </c>
      <c r="I947" s="730" t="s">
        <v>651</v>
      </c>
      <c r="J947" s="251"/>
      <c r="K947" s="251"/>
      <c r="L947" s="251"/>
      <c r="M947" s="251"/>
      <c r="N947" s="251"/>
    </row>
    <row r="948" spans="2:14" hidden="1" x14ac:dyDescent="0.25">
      <c r="B948" s="852"/>
      <c r="C948" s="854"/>
      <c r="D948" s="891"/>
      <c r="E948" s="726"/>
      <c r="F948" s="730">
        <v>1</v>
      </c>
      <c r="G948" s="728">
        <v>1.1000000000000001</v>
      </c>
      <c r="H948" s="750">
        <v>1</v>
      </c>
      <c r="I948" s="730"/>
      <c r="J948" s="251"/>
      <c r="K948" s="251">
        <f>G948*H948*F948</f>
        <v>1.1000000000000001</v>
      </c>
      <c r="L948" s="251"/>
      <c r="M948" s="251"/>
      <c r="N948" s="251"/>
    </row>
    <row r="949" spans="2:14" hidden="1" x14ac:dyDescent="0.25">
      <c r="B949" s="852"/>
      <c r="C949" s="854"/>
      <c r="D949" s="891"/>
      <c r="E949" s="726"/>
      <c r="F949" s="730"/>
      <c r="G949" s="728"/>
      <c r="H949" s="750"/>
      <c r="I949" s="730"/>
      <c r="J949" s="251"/>
      <c r="K949" s="251"/>
      <c r="L949" s="251"/>
      <c r="M949" s="251"/>
      <c r="N949" s="251"/>
    </row>
    <row r="950" spans="2:14" hidden="1" x14ac:dyDescent="0.25">
      <c r="B950" s="852"/>
      <c r="C950" s="854"/>
      <c r="D950" s="891"/>
      <c r="E950" s="726"/>
      <c r="F950" s="730"/>
      <c r="G950" s="728"/>
      <c r="H950" s="750"/>
      <c r="I950" s="730"/>
      <c r="J950" s="251"/>
      <c r="K950" s="251"/>
      <c r="L950" s="251"/>
      <c r="M950" s="251"/>
      <c r="N950" s="251"/>
    </row>
    <row r="951" spans="2:14" ht="45" x14ac:dyDescent="0.25">
      <c r="B951" s="852" t="s">
        <v>1021</v>
      </c>
      <c r="C951" s="854">
        <v>101493</v>
      </c>
      <c r="D951" s="915" t="s">
        <v>1039</v>
      </c>
      <c r="E951" s="726" t="s">
        <v>166</v>
      </c>
      <c r="F951" s="730"/>
      <c r="G951" s="846" t="s">
        <v>1223</v>
      </c>
      <c r="H951" s="847"/>
      <c r="I951" s="848"/>
      <c r="J951" s="251">
        <v>0</v>
      </c>
      <c r="K951" s="250">
        <f>SUM(K953)</f>
        <v>1</v>
      </c>
      <c r="L951" s="251">
        <f>J951+K951</f>
        <v>1</v>
      </c>
      <c r="M951" s="251">
        <v>1</v>
      </c>
      <c r="N951" s="251">
        <f>M951-L951</f>
        <v>0</v>
      </c>
    </row>
    <row r="952" spans="2:14" x14ac:dyDescent="0.25">
      <c r="B952" s="852"/>
      <c r="C952" s="854"/>
      <c r="D952" s="891"/>
      <c r="E952" s="726"/>
      <c r="F952" s="730"/>
      <c r="G952" s="728"/>
      <c r="H952" s="727"/>
      <c r="I952" s="730"/>
      <c r="J952" s="251"/>
      <c r="K952" s="251"/>
      <c r="L952" s="251"/>
      <c r="M952" s="251"/>
      <c r="N952" s="251"/>
    </row>
    <row r="953" spans="2:14" x14ac:dyDescent="0.25">
      <c r="B953" s="852"/>
      <c r="C953" s="854"/>
      <c r="D953" s="891" t="s">
        <v>1224</v>
      </c>
      <c r="E953" s="726"/>
      <c r="F953" s="730">
        <v>1</v>
      </c>
      <c r="G953" s="739">
        <v>1</v>
      </c>
      <c r="H953" s="740"/>
      <c r="I953" s="741"/>
      <c r="J953" s="251"/>
      <c r="K953" s="251">
        <f>F953*G953</f>
        <v>1</v>
      </c>
      <c r="L953" s="251"/>
      <c r="M953" s="251"/>
      <c r="N953" s="251"/>
    </row>
    <row r="954" spans="2:14" x14ac:dyDescent="0.25">
      <c r="B954" s="852"/>
      <c r="C954" s="854"/>
      <c r="D954" s="891"/>
      <c r="E954" s="726"/>
      <c r="F954" s="730"/>
      <c r="G954" s="801"/>
      <c r="H954" s="798"/>
      <c r="I954" s="807"/>
      <c r="J954" s="251"/>
      <c r="K954" s="251"/>
      <c r="L954" s="251"/>
      <c r="M954" s="251"/>
      <c r="N954" s="251"/>
    </row>
    <row r="955" spans="2:14" ht="33.75" x14ac:dyDescent="0.25">
      <c r="B955" s="852" t="s">
        <v>1022</v>
      </c>
      <c r="C955" s="854" t="s">
        <v>1032</v>
      </c>
      <c r="D955" s="915" t="s">
        <v>1040</v>
      </c>
      <c r="E955" s="726" t="s">
        <v>166</v>
      </c>
      <c r="F955" s="730"/>
      <c r="G955" s="846" t="s">
        <v>1225</v>
      </c>
      <c r="H955" s="847"/>
      <c r="I955" s="848"/>
      <c r="J955" s="251"/>
      <c r="K955" s="250">
        <f>SUM(K957)</f>
        <v>1</v>
      </c>
      <c r="L955" s="251"/>
      <c r="M955" s="251"/>
      <c r="N955" s="251"/>
    </row>
    <row r="956" spans="2:14" x14ac:dyDescent="0.25">
      <c r="B956" s="852"/>
      <c r="C956" s="854"/>
      <c r="D956" s="891"/>
      <c r="E956" s="726"/>
      <c r="F956" s="730"/>
      <c r="G956" s="728"/>
      <c r="H956" s="727"/>
      <c r="I956" s="730"/>
      <c r="J956" s="251"/>
      <c r="K956" s="251"/>
      <c r="L956" s="251"/>
      <c r="M956" s="251"/>
      <c r="N956" s="251"/>
    </row>
    <row r="957" spans="2:14" x14ac:dyDescent="0.25">
      <c r="B957" s="852"/>
      <c r="C957" s="854"/>
      <c r="D957" s="891" t="s">
        <v>1226</v>
      </c>
      <c r="E957" s="726"/>
      <c r="F957" s="730">
        <v>1</v>
      </c>
      <c r="G957" s="739">
        <v>1</v>
      </c>
      <c r="H957" s="740"/>
      <c r="I957" s="741"/>
      <c r="J957" s="251"/>
      <c r="K957" s="251">
        <f>F957*G957</f>
        <v>1</v>
      </c>
      <c r="L957" s="251"/>
      <c r="M957" s="251"/>
      <c r="N957" s="251"/>
    </row>
    <row r="958" spans="2:14" x14ac:dyDescent="0.25">
      <c r="B958" s="852"/>
      <c r="C958" s="854"/>
      <c r="D958" s="891"/>
      <c r="E958" s="726"/>
      <c r="F958" s="730"/>
      <c r="G958" s="728"/>
      <c r="H958" s="750"/>
      <c r="I958" s="730"/>
      <c r="J958" s="251"/>
      <c r="K958" s="251"/>
      <c r="L958" s="251"/>
      <c r="M958" s="251"/>
      <c r="N958" s="251"/>
    </row>
    <row r="959" spans="2:14" ht="22.5" hidden="1" x14ac:dyDescent="0.25">
      <c r="B959" s="852" t="s">
        <v>1023</v>
      </c>
      <c r="C959" s="854">
        <v>20204</v>
      </c>
      <c r="D959" s="915" t="s">
        <v>1041</v>
      </c>
      <c r="E959" s="726" t="s">
        <v>37</v>
      </c>
      <c r="F959" s="730"/>
      <c r="G959" s="846" t="s">
        <v>1227</v>
      </c>
      <c r="H959" s="847"/>
      <c r="I959" s="848"/>
      <c r="J959" s="251"/>
      <c r="K959" s="250">
        <f>SUM(K961)</f>
        <v>32</v>
      </c>
      <c r="L959" s="251"/>
      <c r="M959" s="251"/>
      <c r="N959" s="251"/>
    </row>
    <row r="960" spans="2:14" hidden="1" x14ac:dyDescent="0.25">
      <c r="B960" s="852"/>
      <c r="C960" s="854"/>
      <c r="D960" s="891"/>
      <c r="E960" s="726"/>
      <c r="F960" s="730"/>
      <c r="G960" s="728"/>
      <c r="H960" s="727"/>
      <c r="I960" s="730"/>
      <c r="J960" s="251"/>
      <c r="K960" s="251"/>
      <c r="L960" s="251"/>
      <c r="M960" s="251"/>
      <c r="N960" s="251"/>
    </row>
    <row r="961" spans="2:14" hidden="1" x14ac:dyDescent="0.25">
      <c r="B961" s="852"/>
      <c r="C961" s="854"/>
      <c r="D961" s="891" t="s">
        <v>1228</v>
      </c>
      <c r="E961" s="726"/>
      <c r="F961" s="730">
        <v>1</v>
      </c>
      <c r="G961" s="739">
        <f>(4*5.5)+(1*6)+(1*4)</f>
        <v>32</v>
      </c>
      <c r="H961" s="740"/>
      <c r="I961" s="741"/>
      <c r="J961" s="251"/>
      <c r="K961" s="251">
        <f>F961*G961</f>
        <v>32</v>
      </c>
      <c r="L961" s="251"/>
      <c r="M961" s="251"/>
      <c r="N961" s="251"/>
    </row>
    <row r="962" spans="2:14" hidden="1" x14ac:dyDescent="0.25">
      <c r="B962" s="852"/>
      <c r="C962" s="854"/>
      <c r="D962" s="891"/>
      <c r="E962" s="726"/>
      <c r="F962" s="730"/>
      <c r="G962" s="728"/>
      <c r="H962" s="750"/>
      <c r="I962" s="730"/>
      <c r="J962" s="251"/>
      <c r="K962" s="251"/>
      <c r="L962" s="251"/>
      <c r="M962" s="251"/>
      <c r="N962" s="251"/>
    </row>
    <row r="963" spans="2:14" ht="22.5" hidden="1" x14ac:dyDescent="0.25">
      <c r="B963" s="852" t="s">
        <v>1024</v>
      </c>
      <c r="C963" s="854" t="s">
        <v>1034</v>
      </c>
      <c r="D963" s="915" t="s">
        <v>1042</v>
      </c>
      <c r="E963" s="726" t="s">
        <v>37</v>
      </c>
      <c r="F963" s="730"/>
      <c r="G963" s="846" t="s">
        <v>1227</v>
      </c>
      <c r="H963" s="847"/>
      <c r="I963" s="848"/>
      <c r="J963" s="251"/>
      <c r="K963" s="250">
        <f>SUM(K965)</f>
        <v>13</v>
      </c>
      <c r="L963" s="251"/>
      <c r="M963" s="251"/>
      <c r="N963" s="251"/>
    </row>
    <row r="964" spans="2:14" hidden="1" x14ac:dyDescent="0.25">
      <c r="B964" s="852"/>
      <c r="C964" s="854"/>
      <c r="D964" s="891"/>
      <c r="E964" s="726"/>
      <c r="F964" s="730"/>
      <c r="G964" s="728"/>
      <c r="H964" s="727"/>
      <c r="I964" s="730"/>
      <c r="J964" s="251"/>
      <c r="K964" s="251"/>
      <c r="L964" s="251"/>
      <c r="M964" s="251"/>
      <c r="N964" s="251"/>
    </row>
    <row r="965" spans="2:14" hidden="1" x14ac:dyDescent="0.25">
      <c r="B965" s="852"/>
      <c r="C965" s="854"/>
      <c r="D965" s="891" t="s">
        <v>1229</v>
      </c>
      <c r="E965" s="726"/>
      <c r="F965" s="730">
        <v>1</v>
      </c>
      <c r="G965" s="739">
        <f>(1*3.5)+(1*2.5)+(2*2)+(1*3)</f>
        <v>13</v>
      </c>
      <c r="H965" s="740"/>
      <c r="I965" s="741"/>
      <c r="J965" s="251"/>
      <c r="K965" s="251">
        <f>F965*G965</f>
        <v>13</v>
      </c>
      <c r="L965" s="251"/>
      <c r="M965" s="251"/>
      <c r="N965" s="251"/>
    </row>
    <row r="966" spans="2:14" hidden="1" x14ac:dyDescent="0.25">
      <c r="B966" s="852"/>
      <c r="C966" s="854"/>
      <c r="D966" s="891"/>
      <c r="E966" s="726"/>
      <c r="F966" s="730"/>
      <c r="G966" s="728"/>
      <c r="H966" s="750"/>
      <c r="I966" s="730"/>
      <c r="J966" s="251"/>
      <c r="K966" s="251"/>
      <c r="L966" s="251"/>
      <c r="M966" s="251"/>
      <c r="N966" s="251"/>
    </row>
    <row r="967" spans="2:14" ht="45" x14ac:dyDescent="0.25">
      <c r="B967" s="852" t="s">
        <v>1025</v>
      </c>
      <c r="C967" s="854">
        <v>87887</v>
      </c>
      <c r="D967" s="915" t="s">
        <v>1043</v>
      </c>
      <c r="E967" s="822" t="s">
        <v>17</v>
      </c>
      <c r="F967" s="730"/>
      <c r="G967" s="846" t="s">
        <v>1230</v>
      </c>
      <c r="H967" s="847"/>
      <c r="I967" s="848"/>
      <c r="J967" s="251">
        <v>0</v>
      </c>
      <c r="K967" s="250">
        <f>SUM(K969:K979)</f>
        <v>37.425399999999996</v>
      </c>
      <c r="L967" s="251">
        <f>J967+K967</f>
        <v>37.425399999999996</v>
      </c>
      <c r="M967" s="251">
        <v>83.36</v>
      </c>
      <c r="N967" s="251">
        <f>M967-L967</f>
        <v>45.934600000000003</v>
      </c>
    </row>
    <row r="968" spans="2:14" ht="22.5" x14ac:dyDescent="0.25">
      <c r="B968" s="852"/>
      <c r="C968" s="854"/>
      <c r="D968" s="915" t="s">
        <v>1231</v>
      </c>
      <c r="E968" s="822"/>
      <c r="F968" s="730"/>
      <c r="G968" s="922" t="s">
        <v>1232</v>
      </c>
      <c r="H968" s="922" t="s">
        <v>650</v>
      </c>
      <c r="I968" s="923" t="s">
        <v>1233</v>
      </c>
      <c r="J968" s="251"/>
      <c r="K968" s="250"/>
      <c r="L968" s="251"/>
      <c r="M968" s="251"/>
      <c r="N968" s="251"/>
    </row>
    <row r="969" spans="2:14" x14ac:dyDescent="0.25">
      <c r="B969" s="852"/>
      <c r="C969" s="854"/>
      <c r="D969" s="918" t="s">
        <v>1234</v>
      </c>
      <c r="E969" s="726"/>
      <c r="F969" s="730">
        <v>0</v>
      </c>
      <c r="G969" s="728">
        <v>1</v>
      </c>
      <c r="H969" s="750">
        <v>15.62</v>
      </c>
      <c r="I969" s="730"/>
      <c r="J969" s="251"/>
      <c r="K969" s="251">
        <f>F969*G969*H969</f>
        <v>0</v>
      </c>
      <c r="L969" s="251"/>
      <c r="M969" s="251"/>
      <c r="N969" s="251"/>
    </row>
    <row r="970" spans="2:14" x14ac:dyDescent="0.25">
      <c r="B970" s="852"/>
      <c r="C970" s="854"/>
      <c r="D970" s="918" t="s">
        <v>1235</v>
      </c>
      <c r="E970" s="726"/>
      <c r="F970" s="730">
        <v>0</v>
      </c>
      <c r="G970" s="728">
        <f>((G969*2)+H969)</f>
        <v>17.619999999999997</v>
      </c>
      <c r="H970" s="750"/>
      <c r="I970" s="730">
        <v>0.12</v>
      </c>
      <c r="J970" s="251"/>
      <c r="K970" s="251">
        <f>G970*I970</f>
        <v>2.1143999999999998</v>
      </c>
      <c r="L970" s="251"/>
      <c r="M970" s="251"/>
      <c r="N970" s="251"/>
    </row>
    <row r="971" spans="2:14" x14ac:dyDescent="0.25">
      <c r="B971" s="852"/>
      <c r="C971" s="854"/>
      <c r="D971" s="918" t="s">
        <v>1236</v>
      </c>
      <c r="E971" s="726"/>
      <c r="F971" s="730">
        <v>0</v>
      </c>
      <c r="G971" s="728">
        <v>1</v>
      </c>
      <c r="H971" s="750">
        <v>5</v>
      </c>
      <c r="I971" s="730"/>
      <c r="J971" s="251"/>
      <c r="K971" s="251">
        <f>F971*G971*H971</f>
        <v>0</v>
      </c>
      <c r="L971" s="251"/>
      <c r="M971" s="251"/>
      <c r="N971" s="251"/>
    </row>
    <row r="972" spans="2:14" x14ac:dyDescent="0.25">
      <c r="B972" s="852"/>
      <c r="C972" s="854"/>
      <c r="D972" s="918" t="s">
        <v>1237</v>
      </c>
      <c r="E972" s="726"/>
      <c r="F972" s="730">
        <v>0</v>
      </c>
      <c r="G972" s="728">
        <f>((G971*2)+H971)</f>
        <v>7</v>
      </c>
      <c r="H972" s="750"/>
      <c r="I972" s="730">
        <v>0.12</v>
      </c>
      <c r="J972" s="251"/>
      <c r="K972" s="251">
        <f>F972*G972*I972</f>
        <v>0</v>
      </c>
      <c r="L972" s="251"/>
      <c r="M972" s="251"/>
      <c r="N972" s="251"/>
    </row>
    <row r="973" spans="2:14" x14ac:dyDescent="0.25">
      <c r="B973" s="852"/>
      <c r="C973" s="854"/>
      <c r="D973" s="918" t="s">
        <v>1238</v>
      </c>
      <c r="E973" s="726"/>
      <c r="F973" s="730">
        <v>0</v>
      </c>
      <c r="G973" s="728">
        <v>1</v>
      </c>
      <c r="H973" s="750">
        <v>12.76</v>
      </c>
      <c r="I973" s="730"/>
      <c r="J973" s="251"/>
      <c r="K973" s="251">
        <f>F973*G973*H973</f>
        <v>0</v>
      </c>
      <c r="L973" s="251"/>
      <c r="M973" s="251"/>
      <c r="N973" s="251"/>
    </row>
    <row r="974" spans="2:14" x14ac:dyDescent="0.25">
      <c r="B974" s="852"/>
      <c r="C974" s="854"/>
      <c r="D974" s="918" t="s">
        <v>1239</v>
      </c>
      <c r="E974" s="726"/>
      <c r="F974" s="730">
        <v>0</v>
      </c>
      <c r="G974" s="728">
        <f>((G973*2)+H973)</f>
        <v>14.76</v>
      </c>
      <c r="H974" s="750"/>
      <c r="I974" s="730">
        <v>0.12</v>
      </c>
      <c r="J974" s="251"/>
      <c r="K974" s="251">
        <f>F974*G974*I974</f>
        <v>0</v>
      </c>
      <c r="L974" s="251"/>
      <c r="M974" s="251"/>
      <c r="N974" s="251"/>
    </row>
    <row r="975" spans="2:14" x14ac:dyDescent="0.25">
      <c r="B975" s="852"/>
      <c r="C975" s="854"/>
      <c r="D975" s="918" t="s">
        <v>1240</v>
      </c>
      <c r="E975" s="726"/>
      <c r="F975" s="730">
        <v>0</v>
      </c>
      <c r="G975" s="728">
        <v>1</v>
      </c>
      <c r="H975" s="750">
        <v>8.66</v>
      </c>
      <c r="I975" s="730"/>
      <c r="J975" s="251"/>
      <c r="K975" s="251">
        <f>F975*G975*H975</f>
        <v>0</v>
      </c>
      <c r="L975" s="251"/>
      <c r="M975" s="251"/>
      <c r="N975" s="251"/>
    </row>
    <row r="976" spans="2:14" x14ac:dyDescent="0.25">
      <c r="B976" s="852"/>
      <c r="C976" s="854"/>
      <c r="D976" s="918" t="s">
        <v>1241</v>
      </c>
      <c r="E976" s="726"/>
      <c r="F976" s="730">
        <v>0</v>
      </c>
      <c r="G976" s="728">
        <f>((G975*2)+H975)</f>
        <v>10.66</v>
      </c>
      <c r="H976" s="750"/>
      <c r="I976" s="730">
        <v>0.12</v>
      </c>
      <c r="J976" s="251"/>
      <c r="K976" s="251">
        <f>F976*G976*I976</f>
        <v>0</v>
      </c>
      <c r="L976" s="251"/>
      <c r="M976" s="251"/>
      <c r="N976" s="251"/>
    </row>
    <row r="977" spans="2:14" x14ac:dyDescent="0.25">
      <c r="B977" s="852"/>
      <c r="C977" s="854"/>
      <c r="D977" s="918" t="s">
        <v>1242</v>
      </c>
      <c r="E977" s="726"/>
      <c r="F977" s="730">
        <v>1</v>
      </c>
      <c r="G977" s="728">
        <v>2.5</v>
      </c>
      <c r="H977" s="750">
        <f>(9.51+0.724+(0.8*3))</f>
        <v>12.634</v>
      </c>
      <c r="I977" s="730"/>
      <c r="J977" s="251"/>
      <c r="K977" s="251">
        <f>F977*G977*H977</f>
        <v>31.585000000000001</v>
      </c>
      <c r="L977" s="251"/>
      <c r="M977" s="251"/>
      <c r="N977" s="251"/>
    </row>
    <row r="978" spans="2:14" x14ac:dyDescent="0.25">
      <c r="B978" s="852"/>
      <c r="C978" s="854"/>
      <c r="D978" s="918" t="s">
        <v>1243</v>
      </c>
      <c r="E978" s="726"/>
      <c r="F978" s="730">
        <v>1</v>
      </c>
      <c r="G978" s="728">
        <v>0.3</v>
      </c>
      <c r="H978" s="750">
        <v>8.6999999999999993</v>
      </c>
      <c r="I978" s="730"/>
      <c r="J978" s="251"/>
      <c r="K978" s="251">
        <f>F978*G978*H978</f>
        <v>2.61</v>
      </c>
      <c r="L978" s="251"/>
      <c r="M978" s="251"/>
      <c r="N978" s="251"/>
    </row>
    <row r="979" spans="2:14" x14ac:dyDescent="0.25">
      <c r="B979" s="852"/>
      <c r="C979" s="854"/>
      <c r="D979" s="918" t="s">
        <v>1244</v>
      </c>
      <c r="E979" s="726"/>
      <c r="F979" s="730">
        <v>1</v>
      </c>
      <c r="G979" s="728">
        <f>((G978*2)+H978)</f>
        <v>9.2999999999999989</v>
      </c>
      <c r="H979" s="750"/>
      <c r="I979" s="730">
        <v>0.12</v>
      </c>
      <c r="J979" s="251"/>
      <c r="K979" s="251">
        <f>F979*G979*I979</f>
        <v>1.1159999999999999</v>
      </c>
      <c r="L979" s="251"/>
      <c r="M979" s="251"/>
      <c r="N979" s="251"/>
    </row>
    <row r="980" spans="2:14" x14ac:dyDescent="0.25">
      <c r="B980" s="852"/>
      <c r="C980" s="854"/>
      <c r="D980" s="891"/>
      <c r="E980" s="726"/>
      <c r="F980" s="730"/>
      <c r="G980" s="728"/>
      <c r="H980" s="750"/>
      <c r="I980" s="730"/>
      <c r="J980" s="251"/>
      <c r="K980" s="251"/>
      <c r="L980" s="251"/>
      <c r="M980" s="251"/>
      <c r="N980" s="251"/>
    </row>
    <row r="981" spans="2:14" ht="56.25" x14ac:dyDescent="0.25">
      <c r="B981" s="852" t="s">
        <v>1026</v>
      </c>
      <c r="C981" s="854">
        <v>90408</v>
      </c>
      <c r="D981" s="915" t="s">
        <v>1044</v>
      </c>
      <c r="E981" s="822" t="s">
        <v>17</v>
      </c>
      <c r="F981" s="730"/>
      <c r="G981" s="846" t="s">
        <v>1245</v>
      </c>
      <c r="H981" s="847"/>
      <c r="I981" s="848"/>
      <c r="J981" s="251">
        <v>0</v>
      </c>
      <c r="K981" s="250">
        <f>SUM(K983:K993)</f>
        <v>37.425399999999996</v>
      </c>
      <c r="L981" s="251">
        <f>J981+K981</f>
        <v>37.425399999999996</v>
      </c>
      <c r="M981" s="251">
        <v>83.36</v>
      </c>
      <c r="N981" s="251">
        <f>M981-L981</f>
        <v>45.934600000000003</v>
      </c>
    </row>
    <row r="982" spans="2:14" ht="22.5" x14ac:dyDescent="0.25">
      <c r="B982" s="852"/>
      <c r="C982" s="854"/>
      <c r="D982" s="915" t="s">
        <v>1231</v>
      </c>
      <c r="E982" s="822"/>
      <c r="F982" s="730"/>
      <c r="G982" s="922" t="s">
        <v>1232</v>
      </c>
      <c r="H982" s="922" t="s">
        <v>650</v>
      </c>
      <c r="I982" s="923" t="s">
        <v>1233</v>
      </c>
      <c r="J982" s="251"/>
      <c r="K982" s="250"/>
      <c r="L982" s="251"/>
      <c r="M982" s="251"/>
      <c r="N982" s="251"/>
    </row>
    <row r="983" spans="2:14" x14ac:dyDescent="0.25">
      <c r="B983" s="852"/>
      <c r="C983" s="854"/>
      <c r="D983" s="918" t="s">
        <v>1234</v>
      </c>
      <c r="E983" s="726"/>
      <c r="F983" s="730">
        <v>0</v>
      </c>
      <c r="G983" s="728">
        <v>1</v>
      </c>
      <c r="H983" s="750">
        <v>15.62</v>
      </c>
      <c r="I983" s="730"/>
      <c r="J983" s="251"/>
      <c r="K983" s="251">
        <f>F983*G983*H983</f>
        <v>0</v>
      </c>
      <c r="L983" s="251"/>
      <c r="M983" s="251"/>
      <c r="N983" s="251"/>
    </row>
    <row r="984" spans="2:14" x14ac:dyDescent="0.25">
      <c r="B984" s="852"/>
      <c r="C984" s="854"/>
      <c r="D984" s="918" t="s">
        <v>1235</v>
      </c>
      <c r="E984" s="726"/>
      <c r="F984" s="730">
        <v>0</v>
      </c>
      <c r="G984" s="728">
        <f>((G983*2)+H983)</f>
        <v>17.619999999999997</v>
      </c>
      <c r="H984" s="750"/>
      <c r="I984" s="730">
        <v>0.12</v>
      </c>
      <c r="J984" s="251"/>
      <c r="K984" s="251">
        <f>G984*I984</f>
        <v>2.1143999999999998</v>
      </c>
      <c r="L984" s="251"/>
      <c r="M984" s="251"/>
      <c r="N984" s="251"/>
    </row>
    <row r="985" spans="2:14" x14ac:dyDescent="0.25">
      <c r="B985" s="852"/>
      <c r="C985" s="854"/>
      <c r="D985" s="918" t="s">
        <v>1236</v>
      </c>
      <c r="E985" s="726"/>
      <c r="F985" s="730">
        <v>0</v>
      </c>
      <c r="G985" s="728">
        <v>1</v>
      </c>
      <c r="H985" s="750">
        <v>5</v>
      </c>
      <c r="I985" s="730"/>
      <c r="J985" s="251"/>
      <c r="K985" s="251">
        <f>F985*G985*H985</f>
        <v>0</v>
      </c>
      <c r="L985" s="251"/>
      <c r="M985" s="251"/>
      <c r="N985" s="251"/>
    </row>
    <row r="986" spans="2:14" x14ac:dyDescent="0.25">
      <c r="B986" s="852"/>
      <c r="C986" s="854"/>
      <c r="D986" s="918" t="s">
        <v>1237</v>
      </c>
      <c r="E986" s="726"/>
      <c r="F986" s="730">
        <v>0</v>
      </c>
      <c r="G986" s="728">
        <f>((G985*2)+H985)</f>
        <v>7</v>
      </c>
      <c r="H986" s="750"/>
      <c r="I986" s="730">
        <v>0.12</v>
      </c>
      <c r="J986" s="251"/>
      <c r="K986" s="251">
        <f>F986*G986*I986</f>
        <v>0</v>
      </c>
      <c r="L986" s="251"/>
      <c r="M986" s="251"/>
      <c r="N986" s="251"/>
    </row>
    <row r="987" spans="2:14" x14ac:dyDescent="0.25">
      <c r="B987" s="852"/>
      <c r="C987" s="854"/>
      <c r="D987" s="918" t="s">
        <v>1238</v>
      </c>
      <c r="E987" s="726"/>
      <c r="F987" s="730">
        <v>0</v>
      </c>
      <c r="G987" s="728">
        <v>1</v>
      </c>
      <c r="H987" s="750">
        <v>12.76</v>
      </c>
      <c r="I987" s="730"/>
      <c r="J987" s="251"/>
      <c r="K987" s="251">
        <f>F987*G987*H987</f>
        <v>0</v>
      </c>
      <c r="L987" s="251"/>
      <c r="M987" s="251"/>
      <c r="N987" s="251"/>
    </row>
    <row r="988" spans="2:14" x14ac:dyDescent="0.25">
      <c r="B988" s="852"/>
      <c r="C988" s="854"/>
      <c r="D988" s="918" t="s">
        <v>1239</v>
      </c>
      <c r="E988" s="726"/>
      <c r="F988" s="730">
        <v>0</v>
      </c>
      <c r="G988" s="728">
        <f>((G987*2)+H987)</f>
        <v>14.76</v>
      </c>
      <c r="H988" s="750"/>
      <c r="I988" s="730">
        <v>0.12</v>
      </c>
      <c r="J988" s="251"/>
      <c r="K988" s="251">
        <f>F988*G988*I988</f>
        <v>0</v>
      </c>
      <c r="L988" s="251"/>
      <c r="M988" s="251"/>
      <c r="N988" s="251"/>
    </row>
    <row r="989" spans="2:14" x14ac:dyDescent="0.25">
      <c r="B989" s="852"/>
      <c r="C989" s="854"/>
      <c r="D989" s="918" t="s">
        <v>1240</v>
      </c>
      <c r="E989" s="726"/>
      <c r="F989" s="730">
        <v>0</v>
      </c>
      <c r="G989" s="728">
        <v>1</v>
      </c>
      <c r="H989" s="750">
        <v>8.66</v>
      </c>
      <c r="I989" s="730"/>
      <c r="J989" s="251"/>
      <c r="K989" s="251">
        <f>F989*G989*H989</f>
        <v>0</v>
      </c>
      <c r="L989" s="251"/>
      <c r="M989" s="251"/>
      <c r="N989" s="251"/>
    </row>
    <row r="990" spans="2:14" x14ac:dyDescent="0.25">
      <c r="B990" s="852"/>
      <c r="C990" s="854"/>
      <c r="D990" s="918" t="s">
        <v>1241</v>
      </c>
      <c r="E990" s="726"/>
      <c r="F990" s="730">
        <v>0</v>
      </c>
      <c r="G990" s="728">
        <f>((G989*2)+H989)</f>
        <v>10.66</v>
      </c>
      <c r="H990" s="750"/>
      <c r="I990" s="730">
        <v>0.12</v>
      </c>
      <c r="J990" s="251"/>
      <c r="K990" s="251">
        <f>F990*G990*I990</f>
        <v>0</v>
      </c>
      <c r="L990" s="251"/>
      <c r="M990" s="251"/>
      <c r="N990" s="251"/>
    </row>
    <row r="991" spans="2:14" x14ac:dyDescent="0.25">
      <c r="B991" s="852"/>
      <c r="C991" s="854"/>
      <c r="D991" s="918" t="s">
        <v>1242</v>
      </c>
      <c r="E991" s="726"/>
      <c r="F991" s="730">
        <v>1</v>
      </c>
      <c r="G991" s="728">
        <v>2.5</v>
      </c>
      <c r="H991" s="750">
        <f>(9.51+0.724+(0.8*3))</f>
        <v>12.634</v>
      </c>
      <c r="I991" s="730"/>
      <c r="J991" s="251"/>
      <c r="K991" s="251">
        <f>F991*G991*H991</f>
        <v>31.585000000000001</v>
      </c>
      <c r="L991" s="251"/>
      <c r="M991" s="251"/>
      <c r="N991" s="251"/>
    </row>
    <row r="992" spans="2:14" x14ac:dyDescent="0.25">
      <c r="B992" s="852"/>
      <c r="C992" s="854"/>
      <c r="D992" s="918" t="s">
        <v>1243</v>
      </c>
      <c r="E992" s="726"/>
      <c r="F992" s="730">
        <v>1</v>
      </c>
      <c r="G992" s="728">
        <v>0.3</v>
      </c>
      <c r="H992" s="750">
        <v>8.6999999999999993</v>
      </c>
      <c r="I992" s="730"/>
      <c r="J992" s="251"/>
      <c r="K992" s="251">
        <f>F992*G992*H992</f>
        <v>2.61</v>
      </c>
      <c r="L992" s="251"/>
      <c r="M992" s="251"/>
      <c r="N992" s="251"/>
    </row>
    <row r="993" spans="2:14" x14ac:dyDescent="0.25">
      <c r="B993" s="852"/>
      <c r="C993" s="854"/>
      <c r="D993" s="918" t="s">
        <v>1244</v>
      </c>
      <c r="E993" s="726"/>
      <c r="F993" s="730">
        <v>1</v>
      </c>
      <c r="G993" s="728">
        <f>((G992*2)+H992)</f>
        <v>9.2999999999999989</v>
      </c>
      <c r="H993" s="750"/>
      <c r="I993" s="730">
        <v>0.12</v>
      </c>
      <c r="J993" s="251"/>
      <c r="K993" s="251">
        <f>F993*G993*I993</f>
        <v>1.1159999999999999</v>
      </c>
      <c r="L993" s="251"/>
      <c r="M993" s="251"/>
      <c r="N993" s="251"/>
    </row>
    <row r="994" spans="2:14" x14ac:dyDescent="0.25">
      <c r="B994" s="852"/>
      <c r="C994" s="854"/>
      <c r="D994" s="918" t="s">
        <v>1243</v>
      </c>
      <c r="E994" s="726"/>
      <c r="F994" s="730">
        <v>1</v>
      </c>
      <c r="G994" s="728">
        <v>0.3</v>
      </c>
      <c r="H994" s="750">
        <v>8.6999999999999993</v>
      </c>
      <c r="I994" s="730"/>
      <c r="J994" s="251"/>
      <c r="K994" s="251">
        <f>F994*G994*H994</f>
        <v>2.61</v>
      </c>
      <c r="L994" s="251"/>
      <c r="M994" s="251"/>
      <c r="N994" s="251"/>
    </row>
    <row r="995" spans="2:14" x14ac:dyDescent="0.25">
      <c r="B995" s="852"/>
      <c r="C995" s="854"/>
      <c r="D995" s="918"/>
      <c r="E995" s="726"/>
      <c r="F995" s="730"/>
      <c r="G995" s="801"/>
      <c r="H995" s="798"/>
      <c r="I995" s="807"/>
      <c r="J995" s="251"/>
      <c r="K995" s="251"/>
      <c r="L995" s="251"/>
      <c r="M995" s="251"/>
      <c r="N995" s="251"/>
    </row>
    <row r="996" spans="2:14" ht="22.5" hidden="1" x14ac:dyDescent="0.25">
      <c r="B996" s="852" t="s">
        <v>1027</v>
      </c>
      <c r="C996" s="854">
        <v>88494</v>
      </c>
      <c r="D996" s="915" t="s">
        <v>204</v>
      </c>
      <c r="E996" s="822" t="s">
        <v>17</v>
      </c>
      <c r="F996" s="730"/>
      <c r="G996" s="846" t="s">
        <v>1246</v>
      </c>
      <c r="H996" s="847"/>
      <c r="I996" s="848"/>
      <c r="K996" s="250">
        <f>SUM(K998:K1010)</f>
        <v>88.575800000000015</v>
      </c>
      <c r="L996" s="719"/>
      <c r="M996" s="719"/>
      <c r="N996" s="719"/>
    </row>
    <row r="997" spans="2:14" ht="22.5" hidden="1" x14ac:dyDescent="0.25">
      <c r="B997" s="852"/>
      <c r="C997" s="854"/>
      <c r="D997" s="915" t="s">
        <v>1231</v>
      </c>
      <c r="E997" s="822"/>
      <c r="F997" s="730"/>
      <c r="G997" s="922" t="s">
        <v>1232</v>
      </c>
      <c r="H997" s="922" t="s">
        <v>650</v>
      </c>
      <c r="I997" s="923" t="s">
        <v>1233</v>
      </c>
      <c r="K997" s="250"/>
      <c r="L997" s="719"/>
      <c r="M997" s="719"/>
      <c r="N997" s="719"/>
    </row>
    <row r="998" spans="2:14" hidden="1" x14ac:dyDescent="0.25">
      <c r="B998" s="852"/>
      <c r="C998" s="854"/>
      <c r="D998" s="918" t="s">
        <v>1234</v>
      </c>
      <c r="E998" s="726"/>
      <c r="F998" s="730">
        <v>1</v>
      </c>
      <c r="G998" s="728">
        <v>1</v>
      </c>
      <c r="H998" s="750">
        <v>15.62</v>
      </c>
      <c r="I998" s="730"/>
      <c r="K998" s="251">
        <f>F998*G998*H998</f>
        <v>15.62</v>
      </c>
      <c r="L998" s="719"/>
      <c r="M998" s="719"/>
      <c r="N998" s="719"/>
    </row>
    <row r="999" spans="2:14" hidden="1" x14ac:dyDescent="0.25">
      <c r="B999" s="852"/>
      <c r="C999" s="854"/>
      <c r="D999" s="918" t="s">
        <v>1235</v>
      </c>
      <c r="E999" s="726"/>
      <c r="F999" s="730">
        <v>1</v>
      </c>
      <c r="G999" s="728">
        <f>((G998*2)+H998)</f>
        <v>17.619999999999997</v>
      </c>
      <c r="H999" s="750"/>
      <c r="I999" s="730">
        <v>0.12</v>
      </c>
      <c r="K999" s="251">
        <f>G999*I999</f>
        <v>2.1143999999999998</v>
      </c>
      <c r="L999" s="719"/>
      <c r="M999" s="719"/>
      <c r="N999" s="719"/>
    </row>
    <row r="1000" spans="2:14" hidden="1" x14ac:dyDescent="0.25">
      <c r="B1000" s="852"/>
      <c r="C1000" s="854"/>
      <c r="D1000" s="918" t="s">
        <v>1236</v>
      </c>
      <c r="E1000" s="726"/>
      <c r="F1000" s="730">
        <v>1</v>
      </c>
      <c r="G1000" s="728">
        <v>1</v>
      </c>
      <c r="H1000" s="750">
        <v>5</v>
      </c>
      <c r="I1000" s="730"/>
      <c r="K1000" s="251">
        <f>F1000*G1000*H1000</f>
        <v>5</v>
      </c>
      <c r="L1000" s="719"/>
      <c r="M1000" s="719"/>
      <c r="N1000" s="719"/>
    </row>
    <row r="1001" spans="2:14" hidden="1" x14ac:dyDescent="0.25">
      <c r="B1001" s="852"/>
      <c r="C1001" s="854"/>
      <c r="D1001" s="918" t="s">
        <v>1237</v>
      </c>
      <c r="E1001" s="726"/>
      <c r="F1001" s="730">
        <v>1</v>
      </c>
      <c r="G1001" s="728">
        <f>((G1000*2)+H1000)</f>
        <v>7</v>
      </c>
      <c r="H1001" s="750"/>
      <c r="I1001" s="730">
        <v>0.12</v>
      </c>
      <c r="K1001" s="251">
        <f>F1001*G1001*I1001</f>
        <v>0.84</v>
      </c>
      <c r="L1001" s="719"/>
      <c r="M1001" s="719"/>
      <c r="N1001" s="719"/>
    </row>
    <row r="1002" spans="2:14" hidden="1" x14ac:dyDescent="0.25">
      <c r="B1002" s="852"/>
      <c r="C1002" s="854"/>
      <c r="D1002" s="918" t="s">
        <v>1238</v>
      </c>
      <c r="E1002" s="726"/>
      <c r="F1002" s="730">
        <v>1</v>
      </c>
      <c r="G1002" s="728">
        <v>1</v>
      </c>
      <c r="H1002" s="750">
        <v>12.76</v>
      </c>
      <c r="I1002" s="730"/>
      <c r="K1002" s="251">
        <f>F1002*G1002*H1002</f>
        <v>12.76</v>
      </c>
      <c r="L1002" s="719"/>
      <c r="M1002" s="719"/>
      <c r="N1002" s="719"/>
    </row>
    <row r="1003" spans="2:14" hidden="1" x14ac:dyDescent="0.25">
      <c r="B1003" s="852"/>
      <c r="C1003" s="854"/>
      <c r="D1003" s="918" t="s">
        <v>1239</v>
      </c>
      <c r="E1003" s="726"/>
      <c r="F1003" s="730">
        <v>1</v>
      </c>
      <c r="G1003" s="728">
        <f>((G1002*2)+H1002)</f>
        <v>14.76</v>
      </c>
      <c r="H1003" s="750"/>
      <c r="I1003" s="730">
        <v>0.12</v>
      </c>
      <c r="K1003" s="251">
        <f>F1003*G1003*I1003</f>
        <v>1.7711999999999999</v>
      </c>
      <c r="L1003" s="719"/>
      <c r="M1003" s="719"/>
      <c r="N1003" s="719"/>
    </row>
    <row r="1004" spans="2:14" hidden="1" x14ac:dyDescent="0.25">
      <c r="B1004" s="852"/>
      <c r="C1004" s="854"/>
      <c r="D1004" s="918" t="s">
        <v>1240</v>
      </c>
      <c r="E1004" s="726"/>
      <c r="F1004" s="730">
        <v>1</v>
      </c>
      <c r="G1004" s="728">
        <v>1</v>
      </c>
      <c r="H1004" s="750">
        <v>8.66</v>
      </c>
      <c r="I1004" s="730"/>
      <c r="K1004" s="251">
        <f>F1004*G1004*H1004</f>
        <v>8.66</v>
      </c>
      <c r="L1004" s="719"/>
      <c r="M1004" s="719"/>
      <c r="N1004" s="719"/>
    </row>
    <row r="1005" spans="2:14" hidden="1" x14ac:dyDescent="0.25">
      <c r="B1005" s="852"/>
      <c r="C1005" s="854"/>
      <c r="D1005" s="918" t="s">
        <v>1241</v>
      </c>
      <c r="E1005" s="726"/>
      <c r="F1005" s="730">
        <v>1</v>
      </c>
      <c r="G1005" s="728">
        <f>((G1004*2)+H1004)</f>
        <v>10.66</v>
      </c>
      <c r="H1005" s="750"/>
      <c r="I1005" s="730">
        <v>0.12</v>
      </c>
      <c r="K1005" s="251">
        <f>F1005*G1005*I1005</f>
        <v>1.2791999999999999</v>
      </c>
      <c r="L1005" s="719"/>
      <c r="M1005" s="719"/>
      <c r="N1005" s="719"/>
    </row>
    <row r="1006" spans="2:14" hidden="1" x14ac:dyDescent="0.25">
      <c r="B1006" s="852"/>
      <c r="C1006" s="854"/>
      <c r="D1006" s="918" t="s">
        <v>1242</v>
      </c>
      <c r="E1006" s="726"/>
      <c r="F1006" s="730">
        <v>1</v>
      </c>
      <c r="G1006" s="728">
        <v>2.5</v>
      </c>
      <c r="H1006" s="750">
        <f>(9.51+0.724+(0.8*3))</f>
        <v>12.634</v>
      </c>
      <c r="I1006" s="730"/>
      <c r="K1006" s="251">
        <f>F1006*G1006*H1006</f>
        <v>31.585000000000001</v>
      </c>
      <c r="L1006" s="719"/>
      <c r="M1006" s="719"/>
      <c r="N1006" s="719"/>
    </row>
    <row r="1007" spans="2:14" hidden="1" x14ac:dyDescent="0.25">
      <c r="B1007" s="852"/>
      <c r="C1007" s="854"/>
      <c r="D1007" s="918" t="s">
        <v>1243</v>
      </c>
      <c r="E1007" s="726"/>
      <c r="F1007" s="730">
        <v>1</v>
      </c>
      <c r="G1007" s="728">
        <v>0.3</v>
      </c>
      <c r="H1007" s="750">
        <v>8.6999999999999993</v>
      </c>
      <c r="I1007" s="730"/>
      <c r="K1007" s="251">
        <f>F1007*G1007*H1007</f>
        <v>2.61</v>
      </c>
      <c r="L1007" s="719"/>
      <c r="M1007" s="719"/>
      <c r="N1007" s="719"/>
    </row>
    <row r="1008" spans="2:14" hidden="1" x14ac:dyDescent="0.25">
      <c r="B1008" s="852"/>
      <c r="C1008" s="854"/>
      <c r="D1008" s="918" t="s">
        <v>1244</v>
      </c>
      <c r="E1008" s="726"/>
      <c r="F1008" s="730">
        <v>1</v>
      </c>
      <c r="G1008" s="728">
        <f>((G1007*2)+H1007)</f>
        <v>9.2999999999999989</v>
      </c>
      <c r="H1008" s="750"/>
      <c r="I1008" s="730">
        <v>0.12</v>
      </c>
      <c r="K1008" s="251">
        <f>F1008*G1008*I1008</f>
        <v>1.1159999999999999</v>
      </c>
      <c r="L1008" s="719"/>
      <c r="M1008" s="719"/>
      <c r="N1008" s="719"/>
    </row>
    <row r="1009" spans="2:14" hidden="1" x14ac:dyDescent="0.25">
      <c r="B1009" s="852"/>
      <c r="C1009" s="854"/>
      <c r="D1009" s="918" t="s">
        <v>1243</v>
      </c>
      <c r="E1009" s="726"/>
      <c r="F1009" s="730">
        <v>1</v>
      </c>
      <c r="G1009" s="728">
        <v>0.3</v>
      </c>
      <c r="H1009" s="750">
        <v>8.6999999999999993</v>
      </c>
      <c r="I1009" s="730"/>
      <c r="K1009" s="251">
        <f>F1009*G1009*H1009</f>
        <v>2.61</v>
      </c>
      <c r="L1009" s="719"/>
      <c r="M1009" s="719"/>
      <c r="N1009" s="719"/>
    </row>
    <row r="1010" spans="2:14" hidden="1" x14ac:dyDescent="0.25">
      <c r="B1010" s="852"/>
      <c r="C1010" s="854"/>
      <c r="D1010" s="918" t="s">
        <v>1243</v>
      </c>
      <c r="E1010" s="726"/>
      <c r="F1010" s="730">
        <v>1</v>
      </c>
      <c r="G1010" s="728">
        <v>0.3</v>
      </c>
      <c r="H1010" s="750">
        <v>8.6999999999999993</v>
      </c>
      <c r="I1010" s="730"/>
      <c r="K1010" s="251">
        <f>F1010*G1010*H1010</f>
        <v>2.61</v>
      </c>
      <c r="L1010" s="719"/>
      <c r="M1010" s="719"/>
      <c r="N1010" s="719"/>
    </row>
    <row r="1011" spans="2:14" hidden="1" x14ac:dyDescent="0.25">
      <c r="B1011" s="852"/>
      <c r="C1011" s="854"/>
      <c r="D1011" s="918"/>
      <c r="E1011" s="726"/>
      <c r="F1011" s="730"/>
      <c r="G1011" s="801"/>
      <c r="H1011" s="798"/>
      <c r="I1011" s="807"/>
      <c r="K1011" s="251"/>
      <c r="L1011" s="719"/>
      <c r="M1011" s="719"/>
      <c r="N1011" s="719"/>
    </row>
    <row r="1012" spans="2:14" ht="22.5" hidden="1" x14ac:dyDescent="0.25">
      <c r="B1012" s="852" t="s">
        <v>1028</v>
      </c>
      <c r="C1012" s="854">
        <v>88486</v>
      </c>
      <c r="D1012" s="915" t="s">
        <v>1045</v>
      </c>
      <c r="E1012" s="822" t="s">
        <v>17</v>
      </c>
      <c r="F1012" s="730"/>
      <c r="G1012" s="846" t="s">
        <v>1247</v>
      </c>
      <c r="H1012" s="847"/>
      <c r="I1012" s="848"/>
      <c r="K1012" s="250">
        <f>SUM(K1014:K1026)</f>
        <v>88.575800000000015</v>
      </c>
      <c r="L1012" s="719"/>
      <c r="M1012" s="719"/>
      <c r="N1012" s="719"/>
    </row>
    <row r="1013" spans="2:14" ht="22.5" hidden="1" x14ac:dyDescent="0.25">
      <c r="B1013" s="852"/>
      <c r="C1013" s="854"/>
      <c r="D1013" s="915" t="s">
        <v>1231</v>
      </c>
      <c r="E1013" s="822"/>
      <c r="F1013" s="730"/>
      <c r="G1013" s="922" t="s">
        <v>1232</v>
      </c>
      <c r="H1013" s="922" t="s">
        <v>650</v>
      </c>
      <c r="I1013" s="923" t="s">
        <v>1233</v>
      </c>
      <c r="K1013" s="250"/>
      <c r="L1013" s="719"/>
      <c r="M1013" s="719"/>
      <c r="N1013" s="719"/>
    </row>
    <row r="1014" spans="2:14" hidden="1" x14ac:dyDescent="0.25">
      <c r="B1014" s="852"/>
      <c r="C1014" s="854"/>
      <c r="D1014" s="918" t="s">
        <v>1234</v>
      </c>
      <c r="E1014" s="726"/>
      <c r="F1014" s="730">
        <v>1</v>
      </c>
      <c r="G1014" s="728">
        <v>1</v>
      </c>
      <c r="H1014" s="750">
        <v>15.62</v>
      </c>
      <c r="I1014" s="730"/>
      <c r="K1014" s="251">
        <f>F1014*G1014*H1014</f>
        <v>15.62</v>
      </c>
      <c r="L1014" s="719"/>
      <c r="M1014" s="719"/>
      <c r="N1014" s="719"/>
    </row>
    <row r="1015" spans="2:14" hidden="1" x14ac:dyDescent="0.25">
      <c r="B1015" s="852"/>
      <c r="C1015" s="854"/>
      <c r="D1015" s="918" t="s">
        <v>1235</v>
      </c>
      <c r="E1015" s="726"/>
      <c r="F1015" s="730">
        <v>1</v>
      </c>
      <c r="G1015" s="728">
        <f>((G1014*2)+H1014)</f>
        <v>17.619999999999997</v>
      </c>
      <c r="H1015" s="750"/>
      <c r="I1015" s="730">
        <v>0.12</v>
      </c>
      <c r="K1015" s="251">
        <f>G1015*I1015</f>
        <v>2.1143999999999998</v>
      </c>
      <c r="L1015" s="719"/>
      <c r="M1015" s="719"/>
      <c r="N1015" s="719"/>
    </row>
    <row r="1016" spans="2:14" hidden="1" x14ac:dyDescent="0.25">
      <c r="B1016" s="852"/>
      <c r="C1016" s="854"/>
      <c r="D1016" s="918" t="s">
        <v>1236</v>
      </c>
      <c r="E1016" s="726"/>
      <c r="F1016" s="730">
        <v>1</v>
      </c>
      <c r="G1016" s="728">
        <v>1</v>
      </c>
      <c r="H1016" s="750">
        <v>5</v>
      </c>
      <c r="I1016" s="730"/>
      <c r="K1016" s="251">
        <f>F1016*G1016*H1016</f>
        <v>5</v>
      </c>
      <c r="L1016" s="719"/>
      <c r="M1016" s="719"/>
      <c r="N1016" s="719"/>
    </row>
    <row r="1017" spans="2:14" hidden="1" x14ac:dyDescent="0.25">
      <c r="B1017" s="852"/>
      <c r="C1017" s="854"/>
      <c r="D1017" s="918" t="s">
        <v>1237</v>
      </c>
      <c r="E1017" s="726"/>
      <c r="F1017" s="730">
        <v>1</v>
      </c>
      <c r="G1017" s="728">
        <f>((G1016*2)+H1016)</f>
        <v>7</v>
      </c>
      <c r="H1017" s="750"/>
      <c r="I1017" s="730">
        <v>0.12</v>
      </c>
      <c r="K1017" s="251">
        <f>F1017*G1017*I1017</f>
        <v>0.84</v>
      </c>
      <c r="L1017" s="719"/>
      <c r="M1017" s="719"/>
      <c r="N1017" s="719"/>
    </row>
    <row r="1018" spans="2:14" hidden="1" x14ac:dyDescent="0.25">
      <c r="B1018" s="852"/>
      <c r="C1018" s="854"/>
      <c r="D1018" s="918" t="s">
        <v>1238</v>
      </c>
      <c r="E1018" s="726"/>
      <c r="F1018" s="730">
        <v>1</v>
      </c>
      <c r="G1018" s="728">
        <v>1</v>
      </c>
      <c r="H1018" s="750">
        <v>12.76</v>
      </c>
      <c r="I1018" s="730"/>
      <c r="K1018" s="251">
        <f>F1018*G1018*H1018</f>
        <v>12.76</v>
      </c>
      <c r="L1018" s="719"/>
      <c r="M1018" s="719"/>
      <c r="N1018" s="719"/>
    </row>
    <row r="1019" spans="2:14" hidden="1" x14ac:dyDescent="0.25">
      <c r="B1019" s="852"/>
      <c r="C1019" s="854"/>
      <c r="D1019" s="918" t="s">
        <v>1239</v>
      </c>
      <c r="E1019" s="726"/>
      <c r="F1019" s="730">
        <v>1</v>
      </c>
      <c r="G1019" s="728">
        <f>((G1018*2)+H1018)</f>
        <v>14.76</v>
      </c>
      <c r="H1019" s="750"/>
      <c r="I1019" s="730">
        <v>0.12</v>
      </c>
      <c r="K1019" s="251">
        <f>F1019*G1019*I1019</f>
        <v>1.7711999999999999</v>
      </c>
      <c r="L1019" s="719"/>
      <c r="M1019" s="719"/>
      <c r="N1019" s="719"/>
    </row>
    <row r="1020" spans="2:14" hidden="1" x14ac:dyDescent="0.25">
      <c r="B1020" s="852"/>
      <c r="C1020" s="854"/>
      <c r="D1020" s="918" t="s">
        <v>1240</v>
      </c>
      <c r="E1020" s="726"/>
      <c r="F1020" s="730">
        <v>1</v>
      </c>
      <c r="G1020" s="728">
        <v>1</v>
      </c>
      <c r="H1020" s="750">
        <v>8.66</v>
      </c>
      <c r="I1020" s="730"/>
      <c r="K1020" s="251">
        <f>F1020*G1020*H1020</f>
        <v>8.66</v>
      </c>
      <c r="L1020" s="719"/>
      <c r="M1020" s="719"/>
      <c r="N1020" s="719"/>
    </row>
    <row r="1021" spans="2:14" hidden="1" x14ac:dyDescent="0.25">
      <c r="B1021" s="852"/>
      <c r="C1021" s="854"/>
      <c r="D1021" s="918" t="s">
        <v>1241</v>
      </c>
      <c r="E1021" s="726"/>
      <c r="F1021" s="730">
        <v>1</v>
      </c>
      <c r="G1021" s="728">
        <f>((G1020*2)+H1020)</f>
        <v>10.66</v>
      </c>
      <c r="H1021" s="750"/>
      <c r="I1021" s="730">
        <v>0.12</v>
      </c>
      <c r="K1021" s="251">
        <f>F1021*G1021*I1021</f>
        <v>1.2791999999999999</v>
      </c>
      <c r="L1021" s="719"/>
      <c r="M1021" s="719"/>
      <c r="N1021" s="719"/>
    </row>
    <row r="1022" spans="2:14" hidden="1" x14ac:dyDescent="0.25">
      <c r="B1022" s="852"/>
      <c r="C1022" s="854"/>
      <c r="D1022" s="918" t="s">
        <v>1242</v>
      </c>
      <c r="E1022" s="726"/>
      <c r="F1022" s="730">
        <v>1</v>
      </c>
      <c r="G1022" s="728">
        <v>2.5</v>
      </c>
      <c r="H1022" s="750">
        <f>(9.51+0.724+(0.8*3))</f>
        <v>12.634</v>
      </c>
      <c r="I1022" s="730"/>
      <c r="K1022" s="251">
        <f>F1022*G1022*H1022</f>
        <v>31.585000000000001</v>
      </c>
      <c r="L1022" s="719"/>
      <c r="M1022" s="719"/>
      <c r="N1022" s="719"/>
    </row>
    <row r="1023" spans="2:14" hidden="1" x14ac:dyDescent="0.25">
      <c r="B1023" s="852"/>
      <c r="C1023" s="854"/>
      <c r="D1023" s="918" t="s">
        <v>1243</v>
      </c>
      <c r="E1023" s="726"/>
      <c r="F1023" s="730">
        <v>1</v>
      </c>
      <c r="G1023" s="728">
        <v>0.3</v>
      </c>
      <c r="H1023" s="750">
        <v>8.6999999999999993</v>
      </c>
      <c r="I1023" s="730"/>
      <c r="K1023" s="251">
        <f>F1023*G1023*H1023</f>
        <v>2.61</v>
      </c>
      <c r="L1023" s="719"/>
      <c r="M1023" s="719"/>
      <c r="N1023" s="719"/>
    </row>
    <row r="1024" spans="2:14" hidden="1" x14ac:dyDescent="0.25">
      <c r="B1024" s="852"/>
      <c r="C1024" s="854"/>
      <c r="D1024" s="918" t="s">
        <v>1244</v>
      </c>
      <c r="E1024" s="726"/>
      <c r="F1024" s="730">
        <v>1</v>
      </c>
      <c r="G1024" s="728">
        <f>((G1023*2)+H1023)</f>
        <v>9.2999999999999989</v>
      </c>
      <c r="H1024" s="750"/>
      <c r="I1024" s="730">
        <v>0.12</v>
      </c>
      <c r="K1024" s="251">
        <f>F1024*G1024*I1024</f>
        <v>1.1159999999999999</v>
      </c>
      <c r="L1024" s="719"/>
      <c r="M1024" s="719"/>
      <c r="N1024" s="719"/>
    </row>
    <row r="1025" spans="2:14" hidden="1" x14ac:dyDescent="0.25">
      <c r="B1025" s="852"/>
      <c r="C1025" s="854"/>
      <c r="D1025" s="918" t="s">
        <v>1243</v>
      </c>
      <c r="E1025" s="726"/>
      <c r="F1025" s="730">
        <v>1</v>
      </c>
      <c r="G1025" s="728">
        <v>0.3</v>
      </c>
      <c r="H1025" s="750">
        <v>8.6999999999999993</v>
      </c>
      <c r="I1025" s="730"/>
      <c r="K1025" s="251">
        <f>F1025*G1025*H1025</f>
        <v>2.61</v>
      </c>
      <c r="L1025" s="719"/>
      <c r="M1025" s="719"/>
      <c r="N1025" s="719"/>
    </row>
    <row r="1026" spans="2:14" hidden="1" x14ac:dyDescent="0.25">
      <c r="B1026" s="852"/>
      <c r="C1026" s="854"/>
      <c r="D1026" s="918" t="s">
        <v>1243</v>
      </c>
      <c r="E1026" s="726"/>
      <c r="F1026" s="730">
        <v>1</v>
      </c>
      <c r="G1026" s="728">
        <v>0.3</v>
      </c>
      <c r="H1026" s="750">
        <v>8.6999999999999993</v>
      </c>
      <c r="I1026" s="730"/>
      <c r="K1026" s="251">
        <f>F1026*G1026*H1026</f>
        <v>2.61</v>
      </c>
      <c r="L1026" s="719"/>
      <c r="M1026" s="719"/>
      <c r="N1026" s="719"/>
    </row>
  </sheetData>
  <mergeCells count="405"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199:H199"/>
    <mergeCell ref="G200:H200"/>
    <mergeCell ref="G201:H201"/>
    <mergeCell ref="G202:H202"/>
    <mergeCell ref="G20:I20"/>
    <mergeCell ref="G22:I22"/>
    <mergeCell ref="F70:F71"/>
    <mergeCell ref="G70:I71"/>
    <mergeCell ref="G72:I72"/>
    <mergeCell ref="G73:H73"/>
    <mergeCell ref="G195:H195"/>
    <mergeCell ref="G196:H196"/>
    <mergeCell ref="G197:H197"/>
    <mergeCell ref="G198:H198"/>
    <mergeCell ref="G243:H243"/>
    <mergeCell ref="G244:H244"/>
    <mergeCell ref="G245:H245"/>
    <mergeCell ref="G242:I242"/>
    <mergeCell ref="G238:I238"/>
    <mergeCell ref="G239:I239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35:I235"/>
    <mergeCell ref="G236:I236"/>
    <mergeCell ref="G237:I237"/>
    <mergeCell ref="G252:H252"/>
    <mergeCell ref="G253:H253"/>
    <mergeCell ref="G254:H254"/>
    <mergeCell ref="G255:H255"/>
    <mergeCell ref="G256:H256"/>
    <mergeCell ref="G257:H257"/>
    <mergeCell ref="G246:H246"/>
    <mergeCell ref="G247:H247"/>
    <mergeCell ref="G248:H248"/>
    <mergeCell ref="G249:H249"/>
    <mergeCell ref="G250:H250"/>
    <mergeCell ref="G251:H251"/>
    <mergeCell ref="G274:I274"/>
    <mergeCell ref="G275:H275"/>
    <mergeCell ref="G276:H276"/>
    <mergeCell ref="G277:H277"/>
    <mergeCell ref="G278:H278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86:H286"/>
    <mergeCell ref="G287:H287"/>
    <mergeCell ref="G288:H288"/>
    <mergeCell ref="G289:H289"/>
    <mergeCell ref="G290:H290"/>
    <mergeCell ref="G279:H279"/>
    <mergeCell ref="G280:H280"/>
    <mergeCell ref="G281:H281"/>
    <mergeCell ref="G283:I283"/>
    <mergeCell ref="G284:I284"/>
    <mergeCell ref="G297:H297"/>
    <mergeCell ref="G298:H298"/>
    <mergeCell ref="G299:H299"/>
    <mergeCell ref="G300:H300"/>
    <mergeCell ref="G301:H301"/>
    <mergeCell ref="G302:H302"/>
    <mergeCell ref="G291:H291"/>
    <mergeCell ref="G292:H292"/>
    <mergeCell ref="G293:H293"/>
    <mergeCell ref="G294:H294"/>
    <mergeCell ref="G295:H295"/>
    <mergeCell ref="G296:H296"/>
    <mergeCell ref="G316:H316"/>
    <mergeCell ref="G321:I321"/>
    <mergeCell ref="G309:H309"/>
    <mergeCell ref="G313:H313"/>
    <mergeCell ref="G314:H314"/>
    <mergeCell ref="G315:H315"/>
    <mergeCell ref="G310:I310"/>
    <mergeCell ref="G312:I312"/>
    <mergeCell ref="G303:H303"/>
    <mergeCell ref="G304:H304"/>
    <mergeCell ref="G305:H305"/>
    <mergeCell ref="G307:H307"/>
    <mergeCell ref="G308:H308"/>
    <mergeCell ref="G306:H306"/>
    <mergeCell ref="G340:H340"/>
    <mergeCell ref="G344:H344"/>
    <mergeCell ref="G345:H345"/>
    <mergeCell ref="G346:H346"/>
    <mergeCell ref="G322:I322"/>
    <mergeCell ref="G323:I323"/>
    <mergeCell ref="G324:I324"/>
    <mergeCell ref="G317:H317"/>
    <mergeCell ref="G318:H318"/>
    <mergeCell ref="G319:H319"/>
    <mergeCell ref="G320:H320"/>
    <mergeCell ref="G341:H341"/>
    <mergeCell ref="G342:H342"/>
    <mergeCell ref="G343:H343"/>
    <mergeCell ref="G393:I393"/>
    <mergeCell ref="G394:I394"/>
    <mergeCell ref="G395:I395"/>
    <mergeCell ref="G396:I396"/>
    <mergeCell ref="G387:I387"/>
    <mergeCell ref="G388:I388"/>
    <mergeCell ref="G381:I381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72:I372"/>
    <mergeCell ref="G380:I380"/>
    <mergeCell ref="G370:H370"/>
    <mergeCell ref="G369:H369"/>
    <mergeCell ref="G371:I371"/>
    <mergeCell ref="G363:H363"/>
    <mergeCell ref="G364:H364"/>
    <mergeCell ref="G529:I529"/>
    <mergeCell ref="G532:I532"/>
    <mergeCell ref="G477:I477"/>
    <mergeCell ref="G478:I478"/>
    <mergeCell ref="G484:I484"/>
    <mergeCell ref="G487:I487"/>
    <mergeCell ref="G486:I486"/>
    <mergeCell ref="G514:I514"/>
    <mergeCell ref="G515:I515"/>
    <mergeCell ref="G516:I516"/>
    <mergeCell ref="G365:H365"/>
    <mergeCell ref="G366:H366"/>
    <mergeCell ref="G367:H367"/>
    <mergeCell ref="G368:H368"/>
    <mergeCell ref="H415:I415"/>
    <mergeCell ref="H419:I419"/>
    <mergeCell ref="G500:I500"/>
    <mergeCell ref="G510:I510"/>
    <mergeCell ref="G511:I511"/>
    <mergeCell ref="G453:I453"/>
    <mergeCell ref="G455:I455"/>
    <mergeCell ref="G474:I474"/>
    <mergeCell ref="G475:I475"/>
    <mergeCell ref="G452:I452"/>
    <mergeCell ref="G456:I456"/>
    <mergeCell ref="G434:I434"/>
    <mergeCell ref="G440:I440"/>
    <mergeCell ref="G426:I426"/>
    <mergeCell ref="G417:I417"/>
    <mergeCell ref="G418:I418"/>
    <mergeCell ref="G442:H442"/>
    <mergeCell ref="G443:H443"/>
    <mergeCell ref="G444:H444"/>
    <mergeCell ref="G441:I441"/>
    <mergeCell ref="H420:I420"/>
    <mergeCell ref="G565:I565"/>
    <mergeCell ref="G512:I512"/>
    <mergeCell ref="G513:I513"/>
    <mergeCell ref="G489:I489"/>
    <mergeCell ref="G491:I491"/>
    <mergeCell ref="G492:I492"/>
    <mergeCell ref="G494:I494"/>
    <mergeCell ref="G462:I462"/>
    <mergeCell ref="G483:I483"/>
    <mergeCell ref="G485:I485"/>
    <mergeCell ref="G479:I479"/>
    <mergeCell ref="G482:I482"/>
    <mergeCell ref="G427:I427"/>
    <mergeCell ref="G431:I431"/>
    <mergeCell ref="G433:I433"/>
    <mergeCell ref="G457:I457"/>
    <mergeCell ref="G463:I463"/>
    <mergeCell ref="G469:I469"/>
    <mergeCell ref="G473:I473"/>
    <mergeCell ref="G538:I538"/>
    <mergeCell ref="G490:I490"/>
    <mergeCell ref="G493:I493"/>
    <mergeCell ref="G499:I499"/>
    <mergeCell ref="G633:I633"/>
    <mergeCell ref="G630:I630"/>
    <mergeCell ref="G631:I631"/>
    <mergeCell ref="G632:I632"/>
    <mergeCell ref="G637:I637"/>
    <mergeCell ref="G613:I613"/>
    <mergeCell ref="G618:I618"/>
    <mergeCell ref="G619:I619"/>
    <mergeCell ref="G624:I624"/>
    <mergeCell ref="G616:I616"/>
    <mergeCell ref="G620:I620"/>
    <mergeCell ref="G623:I623"/>
    <mergeCell ref="G625:I625"/>
    <mergeCell ref="G896:I896"/>
    <mergeCell ref="G898:I898"/>
    <mergeCell ref="G792:H792"/>
    <mergeCell ref="G793:H793"/>
    <mergeCell ref="G794:H794"/>
    <mergeCell ref="G795:H795"/>
    <mergeCell ref="G736:I736"/>
    <mergeCell ref="G737:I737"/>
    <mergeCell ref="G777:I777"/>
    <mergeCell ref="G778:H778"/>
    <mergeCell ref="G779:H779"/>
    <mergeCell ref="G781:H781"/>
    <mergeCell ref="G782:H782"/>
    <mergeCell ref="G783:H783"/>
    <mergeCell ref="G784:H784"/>
    <mergeCell ref="G785:H785"/>
    <mergeCell ref="G796:H796"/>
    <mergeCell ref="G797:H797"/>
    <mergeCell ref="G798:H798"/>
    <mergeCell ref="G799:H799"/>
    <mergeCell ref="G800:H800"/>
    <mergeCell ref="G801:H801"/>
    <mergeCell ref="G786:H786"/>
    <mergeCell ref="G787:H787"/>
    <mergeCell ref="G17:I17"/>
    <mergeCell ref="G19:I19"/>
    <mergeCell ref="G74:I74"/>
    <mergeCell ref="G174:I174"/>
    <mergeCell ref="G175:I175"/>
    <mergeCell ref="G185:I185"/>
    <mergeCell ref="G186:I186"/>
    <mergeCell ref="G194:H194"/>
    <mergeCell ref="G981:I981"/>
    <mergeCell ref="G955:I955"/>
    <mergeCell ref="G963:I963"/>
    <mergeCell ref="G905:H905"/>
    <mergeCell ref="G906:H906"/>
    <mergeCell ref="G907:H907"/>
    <mergeCell ref="G908:H908"/>
    <mergeCell ref="G909:H909"/>
    <mergeCell ref="G910:H910"/>
    <mergeCell ref="G899:H899"/>
    <mergeCell ref="G900:H900"/>
    <mergeCell ref="G901:H901"/>
    <mergeCell ref="G902:H902"/>
    <mergeCell ref="G903:H903"/>
    <mergeCell ref="G904:H904"/>
    <mergeCell ref="G895:I895"/>
    <mergeCell ref="G203:H203"/>
    <mergeCell ref="G204:H204"/>
    <mergeCell ref="G205:H205"/>
    <mergeCell ref="G206:H206"/>
    <mergeCell ref="G207:H207"/>
    <mergeCell ref="G208:H208"/>
    <mergeCell ref="G225:I225"/>
    <mergeCell ref="G226:I226"/>
    <mergeCell ref="G234:I234"/>
    <mergeCell ref="G219:H219"/>
    <mergeCell ref="G220:H220"/>
    <mergeCell ref="G221:H221"/>
    <mergeCell ref="G222:H222"/>
    <mergeCell ref="G223:H223"/>
    <mergeCell ref="G224:H224"/>
    <mergeCell ref="G258:H258"/>
    <mergeCell ref="G259:H259"/>
    <mergeCell ref="G260:H260"/>
    <mergeCell ref="G261:H261"/>
    <mergeCell ref="G262:H262"/>
    <mergeCell ref="G263:H263"/>
    <mergeCell ref="G412:I412"/>
    <mergeCell ref="H413:I413"/>
    <mergeCell ref="H414:I414"/>
    <mergeCell ref="G397:I397"/>
    <mergeCell ref="G399:I399"/>
    <mergeCell ref="G400:I400"/>
    <mergeCell ref="H401:I401"/>
    <mergeCell ref="H402:I402"/>
    <mergeCell ref="H403:I403"/>
    <mergeCell ref="H404:I404"/>
    <mergeCell ref="H406:I406"/>
    <mergeCell ref="G411:I411"/>
    <mergeCell ref="G347:H347"/>
    <mergeCell ref="G348:H348"/>
    <mergeCell ref="G349:H349"/>
    <mergeCell ref="G350:H350"/>
    <mergeCell ref="G351:H351"/>
    <mergeCell ref="G352:H352"/>
    <mergeCell ref="G566:I566"/>
    <mergeCell ref="G593:I593"/>
    <mergeCell ref="G599:I599"/>
    <mergeCell ref="G600:I600"/>
    <mergeCell ref="G614:I614"/>
    <mergeCell ref="G615:I615"/>
    <mergeCell ref="G517:I517"/>
    <mergeCell ref="G518:I518"/>
    <mergeCell ref="G523:I523"/>
    <mergeCell ref="G524:I524"/>
    <mergeCell ref="G533:I533"/>
    <mergeCell ref="G546:I546"/>
    <mergeCell ref="G587:I587"/>
    <mergeCell ref="G594:I594"/>
    <mergeCell ref="G580:I580"/>
    <mergeCell ref="G581:I581"/>
    <mergeCell ref="G582:I582"/>
    <mergeCell ref="G586:I586"/>
    <mergeCell ref="G569:I569"/>
    <mergeCell ref="G570:I570"/>
    <mergeCell ref="G568:I568"/>
    <mergeCell ref="G559:I559"/>
    <mergeCell ref="G560:I560"/>
    <mergeCell ref="G562:I562"/>
    <mergeCell ref="G638:I638"/>
    <mergeCell ref="G639:I639"/>
    <mergeCell ref="G679:I679"/>
    <mergeCell ref="G685:I685"/>
    <mergeCell ref="G687:I687"/>
    <mergeCell ref="G735:I735"/>
    <mergeCell ref="G694:I694"/>
    <mergeCell ref="G688:I688"/>
    <mergeCell ref="G689:I689"/>
    <mergeCell ref="G788:H788"/>
    <mergeCell ref="G789:H789"/>
    <mergeCell ref="G790:H790"/>
    <mergeCell ref="G791:H791"/>
    <mergeCell ref="G808:H808"/>
    <mergeCell ref="G809:H809"/>
    <mergeCell ref="G810:H810"/>
    <mergeCell ref="G811:H811"/>
    <mergeCell ref="G812:H812"/>
    <mergeCell ref="G813:H813"/>
    <mergeCell ref="G802:H802"/>
    <mergeCell ref="G803:H803"/>
    <mergeCell ref="G804:H804"/>
    <mergeCell ref="G805:H805"/>
    <mergeCell ref="G806:H806"/>
    <mergeCell ref="G807:H807"/>
    <mergeCell ref="G868:I868"/>
    <mergeCell ref="G869:I869"/>
    <mergeCell ref="G877:I877"/>
    <mergeCell ref="G878:I878"/>
    <mergeCell ref="G886:I886"/>
    <mergeCell ref="G887:I887"/>
    <mergeCell ref="G814:H814"/>
    <mergeCell ref="G815:I815"/>
    <mergeCell ref="G855:I855"/>
    <mergeCell ref="G857:I857"/>
    <mergeCell ref="G859:I859"/>
    <mergeCell ref="G860:I860"/>
    <mergeCell ref="G917:H917"/>
    <mergeCell ref="G918:H918"/>
    <mergeCell ref="G919:H919"/>
    <mergeCell ref="G920:H920"/>
    <mergeCell ref="G921:H921"/>
    <mergeCell ref="G922:H922"/>
    <mergeCell ref="G911:H911"/>
    <mergeCell ref="G912:H912"/>
    <mergeCell ref="G913:H913"/>
    <mergeCell ref="G914:H914"/>
    <mergeCell ref="G915:H915"/>
    <mergeCell ref="G916:H916"/>
    <mergeCell ref="G929:H929"/>
    <mergeCell ref="G930:H930"/>
    <mergeCell ref="G931:H931"/>
    <mergeCell ref="G932:H932"/>
    <mergeCell ref="G938:I938"/>
    <mergeCell ref="G942:I942"/>
    <mergeCell ref="G923:H923"/>
    <mergeCell ref="G924:H924"/>
    <mergeCell ref="G925:H925"/>
    <mergeCell ref="G926:H926"/>
    <mergeCell ref="G927:H927"/>
    <mergeCell ref="G928:H928"/>
    <mergeCell ref="G965:I965"/>
    <mergeCell ref="G967:I967"/>
    <mergeCell ref="G996:I996"/>
    <mergeCell ref="G1012:I1012"/>
    <mergeCell ref="G946:I946"/>
    <mergeCell ref="G951:I951"/>
    <mergeCell ref="G953:I953"/>
    <mergeCell ref="G957:I957"/>
    <mergeCell ref="G959:I959"/>
    <mergeCell ref="G961:I961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0DE3-A014-4742-B93F-E9DD2CE1A43D}">
  <sheetPr>
    <pageSetUpPr fitToPage="1"/>
  </sheetPr>
  <dimension ref="A1:U594"/>
  <sheetViews>
    <sheetView topLeftCell="A300" zoomScale="78" zoomScaleNormal="205" workbookViewId="0">
      <selection activeCell="J317" sqref="J317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60" t="s">
        <v>1048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479">
        <f>'BOLETIM DE MEDIÇÃO 10'!P8</f>
        <v>588422.86710544967</v>
      </c>
      <c r="I8" s="480"/>
      <c r="J8" s="481" t="s">
        <v>1006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hidden="1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10'!K14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10'!K15</f>
        <v>2.25</v>
      </c>
      <c r="K15" s="81">
        <f>F15*G15*H15</f>
        <v>2.75</v>
      </c>
      <c r="L15" s="82">
        <f t="shared" ref="L15:L453" si="0">J15+K15</f>
        <v>5</v>
      </c>
      <c r="M15" s="82">
        <f>'BOLETIM DE MEDIÇÃO 05'!G15</f>
        <v>5</v>
      </c>
      <c r="N15" s="86">
        <f t="shared" ref="N15:N453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10'!K16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10'!K17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10'!K19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10'!K21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10'!K24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10'!K25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0.9" customHeight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45" t="s">
        <v>1076</v>
      </c>
      <c r="H108" s="546"/>
      <c r="I108" s="547"/>
      <c r="J108" s="99">
        <f>'BOLETIM DE MEDIÇÃO 10'!R26</f>
        <v>51.695410000000003</v>
      </c>
      <c r="K108" s="81">
        <f>SUM(K110:K187)-13.99</f>
        <v>41.333933999999992</v>
      </c>
      <c r="L108" s="82">
        <f t="shared" si="0"/>
        <v>93.029343999999995</v>
      </c>
      <c r="M108" s="82">
        <f>'BOLETIM DE MEDIÇÃO 10'!G26</f>
        <v>55.32</v>
      </c>
      <c r="N108" s="86">
        <f t="shared" si="1"/>
        <v>-37.709343999999994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656</v>
      </c>
      <c r="E110" s="64"/>
      <c r="F110" s="94"/>
      <c r="G110" s="159">
        <v>4.758</v>
      </c>
      <c r="H110" s="92">
        <v>0.2</v>
      </c>
      <c r="I110" s="105" t="s">
        <v>660</v>
      </c>
      <c r="J110" s="99"/>
      <c r="K110" s="82">
        <v>0.58999199999999996</v>
      </c>
      <c r="L110" s="82"/>
      <c r="M110" s="82"/>
      <c r="N110" s="86"/>
    </row>
    <row r="111" spans="2:14" x14ac:dyDescent="0.25">
      <c r="B111" s="49"/>
      <c r="C111" s="58"/>
      <c r="D111" s="144" t="s">
        <v>657</v>
      </c>
      <c r="E111" s="64"/>
      <c r="F111" s="94"/>
      <c r="G111" s="159">
        <v>3.097</v>
      </c>
      <c r="H111" s="92">
        <v>0.2</v>
      </c>
      <c r="I111" s="105" t="s">
        <v>655</v>
      </c>
      <c r="J111" s="99"/>
      <c r="K111" s="82">
        <v>0.30040899999999998</v>
      </c>
      <c r="L111" s="82"/>
      <c r="M111" s="82"/>
      <c r="N111" s="86"/>
    </row>
    <row r="112" spans="2:14" x14ac:dyDescent="0.25">
      <c r="B112" s="49"/>
      <c r="C112" s="58"/>
      <c r="D112" s="144" t="s">
        <v>658</v>
      </c>
      <c r="E112" s="64"/>
      <c r="F112" s="94"/>
      <c r="G112" s="159">
        <v>3.0470000000000002</v>
      </c>
      <c r="H112" s="92">
        <v>0.2</v>
      </c>
      <c r="I112" s="105" t="s">
        <v>655</v>
      </c>
      <c r="J112" s="99"/>
      <c r="K112" s="82">
        <v>0.29555900000000002</v>
      </c>
      <c r="L112" s="82"/>
      <c r="M112" s="82"/>
      <c r="N112" s="86"/>
    </row>
    <row r="113" spans="2:14" x14ac:dyDescent="0.25">
      <c r="B113" s="49"/>
      <c r="C113" s="58"/>
      <c r="D113" s="144" t="s">
        <v>659</v>
      </c>
      <c r="E113" s="64"/>
      <c r="F113" s="94"/>
      <c r="G113" s="159">
        <v>5.109</v>
      </c>
      <c r="H113" s="92">
        <v>0.2</v>
      </c>
      <c r="I113" s="105" t="s">
        <v>660</v>
      </c>
      <c r="J113" s="99"/>
      <c r="K113" s="82">
        <v>0.49557300000000004</v>
      </c>
      <c r="L113" s="82"/>
      <c r="M113" s="82"/>
      <c r="N113" s="86"/>
    </row>
    <row r="114" spans="2:14" x14ac:dyDescent="0.25">
      <c r="B114" s="49"/>
      <c r="C114" s="58"/>
      <c r="D114" s="144" t="s">
        <v>661</v>
      </c>
      <c r="E114" s="64"/>
      <c r="F114" s="94"/>
      <c r="G114" s="159">
        <v>2.5640000000000001</v>
      </c>
      <c r="H114" s="92">
        <v>0.2</v>
      </c>
      <c r="I114" s="105" t="s">
        <v>664</v>
      </c>
      <c r="J114" s="99"/>
      <c r="K114" s="82">
        <v>0.17948</v>
      </c>
      <c r="L114" s="82"/>
      <c r="M114" s="82"/>
      <c r="N114" s="86"/>
    </row>
    <row r="115" spans="2:14" x14ac:dyDescent="0.25">
      <c r="B115" s="49"/>
      <c r="C115" s="58"/>
      <c r="D115" s="144" t="s">
        <v>662</v>
      </c>
      <c r="E115" s="64"/>
      <c r="F115" s="94"/>
      <c r="G115" s="159">
        <v>1.6779999999999999</v>
      </c>
      <c r="H115" s="92">
        <v>0.2</v>
      </c>
      <c r="I115" s="105" t="s">
        <v>664</v>
      </c>
      <c r="J115" s="99"/>
      <c r="K115" s="82">
        <v>0.11745999999999999</v>
      </c>
      <c r="L115" s="82"/>
      <c r="M115" s="82"/>
      <c r="N115" s="86"/>
    </row>
    <row r="116" spans="2:14" x14ac:dyDescent="0.25">
      <c r="B116" s="49"/>
      <c r="C116" s="58"/>
      <c r="D116" s="144" t="s">
        <v>663</v>
      </c>
      <c r="E116" s="64"/>
      <c r="F116" s="94"/>
      <c r="G116" s="159">
        <v>6.5330000000000004</v>
      </c>
      <c r="H116" s="92">
        <v>0.2</v>
      </c>
      <c r="I116" s="105" t="s">
        <v>665</v>
      </c>
      <c r="J116" s="99"/>
      <c r="K116" s="82">
        <v>0.64676700000000009</v>
      </c>
      <c r="L116" s="82"/>
      <c r="M116" s="82"/>
      <c r="N116" s="86"/>
    </row>
    <row r="117" spans="2:14" x14ac:dyDescent="0.25">
      <c r="B117" s="49"/>
      <c r="C117" s="58"/>
      <c r="D117" s="144" t="s">
        <v>666</v>
      </c>
      <c r="E117" s="64"/>
      <c r="F117" s="94"/>
      <c r="G117" s="104">
        <v>12.68</v>
      </c>
      <c r="H117" s="92">
        <v>0.2</v>
      </c>
      <c r="I117" s="105" t="s">
        <v>668</v>
      </c>
      <c r="J117" s="99"/>
      <c r="K117" s="82">
        <v>1.36944</v>
      </c>
      <c r="L117" s="82"/>
      <c r="M117" s="82"/>
      <c r="N117" s="86"/>
    </row>
    <row r="118" spans="2:14" x14ac:dyDescent="0.25">
      <c r="B118" s="49"/>
      <c r="C118" s="58"/>
      <c r="D118" s="144" t="s">
        <v>667</v>
      </c>
      <c r="E118" s="64"/>
      <c r="F118" s="94"/>
      <c r="G118" s="104">
        <v>1.85</v>
      </c>
      <c r="H118" s="92">
        <v>0.2</v>
      </c>
      <c r="I118" s="105" t="s">
        <v>669</v>
      </c>
      <c r="J118" s="99"/>
      <c r="K118" s="82">
        <v>0.18500000000000003</v>
      </c>
      <c r="L118" s="82"/>
      <c r="M118" s="82"/>
      <c r="N118" s="86"/>
    </row>
    <row r="119" spans="2:14" x14ac:dyDescent="0.25">
      <c r="B119" s="49"/>
      <c r="C119" s="58"/>
      <c r="D119" s="144" t="s">
        <v>671</v>
      </c>
      <c r="E119" s="64"/>
      <c r="F119" s="94"/>
      <c r="G119" s="104">
        <v>9.4600000000000009</v>
      </c>
      <c r="H119" s="92">
        <v>0.2</v>
      </c>
      <c r="I119" s="105" t="s">
        <v>670</v>
      </c>
      <c r="J119" s="99"/>
      <c r="K119" s="82">
        <v>0.97438000000000025</v>
      </c>
      <c r="L119" s="82"/>
      <c r="M119" s="82"/>
      <c r="N119" s="86"/>
    </row>
    <row r="120" spans="2:14" x14ac:dyDescent="0.25">
      <c r="B120" s="49"/>
      <c r="C120" s="58"/>
      <c r="D120" s="144" t="s">
        <v>673</v>
      </c>
      <c r="E120" s="64"/>
      <c r="F120" s="94"/>
      <c r="G120" s="104">
        <v>2.33</v>
      </c>
      <c r="H120" s="92">
        <v>0.2</v>
      </c>
      <c r="I120" s="105" t="s">
        <v>672</v>
      </c>
      <c r="J120" s="99"/>
      <c r="K120" s="82">
        <v>0.25630000000000003</v>
      </c>
      <c r="L120" s="82"/>
      <c r="M120" s="82"/>
      <c r="N120" s="86"/>
    </row>
    <row r="121" spans="2:14" x14ac:dyDescent="0.25">
      <c r="B121" s="49"/>
      <c r="C121" s="58"/>
      <c r="D121" s="144" t="s">
        <v>674</v>
      </c>
      <c r="E121" s="64"/>
      <c r="F121" s="94"/>
      <c r="G121" s="104">
        <v>9.7899999999999991</v>
      </c>
      <c r="H121" s="92">
        <v>0.2</v>
      </c>
      <c r="I121" s="105" t="s">
        <v>675</v>
      </c>
      <c r="J121" s="99"/>
      <c r="K121" s="82">
        <v>1.0475299999999999</v>
      </c>
      <c r="L121" s="82"/>
      <c r="M121" s="82"/>
      <c r="N121" s="86"/>
    </row>
    <row r="122" spans="2:14" x14ac:dyDescent="0.25">
      <c r="B122" s="49"/>
      <c r="C122" s="58"/>
      <c r="D122" s="241" t="s">
        <v>677</v>
      </c>
      <c r="E122" s="242"/>
      <c r="F122" s="94"/>
      <c r="G122" s="244">
        <v>2.38</v>
      </c>
      <c r="H122" s="245">
        <v>0.2</v>
      </c>
      <c r="I122" s="246" t="s">
        <v>660</v>
      </c>
      <c r="J122" s="99"/>
      <c r="K122" s="82">
        <v>0.26179999999999998</v>
      </c>
      <c r="L122" s="82"/>
      <c r="M122" s="82"/>
      <c r="N122" s="86"/>
    </row>
    <row r="123" spans="2:14" x14ac:dyDescent="0.25">
      <c r="B123" s="49"/>
      <c r="C123" s="58"/>
      <c r="D123" s="144" t="s">
        <v>678</v>
      </c>
      <c r="E123" s="64"/>
      <c r="F123" s="94"/>
      <c r="G123" s="104">
        <v>2.65</v>
      </c>
      <c r="H123" s="92">
        <v>0.2</v>
      </c>
      <c r="I123" s="105" t="s">
        <v>660</v>
      </c>
      <c r="J123" s="99"/>
      <c r="K123" s="82">
        <v>0.3286</v>
      </c>
      <c r="L123" s="82"/>
      <c r="M123" s="82"/>
      <c r="N123" s="86"/>
    </row>
    <row r="124" spans="2:14" x14ac:dyDescent="0.25">
      <c r="B124" s="49"/>
      <c r="C124" s="58"/>
      <c r="D124" s="144" t="s">
        <v>1050</v>
      </c>
      <c r="E124" s="64"/>
      <c r="F124" s="94"/>
      <c r="G124" s="104">
        <v>2.38</v>
      </c>
      <c r="H124" s="92">
        <v>0.2</v>
      </c>
      <c r="I124" s="105" t="s">
        <v>660</v>
      </c>
      <c r="J124" s="99"/>
      <c r="K124" s="82">
        <v>0.29511999999999999</v>
      </c>
      <c r="L124" s="82"/>
      <c r="M124" s="82"/>
      <c r="N124" s="86"/>
    </row>
    <row r="125" spans="2:14" x14ac:dyDescent="0.25">
      <c r="B125" s="49"/>
      <c r="C125" s="58"/>
      <c r="D125" s="144" t="s">
        <v>715</v>
      </c>
      <c r="E125" s="64"/>
      <c r="F125" s="94"/>
      <c r="G125" s="104">
        <v>15.175000000000001</v>
      </c>
      <c r="H125" s="92">
        <v>0.2</v>
      </c>
      <c r="I125" s="105" t="s">
        <v>716</v>
      </c>
      <c r="J125" s="99"/>
      <c r="K125" s="82">
        <v>1.107775</v>
      </c>
      <c r="L125" s="82"/>
      <c r="M125" s="82"/>
      <c r="N125" s="86"/>
    </row>
    <row r="126" spans="2:14" x14ac:dyDescent="0.25">
      <c r="B126" s="49"/>
      <c r="C126" s="58"/>
      <c r="D126" s="144" t="s">
        <v>717</v>
      </c>
      <c r="E126" s="64"/>
      <c r="F126" s="94"/>
      <c r="G126" s="104">
        <v>11</v>
      </c>
      <c r="H126" s="92">
        <v>0.2</v>
      </c>
      <c r="I126" s="105" t="s">
        <v>718</v>
      </c>
      <c r="J126" s="99"/>
      <c r="K126" s="82">
        <v>0.44000000000000006</v>
      </c>
      <c r="L126" s="82"/>
      <c r="M126" s="82"/>
      <c r="N126" s="86"/>
    </row>
    <row r="127" spans="2:14" x14ac:dyDescent="0.25">
      <c r="B127" s="49"/>
      <c r="C127" s="58"/>
      <c r="D127" s="144" t="s">
        <v>719</v>
      </c>
      <c r="E127" s="64"/>
      <c r="F127" s="94"/>
      <c r="G127" s="104">
        <v>1.9</v>
      </c>
      <c r="H127" s="92">
        <v>0.2</v>
      </c>
      <c r="I127" s="105" t="s">
        <v>718</v>
      </c>
      <c r="J127" s="99"/>
      <c r="K127" s="82">
        <v>7.6000000000000012E-2</v>
      </c>
      <c r="L127" s="82"/>
      <c r="M127" s="82"/>
      <c r="N127" s="86"/>
    </row>
    <row r="128" spans="2:14" x14ac:dyDescent="0.25">
      <c r="B128" s="49"/>
      <c r="C128" s="58"/>
      <c r="D128" s="144" t="s">
        <v>720</v>
      </c>
      <c r="E128" s="64"/>
      <c r="F128" s="94"/>
      <c r="G128" s="104">
        <v>6.38</v>
      </c>
      <c r="H128" s="92">
        <v>0.2</v>
      </c>
      <c r="I128" s="105" t="s">
        <v>721</v>
      </c>
      <c r="J128" s="99"/>
      <c r="K128" s="82">
        <v>0.31262000000000001</v>
      </c>
      <c r="L128" s="82"/>
      <c r="M128" s="82"/>
      <c r="N128" s="86"/>
    </row>
    <row r="129" spans="2:14" x14ac:dyDescent="0.25">
      <c r="B129" s="49"/>
      <c r="C129" s="58"/>
      <c r="D129" s="144" t="s">
        <v>722</v>
      </c>
      <c r="E129" s="64"/>
      <c r="F129" s="94"/>
      <c r="G129" s="104">
        <v>8.31</v>
      </c>
      <c r="H129" s="92">
        <v>0.2</v>
      </c>
      <c r="I129" s="105" t="s">
        <v>723</v>
      </c>
      <c r="J129" s="99"/>
      <c r="K129" s="82">
        <v>0.52353000000000005</v>
      </c>
      <c r="L129" s="82"/>
      <c r="M129" s="82"/>
      <c r="N129" s="86"/>
    </row>
    <row r="130" spans="2:14" x14ac:dyDescent="0.25">
      <c r="B130" s="49"/>
      <c r="C130" s="58"/>
      <c r="D130" s="144" t="s">
        <v>796</v>
      </c>
      <c r="E130" s="64"/>
      <c r="F130" s="94"/>
      <c r="G130" s="104">
        <v>24.074999999999999</v>
      </c>
      <c r="H130" s="92">
        <v>0.2</v>
      </c>
      <c r="I130" s="105" t="s">
        <v>797</v>
      </c>
      <c r="J130" s="99"/>
      <c r="K130" s="82">
        <v>1.9260000000000002</v>
      </c>
      <c r="L130" s="82"/>
      <c r="M130" s="82"/>
      <c r="N130" s="86"/>
    </row>
    <row r="131" spans="2:14" x14ac:dyDescent="0.25">
      <c r="B131" s="49"/>
      <c r="C131" s="58"/>
      <c r="D131" s="144" t="s">
        <v>724</v>
      </c>
      <c r="E131" s="64"/>
      <c r="F131" s="94"/>
      <c r="G131" s="104">
        <v>5.31</v>
      </c>
      <c r="H131" s="92">
        <v>0.2</v>
      </c>
      <c r="I131" s="105" t="s">
        <v>725</v>
      </c>
      <c r="J131" s="99"/>
      <c r="K131" s="82">
        <v>0.41417999999999999</v>
      </c>
      <c r="L131" s="82"/>
      <c r="M131" s="82"/>
      <c r="N131" s="86"/>
    </row>
    <row r="132" spans="2:14" x14ac:dyDescent="0.25">
      <c r="B132" s="49"/>
      <c r="C132" s="58"/>
      <c r="D132" s="144" t="s">
        <v>726</v>
      </c>
      <c r="E132" s="64"/>
      <c r="F132" s="94"/>
      <c r="G132" s="104">
        <v>5.47</v>
      </c>
      <c r="H132" s="92">
        <v>0.2</v>
      </c>
      <c r="I132" s="105" t="s">
        <v>727</v>
      </c>
      <c r="J132" s="99"/>
      <c r="K132" s="82">
        <v>0.33914</v>
      </c>
      <c r="L132" s="82"/>
      <c r="M132" s="82"/>
      <c r="N132" s="86"/>
    </row>
    <row r="133" spans="2:14" x14ac:dyDescent="0.25">
      <c r="B133" s="49"/>
      <c r="C133" s="58"/>
      <c r="D133" s="144" t="s">
        <v>816</v>
      </c>
      <c r="E133" s="64"/>
      <c r="F133" s="94"/>
      <c r="G133" s="104">
        <v>13.42</v>
      </c>
      <c r="H133" s="92">
        <v>0.2</v>
      </c>
      <c r="I133" s="105" t="s">
        <v>865</v>
      </c>
      <c r="J133" s="99"/>
      <c r="K133" s="82">
        <v>1.3151600000000001</v>
      </c>
      <c r="L133" s="82"/>
      <c r="M133" s="82"/>
      <c r="N133" s="86"/>
    </row>
    <row r="134" spans="2:14" x14ac:dyDescent="0.25">
      <c r="B134" s="49"/>
      <c r="C134" s="58"/>
      <c r="D134" s="144" t="s">
        <v>728</v>
      </c>
      <c r="E134" s="64"/>
      <c r="F134" s="94"/>
      <c r="G134" s="104">
        <v>5.31</v>
      </c>
      <c r="H134" s="92">
        <v>0.2</v>
      </c>
      <c r="I134" s="105" t="s">
        <v>729</v>
      </c>
      <c r="J134" s="99"/>
      <c r="K134" s="82">
        <v>0.41417999999999999</v>
      </c>
      <c r="L134" s="82"/>
      <c r="M134" s="82"/>
      <c r="N134" s="86"/>
    </row>
    <row r="135" spans="2:14" x14ac:dyDescent="0.25">
      <c r="B135" s="49"/>
      <c r="C135" s="58"/>
      <c r="D135" s="144" t="s">
        <v>730</v>
      </c>
      <c r="E135" s="64"/>
      <c r="F135" s="94"/>
      <c r="G135" s="104">
        <v>5.31</v>
      </c>
      <c r="H135" s="92">
        <v>0.2</v>
      </c>
      <c r="I135" s="105" t="s">
        <v>866</v>
      </c>
      <c r="J135" s="99"/>
      <c r="K135" s="82">
        <v>0.56816999999999984</v>
      </c>
      <c r="L135" s="82"/>
      <c r="M135" s="82"/>
      <c r="N135" s="86"/>
    </row>
    <row r="136" spans="2:14" x14ac:dyDescent="0.25">
      <c r="B136" s="49"/>
      <c r="C136" s="58"/>
      <c r="D136" s="144" t="s">
        <v>731</v>
      </c>
      <c r="E136" s="64"/>
      <c r="F136" s="94"/>
      <c r="G136" s="104">
        <v>19.97</v>
      </c>
      <c r="H136" s="92">
        <v>0.2</v>
      </c>
      <c r="I136" s="105" t="s">
        <v>830</v>
      </c>
      <c r="J136" s="99"/>
      <c r="K136" s="82">
        <v>2.2366400000000004</v>
      </c>
      <c r="L136" s="82"/>
      <c r="M136" s="82"/>
      <c r="N136" s="86"/>
    </row>
    <row r="137" spans="2:14" x14ac:dyDescent="0.25">
      <c r="B137" s="49"/>
      <c r="C137" s="58"/>
      <c r="D137" s="144" t="s">
        <v>732</v>
      </c>
      <c r="E137" s="64"/>
      <c r="F137" s="94"/>
      <c r="G137" s="104">
        <v>7.83</v>
      </c>
      <c r="H137" s="92">
        <v>0.2</v>
      </c>
      <c r="I137" s="105" t="s">
        <v>733</v>
      </c>
      <c r="J137" s="99"/>
      <c r="K137" s="82">
        <v>0.87696000000000007</v>
      </c>
      <c r="L137" s="82"/>
      <c r="M137" s="82"/>
      <c r="N137" s="86"/>
    </row>
    <row r="138" spans="2:14" x14ac:dyDescent="0.25">
      <c r="B138" s="49"/>
      <c r="C138" s="58"/>
      <c r="D138" s="144" t="s">
        <v>735</v>
      </c>
      <c r="E138" s="64"/>
      <c r="F138" s="94"/>
      <c r="G138" s="104">
        <v>2.5350000000000001</v>
      </c>
      <c r="H138" s="92">
        <v>0.2</v>
      </c>
      <c r="I138" s="105" t="s">
        <v>734</v>
      </c>
      <c r="J138" s="99"/>
      <c r="K138" s="82">
        <v>0.30927000000000004</v>
      </c>
      <c r="L138" s="82"/>
      <c r="M138" s="82"/>
      <c r="N138" s="86"/>
    </row>
    <row r="139" spans="2:14" x14ac:dyDescent="0.25">
      <c r="B139" s="49"/>
      <c r="C139" s="58"/>
      <c r="D139" s="144" t="s">
        <v>736</v>
      </c>
      <c r="E139" s="64"/>
      <c r="F139" s="94"/>
      <c r="G139" s="104">
        <v>6.39</v>
      </c>
      <c r="H139" s="92">
        <v>0.2</v>
      </c>
      <c r="I139" s="105" t="s">
        <v>737</v>
      </c>
      <c r="J139" s="99"/>
      <c r="K139" s="82">
        <v>0.60065999999999997</v>
      </c>
      <c r="L139" s="82"/>
      <c r="M139" s="82"/>
      <c r="N139" s="86"/>
    </row>
    <row r="140" spans="2:14" x14ac:dyDescent="0.25">
      <c r="B140" s="49"/>
      <c r="C140" s="58"/>
      <c r="D140" s="144" t="s">
        <v>738</v>
      </c>
      <c r="E140" s="64"/>
      <c r="F140" s="94"/>
      <c r="G140" s="104">
        <v>4.0049999999999999</v>
      </c>
      <c r="H140" s="92">
        <v>0.2</v>
      </c>
      <c r="I140" s="105" t="s">
        <v>739</v>
      </c>
      <c r="J140" s="99"/>
      <c r="K140" s="82">
        <v>0.39249000000000001</v>
      </c>
      <c r="L140" s="82"/>
      <c r="M140" s="82"/>
      <c r="N140" s="86"/>
    </row>
    <row r="141" spans="2:14" x14ac:dyDescent="0.25">
      <c r="B141" s="49"/>
      <c r="C141" s="58"/>
      <c r="D141" s="144" t="s">
        <v>817</v>
      </c>
      <c r="E141" s="64"/>
      <c r="F141" s="94"/>
      <c r="G141" s="104">
        <v>2.2000000000000002</v>
      </c>
      <c r="H141" s="92">
        <v>0.2</v>
      </c>
      <c r="I141" s="105" t="s">
        <v>740</v>
      </c>
      <c r="J141" s="99"/>
      <c r="K141" s="82">
        <v>0.24200000000000005</v>
      </c>
      <c r="L141" s="82"/>
      <c r="M141" s="82"/>
      <c r="N141" s="86"/>
    </row>
    <row r="142" spans="2:14" x14ac:dyDescent="0.25">
      <c r="B142" s="49"/>
      <c r="C142" s="58"/>
      <c r="D142" s="144" t="s">
        <v>741</v>
      </c>
      <c r="E142" s="64"/>
      <c r="F142" s="94"/>
      <c r="G142" s="104">
        <v>7.75</v>
      </c>
      <c r="H142" s="92">
        <v>0.2</v>
      </c>
      <c r="I142" s="105" t="s">
        <v>742</v>
      </c>
      <c r="J142" s="99"/>
      <c r="K142" s="82">
        <v>0.80600000000000005</v>
      </c>
      <c r="L142" s="82"/>
      <c r="M142" s="82"/>
      <c r="N142" s="86"/>
    </row>
    <row r="143" spans="2:14" x14ac:dyDescent="0.25">
      <c r="B143" s="49"/>
      <c r="C143" s="58"/>
      <c r="D143" s="144" t="s">
        <v>743</v>
      </c>
      <c r="E143" s="64"/>
      <c r="F143" s="94"/>
      <c r="G143" s="104">
        <v>3.01</v>
      </c>
      <c r="H143" s="92">
        <v>0.2</v>
      </c>
      <c r="I143" s="105" t="s">
        <v>744</v>
      </c>
      <c r="J143" s="99"/>
      <c r="K143" s="82">
        <v>0.18059999999999998</v>
      </c>
      <c r="L143" s="82"/>
      <c r="M143" s="82"/>
      <c r="N143" s="86"/>
    </row>
    <row r="144" spans="2:14" x14ac:dyDescent="0.25">
      <c r="B144" s="49"/>
      <c r="C144" s="58"/>
      <c r="D144" s="144" t="s">
        <v>745</v>
      </c>
      <c r="E144" s="64"/>
      <c r="F144" s="94"/>
      <c r="G144" s="104">
        <v>3.01</v>
      </c>
      <c r="H144" s="92">
        <v>0.2</v>
      </c>
      <c r="I144" s="105" t="s">
        <v>746</v>
      </c>
      <c r="J144" s="99"/>
      <c r="K144" s="82">
        <v>0.22875999999999999</v>
      </c>
      <c r="L144" s="82"/>
      <c r="M144" s="82"/>
      <c r="N144" s="86"/>
    </row>
    <row r="145" spans="2:14" x14ac:dyDescent="0.25">
      <c r="B145" s="49"/>
      <c r="C145" s="58"/>
      <c r="D145" s="144" t="s">
        <v>800</v>
      </c>
      <c r="E145" s="64"/>
      <c r="F145" s="94"/>
      <c r="G145" s="104">
        <v>22.225000000000001</v>
      </c>
      <c r="H145" s="92">
        <v>0.2</v>
      </c>
      <c r="I145" s="105" t="s">
        <v>801</v>
      </c>
      <c r="J145" s="99"/>
      <c r="K145" s="82">
        <v>1.4001750000000002</v>
      </c>
      <c r="L145" s="82"/>
      <c r="M145" s="82"/>
      <c r="N145" s="86"/>
    </row>
    <row r="146" spans="2:14" x14ac:dyDescent="0.25">
      <c r="B146" s="49"/>
      <c r="C146" s="58"/>
      <c r="D146" s="144" t="s">
        <v>747</v>
      </c>
      <c r="E146" s="64"/>
      <c r="F146" s="94"/>
      <c r="G146" s="104">
        <v>5.2949999999999999</v>
      </c>
      <c r="H146" s="92">
        <v>0.2</v>
      </c>
      <c r="I146" s="105" t="s">
        <v>748</v>
      </c>
      <c r="J146" s="99"/>
      <c r="K146" s="82">
        <v>0.33888000000000001</v>
      </c>
      <c r="L146" s="82"/>
      <c r="M146" s="82"/>
      <c r="N146" s="86"/>
    </row>
    <row r="147" spans="2:14" x14ac:dyDescent="0.25">
      <c r="B147" s="49"/>
      <c r="C147" s="58"/>
      <c r="D147" s="144" t="s">
        <v>810</v>
      </c>
      <c r="E147" s="64"/>
      <c r="F147" s="94"/>
      <c r="G147" s="104">
        <v>16.48</v>
      </c>
      <c r="H147" s="92">
        <v>0.2</v>
      </c>
      <c r="I147" s="105" t="s">
        <v>811</v>
      </c>
      <c r="J147" s="99"/>
      <c r="K147" s="82">
        <v>1.1865600000000001</v>
      </c>
      <c r="L147" s="82"/>
      <c r="M147" s="82"/>
      <c r="N147" s="86"/>
    </row>
    <row r="148" spans="2:14" x14ac:dyDescent="0.25">
      <c r="B148" s="49"/>
      <c r="C148" s="58"/>
      <c r="D148" s="144" t="s">
        <v>749</v>
      </c>
      <c r="E148" s="64"/>
      <c r="F148" s="94"/>
      <c r="G148" s="104">
        <v>5.47</v>
      </c>
      <c r="H148" s="92">
        <v>0.2</v>
      </c>
      <c r="I148" s="105" t="s">
        <v>750</v>
      </c>
      <c r="J148" s="99"/>
      <c r="K148" s="82">
        <v>0.40477999999999997</v>
      </c>
      <c r="L148" s="82"/>
      <c r="M148" s="82"/>
      <c r="N148" s="86"/>
    </row>
    <row r="149" spans="2:14" x14ac:dyDescent="0.25">
      <c r="B149" s="49"/>
      <c r="C149" s="58"/>
      <c r="D149" s="144" t="s">
        <v>751</v>
      </c>
      <c r="E149" s="64"/>
      <c r="F149" s="94"/>
      <c r="G149" s="104">
        <v>2.69</v>
      </c>
      <c r="H149" s="92">
        <v>0.2</v>
      </c>
      <c r="I149" s="105" t="s">
        <v>753</v>
      </c>
      <c r="J149" s="99"/>
      <c r="K149" s="82">
        <v>0.17484999999999998</v>
      </c>
      <c r="L149" s="82"/>
      <c r="M149" s="82"/>
      <c r="N149" s="86"/>
    </row>
    <row r="150" spans="2:14" x14ac:dyDescent="0.25">
      <c r="B150" s="49"/>
      <c r="C150" s="58"/>
      <c r="D150" s="144" t="s">
        <v>752</v>
      </c>
      <c r="E150" s="64"/>
      <c r="F150" s="94"/>
      <c r="G150" s="104">
        <v>2.69</v>
      </c>
      <c r="H150" s="92">
        <v>0.2</v>
      </c>
      <c r="I150" s="105" t="s">
        <v>754</v>
      </c>
      <c r="J150" s="99"/>
      <c r="K150" s="82">
        <v>0.1883</v>
      </c>
      <c r="L150" s="82"/>
      <c r="M150" s="82"/>
      <c r="N150" s="86"/>
    </row>
    <row r="151" spans="2:14" x14ac:dyDescent="0.25">
      <c r="B151" s="49"/>
      <c r="C151" s="58"/>
      <c r="D151" s="144" t="s">
        <v>786</v>
      </c>
      <c r="E151" s="64"/>
      <c r="F151" s="94"/>
      <c r="G151" s="104">
        <v>8.85</v>
      </c>
      <c r="H151" s="92">
        <v>0.2</v>
      </c>
      <c r="I151" s="105" t="s">
        <v>787</v>
      </c>
      <c r="J151" s="99"/>
      <c r="K151" s="82">
        <v>1.0796999999999999</v>
      </c>
      <c r="L151" s="82"/>
      <c r="M151" s="82"/>
      <c r="N151" s="86"/>
    </row>
    <row r="152" spans="2:14" x14ac:dyDescent="0.25">
      <c r="B152" s="49"/>
      <c r="C152" s="58"/>
      <c r="D152" s="144" t="s">
        <v>788</v>
      </c>
      <c r="E152" s="64"/>
      <c r="F152" s="94"/>
      <c r="G152" s="104">
        <v>4.9000000000000004</v>
      </c>
      <c r="H152" s="92">
        <v>0.2</v>
      </c>
      <c r="I152" s="105" t="s">
        <v>789</v>
      </c>
      <c r="J152" s="99"/>
      <c r="K152" s="82">
        <v>0.62230000000000008</v>
      </c>
      <c r="L152" s="82"/>
      <c r="M152" s="82"/>
      <c r="N152" s="86"/>
    </row>
    <row r="153" spans="2:14" x14ac:dyDescent="0.25">
      <c r="B153" s="49"/>
      <c r="C153" s="58"/>
      <c r="D153" s="144" t="s">
        <v>790</v>
      </c>
      <c r="E153" s="64"/>
      <c r="F153" s="94"/>
      <c r="G153" s="104">
        <v>7.21</v>
      </c>
      <c r="H153" s="92">
        <v>0.2</v>
      </c>
      <c r="I153" s="105" t="s">
        <v>791</v>
      </c>
      <c r="J153" s="99"/>
      <c r="K153" s="82">
        <v>0.82194000000000011</v>
      </c>
      <c r="L153" s="82"/>
      <c r="M153" s="82"/>
      <c r="N153" s="86"/>
    </row>
    <row r="154" spans="2:14" x14ac:dyDescent="0.25">
      <c r="B154" s="49"/>
      <c r="C154" s="58"/>
      <c r="D154" s="144" t="s">
        <v>792</v>
      </c>
      <c r="E154" s="64"/>
      <c r="F154" s="94"/>
      <c r="G154" s="104">
        <v>8.85</v>
      </c>
      <c r="H154" s="92">
        <v>0.2</v>
      </c>
      <c r="I154" s="105" t="s">
        <v>793</v>
      </c>
      <c r="J154" s="99"/>
      <c r="K154" s="82">
        <v>1.0885499999999999</v>
      </c>
      <c r="L154" s="82"/>
      <c r="M154" s="82"/>
      <c r="N154" s="86"/>
    </row>
    <row r="155" spans="2:14" x14ac:dyDescent="0.25">
      <c r="B155" s="49"/>
      <c r="C155" s="58"/>
      <c r="D155" s="144" t="s">
        <v>794</v>
      </c>
      <c r="E155" s="64"/>
      <c r="F155" s="94"/>
      <c r="G155" s="104">
        <v>2.46</v>
      </c>
      <c r="H155" s="92">
        <v>0.2</v>
      </c>
      <c r="I155" s="105" t="s">
        <v>795</v>
      </c>
      <c r="J155" s="99"/>
      <c r="K155" s="82">
        <v>0.27798</v>
      </c>
      <c r="L155" s="82"/>
      <c r="M155" s="82"/>
      <c r="N155" s="86"/>
    </row>
    <row r="156" spans="2:14" x14ac:dyDescent="0.25">
      <c r="B156" s="49"/>
      <c r="C156" s="58"/>
      <c r="D156" s="144" t="s">
        <v>802</v>
      </c>
      <c r="E156" s="64"/>
      <c r="F156" s="94"/>
      <c r="G156" s="104">
        <v>3.16</v>
      </c>
      <c r="H156" s="92">
        <v>0.2</v>
      </c>
      <c r="I156" s="105" t="s">
        <v>804</v>
      </c>
      <c r="J156" s="99"/>
      <c r="K156" s="82">
        <v>0.34128000000000003</v>
      </c>
      <c r="L156" s="82"/>
      <c r="M156" s="82"/>
      <c r="N156" s="86"/>
    </row>
    <row r="157" spans="2:14" x14ac:dyDescent="0.25">
      <c r="B157" s="49"/>
      <c r="C157" s="58"/>
      <c r="D157" s="144" t="s">
        <v>798</v>
      </c>
      <c r="E157" s="64"/>
      <c r="F157" s="94"/>
      <c r="G157" s="104">
        <v>5.7</v>
      </c>
      <c r="H157" s="92">
        <v>0.2</v>
      </c>
      <c r="I157" s="105" t="s">
        <v>799</v>
      </c>
      <c r="J157" s="99"/>
      <c r="K157" s="82">
        <v>0.60420000000000007</v>
      </c>
      <c r="L157" s="82"/>
      <c r="M157" s="82"/>
      <c r="N157" s="86"/>
    </row>
    <row r="158" spans="2:14" x14ac:dyDescent="0.25">
      <c r="B158" s="49"/>
      <c r="C158" s="58"/>
      <c r="D158" s="144" t="s">
        <v>803</v>
      </c>
      <c r="E158" s="64"/>
      <c r="F158" s="94"/>
      <c r="G158" s="104">
        <v>7.6849999999999996</v>
      </c>
      <c r="H158" s="92">
        <v>0.2</v>
      </c>
      <c r="I158" s="105" t="s">
        <v>805</v>
      </c>
      <c r="J158" s="99"/>
      <c r="K158" s="82">
        <v>0.73775999999999997</v>
      </c>
      <c r="L158" s="82"/>
      <c r="M158" s="82"/>
      <c r="N158" s="86"/>
    </row>
    <row r="159" spans="2:14" x14ac:dyDescent="0.25">
      <c r="B159" s="49"/>
      <c r="C159" s="58"/>
      <c r="D159" s="144" t="s">
        <v>806</v>
      </c>
      <c r="E159" s="64"/>
      <c r="F159" s="94"/>
      <c r="G159" s="104">
        <v>1.8</v>
      </c>
      <c r="H159" s="92">
        <v>0.2</v>
      </c>
      <c r="I159" s="105" t="s">
        <v>807</v>
      </c>
      <c r="J159" s="99"/>
      <c r="K159" s="82">
        <v>0.1512</v>
      </c>
      <c r="L159" s="82"/>
      <c r="M159" s="82"/>
      <c r="N159" s="86"/>
    </row>
    <row r="160" spans="2:14" x14ac:dyDescent="0.25">
      <c r="B160" s="49"/>
      <c r="C160" s="58"/>
      <c r="D160" s="144" t="s">
        <v>808</v>
      </c>
      <c r="E160" s="64"/>
      <c r="F160" s="94"/>
      <c r="G160" s="104">
        <v>8.3000000000000007</v>
      </c>
      <c r="H160" s="92">
        <v>0.2</v>
      </c>
      <c r="I160" s="105" t="s">
        <v>809</v>
      </c>
      <c r="J160" s="99"/>
      <c r="K160" s="82">
        <v>0.62250000000000005</v>
      </c>
      <c r="L160" s="82"/>
      <c r="M160" s="82"/>
      <c r="N160" s="86"/>
    </row>
    <row r="161" spans="2:14" x14ac:dyDescent="0.25">
      <c r="B161" s="49"/>
      <c r="C161" s="58"/>
      <c r="D161" s="144" t="s">
        <v>812</v>
      </c>
      <c r="E161" s="64"/>
      <c r="F161" s="94"/>
      <c r="G161" s="104">
        <v>3.65</v>
      </c>
      <c r="H161" s="92">
        <v>0.2</v>
      </c>
      <c r="I161" s="105" t="s">
        <v>813</v>
      </c>
      <c r="J161" s="99"/>
      <c r="K161" s="82">
        <v>0.2409</v>
      </c>
      <c r="L161" s="82"/>
      <c r="M161" s="82"/>
      <c r="N161" s="86"/>
    </row>
    <row r="162" spans="2:14" x14ac:dyDescent="0.25">
      <c r="B162" s="49"/>
      <c r="C162" s="58"/>
      <c r="D162" s="144" t="s">
        <v>820</v>
      </c>
      <c r="E162" s="64"/>
      <c r="F162" s="94"/>
      <c r="G162" s="104">
        <v>2.0950000000000002</v>
      </c>
      <c r="H162" s="92">
        <v>0.2</v>
      </c>
      <c r="I162" s="105" t="s">
        <v>821</v>
      </c>
      <c r="J162" s="99"/>
      <c r="K162" s="82">
        <v>0.15712500000000001</v>
      </c>
      <c r="L162" s="82"/>
      <c r="M162" s="82"/>
      <c r="N162" s="86"/>
    </row>
    <row r="163" spans="2:14" x14ac:dyDescent="0.25">
      <c r="B163" s="49"/>
      <c r="C163" s="58"/>
      <c r="D163" s="144" t="s">
        <v>814</v>
      </c>
      <c r="E163" s="64"/>
      <c r="F163" s="94"/>
      <c r="G163" s="104">
        <v>4.3899999999999997</v>
      </c>
      <c r="H163" s="92">
        <v>0.2</v>
      </c>
      <c r="I163" s="105" t="s">
        <v>815</v>
      </c>
      <c r="J163" s="99"/>
      <c r="K163" s="82">
        <v>0.41704999999999998</v>
      </c>
      <c r="L163" s="82"/>
      <c r="M163" s="82"/>
      <c r="N163" s="86"/>
    </row>
    <row r="164" spans="2:14" x14ac:dyDescent="0.25">
      <c r="B164" s="49"/>
      <c r="C164" s="58"/>
      <c r="D164" s="144" t="s">
        <v>818</v>
      </c>
      <c r="E164" s="64"/>
      <c r="F164" s="94"/>
      <c r="G164" s="104">
        <v>2.95</v>
      </c>
      <c r="H164" s="92">
        <v>0.2</v>
      </c>
      <c r="I164" s="105" t="s">
        <v>819</v>
      </c>
      <c r="J164" s="99"/>
      <c r="K164" s="82">
        <v>0.19174999999999998</v>
      </c>
      <c r="L164" s="82"/>
      <c r="M164" s="82"/>
      <c r="N164" s="86"/>
    </row>
    <row r="165" spans="2:14" x14ac:dyDescent="0.25">
      <c r="B165" s="49"/>
      <c r="C165" s="58"/>
      <c r="D165" s="144" t="s">
        <v>822</v>
      </c>
      <c r="E165" s="64"/>
      <c r="F165" s="94"/>
      <c r="G165" s="104">
        <v>2.95</v>
      </c>
      <c r="H165" s="92">
        <v>0.2</v>
      </c>
      <c r="I165" s="105" t="s">
        <v>823</v>
      </c>
      <c r="J165" s="99"/>
      <c r="K165" s="82">
        <v>0.21240000000000003</v>
      </c>
      <c r="L165" s="82"/>
      <c r="M165" s="82"/>
      <c r="N165" s="86"/>
    </row>
    <row r="166" spans="2:14" x14ac:dyDescent="0.25">
      <c r="B166" s="49"/>
      <c r="C166" s="58"/>
      <c r="D166" s="144" t="s">
        <v>824</v>
      </c>
      <c r="E166" s="64"/>
      <c r="F166" s="94"/>
      <c r="G166" s="104">
        <v>2.0950000000000002</v>
      </c>
      <c r="H166" s="92">
        <v>0.2</v>
      </c>
      <c r="I166" s="105" t="s">
        <v>825</v>
      </c>
      <c r="J166" s="99"/>
      <c r="K166" s="82">
        <v>0.12989000000000003</v>
      </c>
      <c r="L166" s="82"/>
      <c r="M166" s="82"/>
      <c r="N166" s="86"/>
    </row>
    <row r="167" spans="2:14" x14ac:dyDescent="0.25">
      <c r="B167" s="49"/>
      <c r="C167" s="58"/>
      <c r="D167" s="144" t="s">
        <v>826</v>
      </c>
      <c r="E167" s="64"/>
      <c r="F167" s="94"/>
      <c r="G167" s="104">
        <v>6.9</v>
      </c>
      <c r="H167" s="92">
        <v>0.2</v>
      </c>
      <c r="I167" s="105" t="s">
        <v>827</v>
      </c>
      <c r="J167" s="99"/>
      <c r="K167" s="82">
        <v>0.67620000000000013</v>
      </c>
      <c r="L167" s="82"/>
      <c r="M167" s="82"/>
      <c r="N167" s="86"/>
    </row>
    <row r="168" spans="2:14" x14ac:dyDescent="0.25">
      <c r="B168" s="49"/>
      <c r="C168" s="58"/>
      <c r="D168" s="144" t="s">
        <v>828</v>
      </c>
      <c r="E168" s="64"/>
      <c r="F168" s="94"/>
      <c r="G168" s="104">
        <v>5.83</v>
      </c>
      <c r="H168" s="92">
        <v>0.2</v>
      </c>
      <c r="I168" s="105" t="s">
        <v>829</v>
      </c>
      <c r="J168" s="99"/>
      <c r="K168" s="82">
        <v>0.39643999999999996</v>
      </c>
      <c r="L168" s="82"/>
      <c r="M168" s="82"/>
      <c r="N168" s="86"/>
    </row>
    <row r="169" spans="2:14" ht="22.5" x14ac:dyDescent="0.25">
      <c r="B169" s="49"/>
      <c r="C169" s="58"/>
      <c r="D169" s="153" t="s">
        <v>1051</v>
      </c>
      <c r="E169" s="64"/>
      <c r="F169" s="94"/>
      <c r="G169" s="99"/>
      <c r="H169" s="92"/>
      <c r="I169" s="105"/>
      <c r="J169" s="99"/>
      <c r="K169" s="82"/>
      <c r="L169" s="82"/>
      <c r="M169" s="82"/>
      <c r="N169" s="86"/>
    </row>
    <row r="170" spans="2:14" ht="33.75" x14ac:dyDescent="0.25">
      <c r="B170" s="49"/>
      <c r="C170" s="58"/>
      <c r="D170" s="144" t="s">
        <v>1052</v>
      </c>
      <c r="E170" s="64"/>
      <c r="F170" s="94"/>
      <c r="G170" s="99">
        <v>0.92700000000000005</v>
      </c>
      <c r="H170" s="92">
        <v>0.2</v>
      </c>
      <c r="I170" s="105" t="s">
        <v>1063</v>
      </c>
      <c r="J170" s="99"/>
      <c r="K170" s="82">
        <v>7.6013999999999998E-2</v>
      </c>
      <c r="L170" s="82"/>
      <c r="M170" s="82"/>
      <c r="N170" s="86"/>
    </row>
    <row r="171" spans="2:14" ht="33.75" x14ac:dyDescent="0.25">
      <c r="B171" s="49"/>
      <c r="C171" s="58"/>
      <c r="D171" s="144" t="s">
        <v>1053</v>
      </c>
      <c r="E171" s="64"/>
      <c r="F171" s="94"/>
      <c r="G171" s="99">
        <v>0.8</v>
      </c>
      <c r="H171" s="92">
        <v>0.2</v>
      </c>
      <c r="I171" s="105" t="s">
        <v>1064</v>
      </c>
      <c r="J171" s="99"/>
      <c r="K171" s="82">
        <v>0.21997500000000003</v>
      </c>
      <c r="L171" s="82"/>
      <c r="M171" s="82"/>
      <c r="N171" s="86"/>
    </row>
    <row r="172" spans="2:14" x14ac:dyDescent="0.25">
      <c r="B172" s="49"/>
      <c r="C172" s="58"/>
      <c r="D172" s="144" t="s">
        <v>1054</v>
      </c>
      <c r="E172" s="64"/>
      <c r="F172" s="94"/>
      <c r="G172" s="99">
        <f>(1.7+0.15+1.855)</f>
        <v>3.7050000000000001</v>
      </c>
      <c r="H172" s="92">
        <v>0.2</v>
      </c>
      <c r="I172" s="105" t="s">
        <v>1065</v>
      </c>
      <c r="J172" s="99"/>
      <c r="K172" s="82">
        <v>0.80730000000000013</v>
      </c>
      <c r="L172" s="82"/>
      <c r="M172" s="82"/>
      <c r="N172" s="86"/>
    </row>
    <row r="173" spans="2:14" x14ac:dyDescent="0.25">
      <c r="B173" s="49"/>
      <c r="C173" s="58"/>
      <c r="D173" s="144" t="s">
        <v>1055</v>
      </c>
      <c r="E173" s="64"/>
      <c r="F173" s="94"/>
      <c r="G173" s="99">
        <v>2.7</v>
      </c>
      <c r="H173" s="92">
        <v>0.2</v>
      </c>
      <c r="I173" s="105" t="s">
        <v>1066</v>
      </c>
      <c r="J173" s="99"/>
      <c r="K173" s="82">
        <v>0.32065000000000005</v>
      </c>
      <c r="L173" s="82"/>
      <c r="M173" s="82"/>
      <c r="N173" s="86"/>
    </row>
    <row r="174" spans="2:14" ht="22.5" x14ac:dyDescent="0.25">
      <c r="B174" s="49"/>
      <c r="C174" s="58"/>
      <c r="D174" s="144" t="s">
        <v>1056</v>
      </c>
      <c r="E174" s="64"/>
      <c r="F174" s="94"/>
      <c r="G174" s="99"/>
      <c r="H174" s="92"/>
      <c r="I174" s="105"/>
      <c r="J174" s="99"/>
      <c r="K174" s="82"/>
      <c r="L174" s="82"/>
      <c r="M174" s="82"/>
      <c r="N174" s="86"/>
    </row>
    <row r="175" spans="2:14" x14ac:dyDescent="0.25">
      <c r="B175" s="49"/>
      <c r="C175" s="58"/>
      <c r="D175" s="144"/>
      <c r="E175" s="64"/>
      <c r="F175" s="94"/>
      <c r="G175" s="99"/>
      <c r="H175" s="92"/>
      <c r="I175" s="105"/>
      <c r="J175" s="99"/>
      <c r="K175" s="82"/>
      <c r="L175" s="82"/>
      <c r="M175" s="82"/>
      <c r="N175" s="86"/>
    </row>
    <row r="176" spans="2:14" ht="23.25" x14ac:dyDescent="0.25">
      <c r="B176" s="49"/>
      <c r="C176" s="58"/>
      <c r="D176" s="423" t="s">
        <v>1057</v>
      </c>
      <c r="E176" s="239"/>
      <c r="F176" s="94"/>
      <c r="G176" s="426" t="s">
        <v>833</v>
      </c>
      <c r="H176" s="276" t="s">
        <v>834</v>
      </c>
      <c r="I176" s="427" t="s">
        <v>835</v>
      </c>
      <c r="J176" s="99"/>
      <c r="K176" s="239"/>
      <c r="L176" s="82"/>
      <c r="M176" s="82"/>
      <c r="N176" s="86"/>
    </row>
    <row r="177" spans="2:14" ht="22.5" x14ac:dyDescent="0.25">
      <c r="B177" s="49"/>
      <c r="C177" s="58"/>
      <c r="D177" s="424" t="s">
        <v>879</v>
      </c>
      <c r="E177" s="239"/>
      <c r="F177" s="94"/>
      <c r="G177" s="428">
        <v>12.5</v>
      </c>
      <c r="H177" s="245">
        <v>0.1</v>
      </c>
      <c r="I177" s="429">
        <v>0.36</v>
      </c>
      <c r="J177" s="99"/>
      <c r="K177" s="245">
        <v>1.0250000000000001</v>
      </c>
      <c r="L177" s="82"/>
      <c r="M177" s="82"/>
      <c r="N177" s="86"/>
    </row>
    <row r="178" spans="2:14" ht="22.5" x14ac:dyDescent="0.25">
      <c r="B178" s="49"/>
      <c r="C178" s="58"/>
      <c r="D178" s="424" t="s">
        <v>876</v>
      </c>
      <c r="E178" s="239"/>
      <c r="F178" s="94"/>
      <c r="G178" s="428">
        <v>11.67</v>
      </c>
      <c r="H178" s="245">
        <v>0.36</v>
      </c>
      <c r="I178" s="429">
        <v>0.53</v>
      </c>
      <c r="J178" s="99"/>
      <c r="K178" s="245">
        <v>1.6571400000000001</v>
      </c>
      <c r="L178" s="82"/>
      <c r="M178" s="82"/>
      <c r="N178" s="86"/>
    </row>
    <row r="179" spans="2:14" ht="33.75" x14ac:dyDescent="0.25">
      <c r="B179" s="49"/>
      <c r="C179" s="58"/>
      <c r="D179" s="424" t="s">
        <v>880</v>
      </c>
      <c r="E179" s="239"/>
      <c r="F179" s="94"/>
      <c r="G179" s="428">
        <v>27.1</v>
      </c>
      <c r="H179" s="245">
        <v>0.53</v>
      </c>
      <c r="I179" s="429">
        <v>0.74</v>
      </c>
      <c r="J179" s="99"/>
      <c r="K179" s="245">
        <v>5.4470999999999998</v>
      </c>
      <c r="L179" s="82"/>
      <c r="M179" s="82"/>
      <c r="N179" s="86"/>
    </row>
    <row r="180" spans="2:14" ht="33.75" x14ac:dyDescent="0.25">
      <c r="B180" s="49"/>
      <c r="C180" s="58"/>
      <c r="D180" s="424" t="s">
        <v>881</v>
      </c>
      <c r="E180" s="239"/>
      <c r="F180" s="94"/>
      <c r="G180" s="428">
        <v>33.9</v>
      </c>
      <c r="H180" s="245">
        <v>0.74</v>
      </c>
      <c r="I180" s="429">
        <v>0.61</v>
      </c>
      <c r="J180" s="99"/>
      <c r="K180" s="245">
        <v>6.644400000000001</v>
      </c>
      <c r="L180" s="82"/>
      <c r="M180" s="82"/>
      <c r="N180" s="86"/>
    </row>
    <row r="181" spans="2:14" ht="22.5" x14ac:dyDescent="0.25">
      <c r="B181" s="49"/>
      <c r="C181" s="58"/>
      <c r="D181" s="424" t="s">
        <v>882</v>
      </c>
      <c r="E181" s="239"/>
      <c r="F181" s="94"/>
      <c r="G181" s="428">
        <v>12.4</v>
      </c>
      <c r="H181" s="245">
        <v>0.61</v>
      </c>
      <c r="I181" s="429">
        <v>0.38</v>
      </c>
      <c r="J181" s="99"/>
      <c r="K181" s="245">
        <v>1.6988000000000003</v>
      </c>
      <c r="L181" s="82"/>
      <c r="M181" s="82"/>
      <c r="N181" s="86"/>
    </row>
    <row r="182" spans="2:14" ht="33.75" x14ac:dyDescent="0.25">
      <c r="B182" s="49"/>
      <c r="C182" s="58"/>
      <c r="D182" s="423" t="s">
        <v>1058</v>
      </c>
      <c r="E182" s="239"/>
      <c r="F182" s="94"/>
      <c r="G182" s="430" t="s">
        <v>1067</v>
      </c>
      <c r="H182" s="431" t="s">
        <v>1068</v>
      </c>
      <c r="I182" s="429" t="s">
        <v>649</v>
      </c>
      <c r="J182" s="99"/>
      <c r="K182" s="245"/>
      <c r="L182" s="82"/>
      <c r="M182" s="82"/>
      <c r="N182" s="86"/>
    </row>
    <row r="183" spans="2:14" x14ac:dyDescent="0.25">
      <c r="B183" s="49"/>
      <c r="C183" s="58"/>
      <c r="D183" s="425" t="s">
        <v>1059</v>
      </c>
      <c r="E183" s="239"/>
      <c r="F183" s="94"/>
      <c r="G183" s="428">
        <f>(11.1+9.1+13.6+1.9+16.3+22.8+5.1+6.3+5.4+2.45+5.4+10.9)</f>
        <v>110.35000000000001</v>
      </c>
      <c r="H183" s="245">
        <v>0.15</v>
      </c>
      <c r="I183" s="429">
        <v>0.2</v>
      </c>
      <c r="J183" s="99"/>
      <c r="K183" s="245">
        <v>3.3105000000000007</v>
      </c>
      <c r="L183" s="82"/>
      <c r="M183" s="82"/>
      <c r="N183" s="86"/>
    </row>
    <row r="184" spans="2:14" ht="33.75" x14ac:dyDescent="0.25">
      <c r="B184" s="49"/>
      <c r="C184" s="58"/>
      <c r="D184" s="423" t="s">
        <v>1060</v>
      </c>
      <c r="E184" s="239"/>
      <c r="F184" s="94"/>
      <c r="G184" s="430" t="s">
        <v>1067</v>
      </c>
      <c r="H184" s="431" t="s">
        <v>1068</v>
      </c>
      <c r="I184" s="429" t="s">
        <v>649</v>
      </c>
      <c r="J184" s="99"/>
      <c r="K184" s="245"/>
      <c r="L184" s="82"/>
      <c r="M184" s="82"/>
      <c r="N184" s="86"/>
    </row>
    <row r="185" spans="2:14" x14ac:dyDescent="0.25">
      <c r="B185" s="49"/>
      <c r="C185" s="58"/>
      <c r="D185" s="425"/>
      <c r="E185" s="239"/>
      <c r="F185" s="94"/>
      <c r="G185" s="428">
        <f>(6.8+3.6)</f>
        <v>10.4</v>
      </c>
      <c r="H185" s="245">
        <v>0.15</v>
      </c>
      <c r="I185" s="429">
        <v>0.2</v>
      </c>
      <c r="J185" s="99"/>
      <c r="K185" s="245">
        <v>0.31200000000000006</v>
      </c>
      <c r="L185" s="82"/>
      <c r="M185" s="82"/>
      <c r="N185" s="86"/>
    </row>
    <row r="186" spans="2:14" ht="33.75" x14ac:dyDescent="0.25">
      <c r="B186" s="49"/>
      <c r="C186" s="58"/>
      <c r="D186" s="423" t="s">
        <v>1061</v>
      </c>
      <c r="E186" s="239"/>
      <c r="F186" s="94"/>
      <c r="G186" s="430" t="s">
        <v>1067</v>
      </c>
      <c r="H186" s="431" t="s">
        <v>1068</v>
      </c>
      <c r="I186" s="429" t="s">
        <v>649</v>
      </c>
      <c r="J186" s="99"/>
      <c r="K186" s="245"/>
      <c r="L186" s="82"/>
      <c r="M186" s="82"/>
      <c r="N186" s="86"/>
    </row>
    <row r="187" spans="2:14" x14ac:dyDescent="0.25">
      <c r="B187" s="49"/>
      <c r="C187" s="58"/>
      <c r="D187" s="425" t="s">
        <v>1062</v>
      </c>
      <c r="E187" s="239"/>
      <c r="F187" s="94"/>
      <c r="G187" s="428">
        <f>(3.55*2)+(5.06*2)</f>
        <v>17.22</v>
      </c>
      <c r="H187" s="245">
        <v>0.2</v>
      </c>
      <c r="I187" s="429">
        <v>0.2</v>
      </c>
      <c r="J187" s="99"/>
      <c r="K187" s="245">
        <v>0.68880000000000008</v>
      </c>
      <c r="L187" s="82"/>
      <c r="M187" s="82"/>
      <c r="N187" s="86"/>
    </row>
    <row r="188" spans="2:14" x14ac:dyDescent="0.25">
      <c r="B188" s="49"/>
      <c r="C188" s="58"/>
      <c r="D188" s="144"/>
      <c r="E188" s="64"/>
      <c r="F188" s="94"/>
      <c r="G188" s="104"/>
      <c r="H188" s="92"/>
      <c r="I188" s="105"/>
      <c r="J188" s="99"/>
      <c r="K188" s="82"/>
      <c r="L188" s="82"/>
      <c r="M188" s="82"/>
      <c r="N188" s="86"/>
    </row>
    <row r="189" spans="2:14" ht="22.5" hidden="1" x14ac:dyDescent="0.25">
      <c r="B189" s="49" t="s">
        <v>53</v>
      </c>
      <c r="C189" s="57">
        <v>101616</v>
      </c>
      <c r="D189" s="52" t="s">
        <v>55</v>
      </c>
      <c r="E189" s="64" t="s">
        <v>17</v>
      </c>
      <c r="F189" s="94"/>
      <c r="G189" s="104"/>
      <c r="H189" s="92">
        <v>0.2</v>
      </c>
      <c r="I189" s="105"/>
      <c r="J189" s="99">
        <f>'BOLETIM DE MEDIÇÃO 05'!O27-'MEMORIAL DE CALCULO 10'!K189</f>
        <v>27.17</v>
      </c>
      <c r="K189" s="81">
        <f>SUM(K191:K197)</f>
        <v>10.64</v>
      </c>
      <c r="L189" s="82">
        <f t="shared" si="0"/>
        <v>37.81</v>
      </c>
      <c r="M189" s="82">
        <f>'BOLETIM DE MEDIÇÃO 05'!G27</f>
        <v>37.81</v>
      </c>
      <c r="N189" s="86">
        <f t="shared" si="1"/>
        <v>0</v>
      </c>
    </row>
    <row r="190" spans="2:14" hidden="1" x14ac:dyDescent="0.25">
      <c r="B190" s="49"/>
      <c r="C190" s="57"/>
      <c r="D190" s="152" t="s">
        <v>588</v>
      </c>
      <c r="E190" s="64"/>
      <c r="F190" s="94"/>
      <c r="G190" s="104"/>
      <c r="H190" s="92">
        <v>0.2</v>
      </c>
      <c r="I190" s="105"/>
      <c r="J190" s="99"/>
      <c r="K190" s="81"/>
      <c r="L190" s="82"/>
      <c r="M190" s="82"/>
      <c r="N190" s="86"/>
    </row>
    <row r="191" spans="2:14" ht="33.75" hidden="1" x14ac:dyDescent="0.25">
      <c r="B191" s="49"/>
      <c r="C191" s="57"/>
      <c r="D191" s="144" t="s">
        <v>569</v>
      </c>
      <c r="E191" s="64"/>
      <c r="F191" s="94">
        <v>32</v>
      </c>
      <c r="G191" s="104">
        <v>0.6</v>
      </c>
      <c r="H191" s="92">
        <v>0.2</v>
      </c>
      <c r="I191" s="156"/>
      <c r="J191" s="99"/>
      <c r="K191" s="82">
        <f>F191*(G191*H191)</f>
        <v>3.84</v>
      </c>
      <c r="L191" s="82"/>
      <c r="M191" s="82"/>
      <c r="N191" s="86"/>
    </row>
    <row r="192" spans="2:14" ht="45" hidden="1" x14ac:dyDescent="0.25">
      <c r="B192" s="49"/>
      <c r="C192" s="57"/>
      <c r="D192" s="144" t="s">
        <v>570</v>
      </c>
      <c r="E192" s="64"/>
      <c r="F192" s="94">
        <v>40</v>
      </c>
      <c r="G192" s="104">
        <v>0.6</v>
      </c>
      <c r="H192" s="92">
        <v>0.2</v>
      </c>
      <c r="I192" s="156"/>
      <c r="J192" s="99"/>
      <c r="K192" s="82">
        <f t="shared" ref="K192:K197" si="6">F192*(G192*H192)</f>
        <v>4.8</v>
      </c>
      <c r="L192" s="82"/>
      <c r="M192" s="82"/>
      <c r="N192" s="86"/>
    </row>
    <row r="193" spans="2:14" hidden="1" x14ac:dyDescent="0.25">
      <c r="B193" s="49"/>
      <c r="C193" s="57"/>
      <c r="D193" s="144" t="s">
        <v>571</v>
      </c>
      <c r="E193" s="64"/>
      <c r="F193" s="94">
        <v>1</v>
      </c>
      <c r="G193" s="104">
        <v>0.6</v>
      </c>
      <c r="H193" s="92">
        <v>0.2</v>
      </c>
      <c r="I193" s="156"/>
      <c r="J193" s="99"/>
      <c r="K193" s="82">
        <f t="shared" si="6"/>
        <v>0.12</v>
      </c>
      <c r="L193" s="82"/>
      <c r="M193" s="82"/>
      <c r="N193" s="86"/>
    </row>
    <row r="194" spans="2:14" hidden="1" x14ac:dyDescent="0.25">
      <c r="B194" s="49"/>
      <c r="C194" s="57"/>
      <c r="D194" s="144" t="s">
        <v>572</v>
      </c>
      <c r="E194" s="64"/>
      <c r="F194" s="94">
        <v>2</v>
      </c>
      <c r="G194" s="104">
        <v>0.9</v>
      </c>
      <c r="H194" s="92">
        <v>0.2</v>
      </c>
      <c r="I194" s="156"/>
      <c r="J194" s="99"/>
      <c r="K194" s="82">
        <f t="shared" si="6"/>
        <v>0.36000000000000004</v>
      </c>
      <c r="L194" s="82"/>
      <c r="M194" s="82"/>
      <c r="N194" s="86"/>
    </row>
    <row r="195" spans="2:14" hidden="1" x14ac:dyDescent="0.25">
      <c r="B195" s="49"/>
      <c r="C195" s="57"/>
      <c r="D195" s="144" t="s">
        <v>573</v>
      </c>
      <c r="E195" s="64"/>
      <c r="F195" s="94">
        <v>7</v>
      </c>
      <c r="G195" s="104">
        <v>0.65</v>
      </c>
      <c r="H195" s="92">
        <v>0.2</v>
      </c>
      <c r="I195" s="156"/>
      <c r="J195" s="99"/>
      <c r="K195" s="82">
        <f t="shared" si="6"/>
        <v>0.91</v>
      </c>
      <c r="L195" s="82"/>
      <c r="M195" s="82"/>
      <c r="N195" s="86"/>
    </row>
    <row r="196" spans="2:14" hidden="1" x14ac:dyDescent="0.25">
      <c r="B196" s="49"/>
      <c r="C196" s="57"/>
      <c r="D196" s="144" t="s">
        <v>574</v>
      </c>
      <c r="E196" s="64"/>
      <c r="F196" s="94">
        <v>3</v>
      </c>
      <c r="G196" s="104">
        <v>0.65</v>
      </c>
      <c r="H196" s="92">
        <v>0.2</v>
      </c>
      <c r="I196" s="156"/>
      <c r="J196" s="99"/>
      <c r="K196" s="82">
        <f t="shared" si="6"/>
        <v>0.39</v>
      </c>
      <c r="L196" s="82"/>
      <c r="M196" s="82"/>
      <c r="N196" s="86"/>
    </row>
    <row r="197" spans="2:14" hidden="1" x14ac:dyDescent="0.25">
      <c r="B197" s="49"/>
      <c r="C197" s="57"/>
      <c r="D197" s="144" t="s">
        <v>575</v>
      </c>
      <c r="E197" s="64"/>
      <c r="F197" s="94">
        <v>2</v>
      </c>
      <c r="G197" s="104">
        <v>0.55000000000000004</v>
      </c>
      <c r="H197" s="92">
        <v>0.2</v>
      </c>
      <c r="I197" s="156"/>
      <c r="J197" s="99"/>
      <c r="K197" s="82">
        <f t="shared" si="6"/>
        <v>0.22000000000000003</v>
      </c>
      <c r="L197" s="82"/>
      <c r="M197" s="82"/>
      <c r="N197" s="86"/>
    </row>
    <row r="198" spans="2:14" ht="33.75" hidden="1" x14ac:dyDescent="0.25">
      <c r="B198" s="49" t="s">
        <v>56</v>
      </c>
      <c r="C198" s="57">
        <v>96619</v>
      </c>
      <c r="D198" s="61" t="s">
        <v>58</v>
      </c>
      <c r="E198" s="64" t="s">
        <v>17</v>
      </c>
      <c r="F198" s="94"/>
      <c r="G198" s="104"/>
      <c r="H198" s="92">
        <v>0.2</v>
      </c>
      <c r="I198" s="105"/>
      <c r="J198" s="99">
        <f>'BOLETIM DE MEDIÇÃO 05'!O28-'MEMORIAL DE CALCULO 10'!K198</f>
        <v>27.17</v>
      </c>
      <c r="K198" s="81">
        <f>SUM(K200:K206)</f>
        <v>10.64</v>
      </c>
      <c r="L198" s="82">
        <f t="shared" si="0"/>
        <v>37.81</v>
      </c>
      <c r="M198" s="82">
        <f>'BOLETIM DE MEDIÇÃO 05'!G28</f>
        <v>77.41</v>
      </c>
      <c r="N198" s="86">
        <f t="shared" si="1"/>
        <v>39.599999999999994</v>
      </c>
    </row>
    <row r="199" spans="2:14" hidden="1" x14ac:dyDescent="0.25">
      <c r="B199" s="49"/>
      <c r="C199" s="57"/>
      <c r="D199" s="152" t="s">
        <v>588</v>
      </c>
      <c r="E199" s="64"/>
      <c r="F199" s="94"/>
      <c r="G199" s="104"/>
      <c r="H199" s="92">
        <v>0.2</v>
      </c>
      <c r="I199" s="105"/>
      <c r="J199" s="99"/>
      <c r="K199" s="81"/>
      <c r="L199" s="82"/>
      <c r="M199" s="82"/>
      <c r="N199" s="86"/>
    </row>
    <row r="200" spans="2:14" ht="33.75" hidden="1" x14ac:dyDescent="0.25">
      <c r="B200" s="49"/>
      <c r="C200" s="57"/>
      <c r="D200" s="144" t="s">
        <v>569</v>
      </c>
      <c r="E200" s="64"/>
      <c r="F200" s="94">
        <v>32</v>
      </c>
      <c r="G200" s="104">
        <v>0.6</v>
      </c>
      <c r="H200" s="92">
        <v>0.2</v>
      </c>
      <c r="I200" s="105"/>
      <c r="J200" s="99"/>
      <c r="K200" s="82">
        <f>F200*(G200*H200)</f>
        <v>3.84</v>
      </c>
      <c r="L200" s="82"/>
      <c r="M200" s="82"/>
      <c r="N200" s="86"/>
    </row>
    <row r="201" spans="2:14" ht="45" hidden="1" x14ac:dyDescent="0.25">
      <c r="B201" s="49"/>
      <c r="C201" s="57"/>
      <c r="D201" s="144" t="s">
        <v>570</v>
      </c>
      <c r="E201" s="64"/>
      <c r="F201" s="94">
        <v>40</v>
      </c>
      <c r="G201" s="104">
        <v>0.6</v>
      </c>
      <c r="H201" s="92">
        <v>0.2</v>
      </c>
      <c r="I201" s="105"/>
      <c r="J201" s="99"/>
      <c r="K201" s="82">
        <f t="shared" ref="K201:K206" si="7">F201*(G201*H201)</f>
        <v>4.8</v>
      </c>
      <c r="L201" s="82"/>
      <c r="M201" s="82"/>
      <c r="N201" s="86"/>
    </row>
    <row r="202" spans="2:14" hidden="1" x14ac:dyDescent="0.25">
      <c r="B202" s="49"/>
      <c r="C202" s="57"/>
      <c r="D202" s="144" t="s">
        <v>571</v>
      </c>
      <c r="E202" s="64"/>
      <c r="F202" s="94">
        <v>1</v>
      </c>
      <c r="G202" s="104">
        <v>0.6</v>
      </c>
      <c r="H202" s="92">
        <v>0.2</v>
      </c>
      <c r="I202" s="105"/>
      <c r="J202" s="99"/>
      <c r="K202" s="82">
        <f t="shared" si="7"/>
        <v>0.12</v>
      </c>
      <c r="L202" s="82"/>
      <c r="M202" s="82"/>
      <c r="N202" s="86"/>
    </row>
    <row r="203" spans="2:14" hidden="1" x14ac:dyDescent="0.25">
      <c r="B203" s="49"/>
      <c r="C203" s="57"/>
      <c r="D203" s="144" t="s">
        <v>572</v>
      </c>
      <c r="E203" s="64"/>
      <c r="F203" s="94">
        <v>2</v>
      </c>
      <c r="G203" s="104">
        <v>0.9</v>
      </c>
      <c r="H203" s="92">
        <v>0.2</v>
      </c>
      <c r="I203" s="105"/>
      <c r="J203" s="99"/>
      <c r="K203" s="82">
        <f t="shared" si="7"/>
        <v>0.36000000000000004</v>
      </c>
      <c r="L203" s="82"/>
      <c r="M203" s="82"/>
      <c r="N203" s="86"/>
    </row>
    <row r="204" spans="2:14" hidden="1" x14ac:dyDescent="0.25">
      <c r="B204" s="49"/>
      <c r="C204" s="57"/>
      <c r="D204" s="144" t="s">
        <v>573</v>
      </c>
      <c r="E204" s="64"/>
      <c r="F204" s="94">
        <v>7</v>
      </c>
      <c r="G204" s="104">
        <v>0.65</v>
      </c>
      <c r="H204" s="92">
        <v>0.2</v>
      </c>
      <c r="I204" s="105"/>
      <c r="J204" s="99"/>
      <c r="K204" s="82">
        <f t="shared" si="7"/>
        <v>0.91</v>
      </c>
      <c r="L204" s="82"/>
      <c r="M204" s="82"/>
      <c r="N204" s="86"/>
    </row>
    <row r="205" spans="2:14" hidden="1" x14ac:dyDescent="0.25">
      <c r="B205" s="49"/>
      <c r="C205" s="57"/>
      <c r="D205" s="144" t="s">
        <v>574</v>
      </c>
      <c r="E205" s="64"/>
      <c r="F205" s="94">
        <v>3</v>
      </c>
      <c r="G205" s="104">
        <v>0.65</v>
      </c>
      <c r="H205" s="92">
        <v>0.2</v>
      </c>
      <c r="I205" s="105"/>
      <c r="J205" s="99"/>
      <c r="K205" s="82">
        <f t="shared" si="7"/>
        <v>0.39</v>
      </c>
      <c r="L205" s="82"/>
      <c r="M205" s="82"/>
      <c r="N205" s="86"/>
    </row>
    <row r="206" spans="2:14" hidden="1" x14ac:dyDescent="0.25">
      <c r="B206" s="49"/>
      <c r="C206" s="57"/>
      <c r="D206" s="144" t="s">
        <v>575</v>
      </c>
      <c r="E206" s="64"/>
      <c r="F206" s="94">
        <v>2</v>
      </c>
      <c r="G206" s="104">
        <v>0.55000000000000004</v>
      </c>
      <c r="H206" s="92">
        <v>0.2</v>
      </c>
      <c r="I206" s="105"/>
      <c r="J206" s="99"/>
      <c r="K206" s="82">
        <f t="shared" si="7"/>
        <v>0.22000000000000003</v>
      </c>
      <c r="L206" s="82"/>
      <c r="M206" s="82"/>
      <c r="N206" s="86"/>
    </row>
    <row r="207" spans="2:14" s="167" customFormat="1" ht="22.5" x14ac:dyDescent="0.25">
      <c r="B207" s="49" t="s">
        <v>59</v>
      </c>
      <c r="C207" s="57">
        <v>96545</v>
      </c>
      <c r="D207" s="52" t="s">
        <v>61</v>
      </c>
      <c r="E207" s="64" t="s">
        <v>62</v>
      </c>
      <c r="F207" s="94"/>
      <c r="G207" s="545" t="s">
        <v>1077</v>
      </c>
      <c r="H207" s="546"/>
      <c r="I207" s="547"/>
      <c r="J207" s="99">
        <v>537.29999999999995</v>
      </c>
      <c r="K207" s="81">
        <f>SUM(K210:K214)</f>
        <v>17.746560000000002</v>
      </c>
      <c r="L207" s="82">
        <f>J207+K207</f>
        <v>555.04656</v>
      </c>
      <c r="M207" s="82">
        <f>'BOLETIM DE MEDIÇÃO 10'!G29</f>
        <v>555.04999999999995</v>
      </c>
      <c r="N207" s="86">
        <f>M207-L207</f>
        <v>3.4399999999550346E-3</v>
      </c>
    </row>
    <row r="208" spans="2:14" s="167" customFormat="1" x14ac:dyDescent="0.25">
      <c r="B208" s="49"/>
      <c r="C208" s="57"/>
      <c r="D208" s="152" t="s">
        <v>1069</v>
      </c>
      <c r="E208" s="64"/>
      <c r="F208" s="94">
        <v>1</v>
      </c>
      <c r="G208" s="486">
        <v>537.29999999999995</v>
      </c>
      <c r="H208" s="489"/>
      <c r="I208" s="490"/>
      <c r="J208" s="82"/>
      <c r="K208" s="82">
        <f>F208*G208</f>
        <v>537.29999999999995</v>
      </c>
      <c r="L208" s="82"/>
      <c r="M208" s="82"/>
      <c r="N208" s="86"/>
    </row>
    <row r="209" spans="2:14" ht="22.5" x14ac:dyDescent="0.25">
      <c r="B209" s="49"/>
      <c r="C209" s="57"/>
      <c r="D209" s="432" t="s">
        <v>1070</v>
      </c>
      <c r="E209" s="64"/>
      <c r="F209" s="94">
        <v>1</v>
      </c>
      <c r="G209" s="157" t="s">
        <v>1071</v>
      </c>
      <c r="H209" s="172" t="s">
        <v>1072</v>
      </c>
      <c r="I209" s="155" t="s">
        <v>611</v>
      </c>
      <c r="J209" s="186"/>
      <c r="K209" s="186"/>
      <c r="L209" s="82"/>
      <c r="M209" s="82"/>
      <c r="N209" s="86"/>
    </row>
    <row r="210" spans="2:14" ht="33.75" x14ac:dyDescent="0.25">
      <c r="B210" s="49"/>
      <c r="C210" s="57"/>
      <c r="D210" s="144" t="s">
        <v>1052</v>
      </c>
      <c r="E210" s="64"/>
      <c r="F210" s="105">
        <v>1</v>
      </c>
      <c r="G210" s="99">
        <v>0.92700000000000005</v>
      </c>
      <c r="H210" s="172">
        <v>4</v>
      </c>
      <c r="I210" s="155">
        <v>0.39500000000000002</v>
      </c>
      <c r="J210" s="82"/>
      <c r="K210" s="433">
        <f>G210*H210*I210</f>
        <v>1.4646600000000001</v>
      </c>
      <c r="L210" s="82"/>
      <c r="M210" s="82"/>
      <c r="N210" s="86"/>
    </row>
    <row r="211" spans="2:14" ht="33.75" x14ac:dyDescent="0.25">
      <c r="B211" s="49"/>
      <c r="C211" s="57"/>
      <c r="D211" s="144" t="s">
        <v>1053</v>
      </c>
      <c r="E211" s="64"/>
      <c r="F211" s="105">
        <v>1</v>
      </c>
      <c r="G211" s="99">
        <v>0.8</v>
      </c>
      <c r="H211" s="172">
        <v>4</v>
      </c>
      <c r="I211" s="155">
        <v>0.39500000000000002</v>
      </c>
      <c r="J211" s="82"/>
      <c r="K211" s="433">
        <f>G211*H211*I211</f>
        <v>1.2640000000000002</v>
      </c>
      <c r="L211" s="82"/>
      <c r="M211" s="82"/>
      <c r="N211" s="86"/>
    </row>
    <row r="212" spans="2:14" x14ac:dyDescent="0.25">
      <c r="B212" s="49"/>
      <c r="C212" s="57"/>
      <c r="D212" s="144" t="s">
        <v>1054</v>
      </c>
      <c r="E212" s="64"/>
      <c r="F212" s="105">
        <v>1</v>
      </c>
      <c r="G212" s="99">
        <f>(1.7+0.15+1.855)</f>
        <v>3.7050000000000001</v>
      </c>
      <c r="H212" s="172">
        <v>4</v>
      </c>
      <c r="I212" s="155">
        <v>0.39500000000000002</v>
      </c>
      <c r="J212" s="82"/>
      <c r="K212" s="433">
        <f>G212*H212*I212</f>
        <v>5.8539000000000003</v>
      </c>
      <c r="L212" s="82"/>
      <c r="M212" s="82"/>
      <c r="N212" s="86"/>
    </row>
    <row r="213" spans="2:14" x14ac:dyDescent="0.25">
      <c r="B213" s="49"/>
      <c r="C213" s="57"/>
      <c r="D213" s="144" t="s">
        <v>1055</v>
      </c>
      <c r="E213" s="64"/>
      <c r="F213" s="105">
        <v>1</v>
      </c>
      <c r="G213" s="99">
        <v>2.7</v>
      </c>
      <c r="H213" s="172">
        <v>4</v>
      </c>
      <c r="I213" s="155">
        <v>0.39500000000000002</v>
      </c>
      <c r="J213" s="82"/>
      <c r="K213" s="433">
        <f>G213*H213*I213</f>
        <v>4.2660000000000009</v>
      </c>
      <c r="L213" s="82"/>
      <c r="M213" s="82"/>
      <c r="N213" s="86"/>
    </row>
    <row r="214" spans="2:14" ht="22.5" x14ac:dyDescent="0.25">
      <c r="B214" s="49"/>
      <c r="C214" s="57"/>
      <c r="D214" s="144" t="s">
        <v>1073</v>
      </c>
      <c r="E214" s="64"/>
      <c r="F214" s="105">
        <v>2</v>
      </c>
      <c r="G214" s="99">
        <v>3.1</v>
      </c>
      <c r="H214" s="172">
        <v>4</v>
      </c>
      <c r="I214" s="155">
        <v>0.39500000000000002</v>
      </c>
      <c r="J214" s="82"/>
      <c r="K214" s="433">
        <f>G214*H214*I214</f>
        <v>4.8980000000000006</v>
      </c>
      <c r="L214" s="82"/>
      <c r="M214" s="82"/>
      <c r="N214" s="86"/>
    </row>
    <row r="215" spans="2:14" x14ac:dyDescent="0.25">
      <c r="B215" s="49"/>
      <c r="C215" s="57"/>
      <c r="D215" s="144"/>
      <c r="E215" s="64"/>
      <c r="F215" s="105"/>
      <c r="G215" s="373"/>
      <c r="H215" s="422"/>
      <c r="I215" s="434"/>
      <c r="J215" s="433"/>
      <c r="K215" s="186"/>
      <c r="L215" s="82"/>
      <c r="M215" s="82"/>
      <c r="N215" s="86"/>
    </row>
    <row r="216" spans="2:14" s="167" customFormat="1" ht="33.75" x14ac:dyDescent="0.25">
      <c r="B216" s="49" t="s">
        <v>63</v>
      </c>
      <c r="C216" s="57">
        <v>94966</v>
      </c>
      <c r="D216" s="52" t="s">
        <v>65</v>
      </c>
      <c r="E216" s="64" t="s">
        <v>41</v>
      </c>
      <c r="F216" s="94"/>
      <c r="G216" s="545" t="s">
        <v>1078</v>
      </c>
      <c r="H216" s="546"/>
      <c r="I216" s="547"/>
      <c r="J216" s="99">
        <f>'BOLETIM DE MEDIÇÃO 10'!R30</f>
        <v>22.889974999999996</v>
      </c>
      <c r="K216" s="81">
        <f>SUM(K218:K263)-21.16</f>
        <v>1.7294349999999952</v>
      </c>
      <c r="L216" s="82">
        <f t="shared" si="0"/>
        <v>24.619409999999991</v>
      </c>
      <c r="M216" s="82">
        <f>'BOLETIM DE MEDIÇÃO 10'!G30</f>
        <v>22.89</v>
      </c>
      <c r="N216" s="86">
        <f t="shared" si="1"/>
        <v>-1.7294099999999908</v>
      </c>
    </row>
    <row r="217" spans="2:14" s="167" customFormat="1" x14ac:dyDescent="0.25">
      <c r="B217" s="49"/>
      <c r="C217" s="57"/>
      <c r="D217" s="160" t="s">
        <v>588</v>
      </c>
      <c r="E217" s="64"/>
      <c r="F217" s="94"/>
      <c r="G217" s="483"/>
      <c r="H217" s="484"/>
      <c r="I217" s="485"/>
      <c r="J217" s="99"/>
      <c r="K217" s="82"/>
      <c r="L217" s="82"/>
      <c r="M217" s="82"/>
      <c r="N217" s="86"/>
    </row>
    <row r="218" spans="2:14" s="167" customFormat="1" ht="33.75" x14ac:dyDescent="0.25">
      <c r="B218" s="49"/>
      <c r="C218" s="57"/>
      <c r="D218" s="144" t="s">
        <v>569</v>
      </c>
      <c r="E218" s="64"/>
      <c r="F218" s="94">
        <v>32</v>
      </c>
      <c r="G218" s="104">
        <v>0.6</v>
      </c>
      <c r="H218" s="92">
        <v>0.7</v>
      </c>
      <c r="I218" s="105">
        <v>0.25</v>
      </c>
      <c r="J218" s="82"/>
      <c r="K218" s="82">
        <v>3.36</v>
      </c>
      <c r="L218" s="82"/>
      <c r="M218" s="82"/>
      <c r="N218" s="86"/>
    </row>
    <row r="219" spans="2:14" s="167" customFormat="1" ht="45" x14ac:dyDescent="0.25">
      <c r="B219" s="49"/>
      <c r="C219" s="57"/>
      <c r="D219" s="144" t="s">
        <v>570</v>
      </c>
      <c r="E219" s="64"/>
      <c r="F219" s="94">
        <v>41</v>
      </c>
      <c r="G219" s="104">
        <v>0.6</v>
      </c>
      <c r="H219" s="92">
        <v>0.7</v>
      </c>
      <c r="I219" s="105">
        <v>0.25</v>
      </c>
      <c r="J219" s="82"/>
      <c r="K219" s="82">
        <v>4.3049999999999997</v>
      </c>
      <c r="L219" s="82"/>
      <c r="M219" s="82"/>
      <c r="N219" s="86"/>
    </row>
    <row r="220" spans="2:14" s="167" customFormat="1" x14ac:dyDescent="0.25">
      <c r="B220" s="49"/>
      <c r="C220" s="57"/>
      <c r="D220" s="144" t="s">
        <v>571</v>
      </c>
      <c r="E220" s="64"/>
      <c r="F220" s="94">
        <v>1</v>
      </c>
      <c r="G220" s="104">
        <v>0.6</v>
      </c>
      <c r="H220" s="92">
        <v>0.8</v>
      </c>
      <c r="I220" s="105">
        <v>0.25</v>
      </c>
      <c r="J220" s="82"/>
      <c r="K220" s="82">
        <v>0.12</v>
      </c>
      <c r="L220" s="82"/>
      <c r="M220" s="82"/>
      <c r="N220" s="86"/>
    </row>
    <row r="221" spans="2:14" s="167" customFormat="1" x14ac:dyDescent="0.25">
      <c r="B221" s="49"/>
      <c r="C221" s="57"/>
      <c r="D221" s="144" t="s">
        <v>572</v>
      </c>
      <c r="E221" s="64"/>
      <c r="F221" s="94">
        <v>2</v>
      </c>
      <c r="G221" s="104">
        <v>0.9</v>
      </c>
      <c r="H221" s="92">
        <v>0.9</v>
      </c>
      <c r="I221" s="105">
        <v>0.25</v>
      </c>
      <c r="J221" s="82"/>
      <c r="K221" s="82">
        <v>0.40500000000000003</v>
      </c>
      <c r="L221" s="82"/>
      <c r="M221" s="82"/>
      <c r="N221" s="86"/>
    </row>
    <row r="222" spans="2:14" s="167" customFormat="1" x14ac:dyDescent="0.25">
      <c r="B222" s="49"/>
      <c r="C222" s="57"/>
      <c r="D222" s="144" t="s">
        <v>573</v>
      </c>
      <c r="E222" s="64"/>
      <c r="F222" s="94">
        <v>7</v>
      </c>
      <c r="G222" s="104">
        <v>0.65</v>
      </c>
      <c r="H222" s="92">
        <v>0.65</v>
      </c>
      <c r="I222" s="105">
        <v>0.25</v>
      </c>
      <c r="J222" s="82"/>
      <c r="K222" s="82">
        <v>0.73937500000000012</v>
      </c>
      <c r="L222" s="82"/>
      <c r="M222" s="82"/>
      <c r="N222" s="86"/>
    </row>
    <row r="223" spans="2:14" s="167" customFormat="1" x14ac:dyDescent="0.25">
      <c r="B223" s="49"/>
      <c r="C223" s="57"/>
      <c r="D223" s="144" t="s">
        <v>574</v>
      </c>
      <c r="E223" s="64"/>
      <c r="F223" s="94">
        <v>3</v>
      </c>
      <c r="G223" s="104">
        <v>0.65</v>
      </c>
      <c r="H223" s="92">
        <v>0.75</v>
      </c>
      <c r="I223" s="105">
        <v>0.25</v>
      </c>
      <c r="J223" s="82"/>
      <c r="K223" s="82">
        <v>0.36562500000000003</v>
      </c>
      <c r="L223" s="82"/>
      <c r="M223" s="82"/>
      <c r="N223" s="86"/>
    </row>
    <row r="224" spans="2:14" s="167" customFormat="1" x14ac:dyDescent="0.25">
      <c r="B224" s="49"/>
      <c r="C224" s="57"/>
      <c r="D224" s="144" t="s">
        <v>575</v>
      </c>
      <c r="E224" s="64"/>
      <c r="F224" s="94">
        <v>2</v>
      </c>
      <c r="G224" s="104">
        <v>0.55000000000000004</v>
      </c>
      <c r="H224" s="92">
        <v>0.95</v>
      </c>
      <c r="I224" s="105">
        <v>0.25</v>
      </c>
      <c r="J224" s="82"/>
      <c r="K224" s="82">
        <v>0.26124999999999998</v>
      </c>
      <c r="L224" s="82"/>
      <c r="M224" s="82"/>
      <c r="N224" s="86"/>
    </row>
    <row r="225" spans="2:14" s="167" customFormat="1" ht="14.45" customHeight="1" x14ac:dyDescent="0.25">
      <c r="B225" s="49"/>
      <c r="C225" s="57"/>
      <c r="D225" s="152" t="s">
        <v>646</v>
      </c>
      <c r="E225" s="64"/>
      <c r="F225" s="94"/>
      <c r="G225" s="486" t="s">
        <v>679</v>
      </c>
      <c r="H225" s="487"/>
      <c r="I225" s="105" t="s">
        <v>651</v>
      </c>
      <c r="J225" s="82"/>
      <c r="K225" s="82"/>
      <c r="L225" s="82"/>
      <c r="M225" s="82"/>
      <c r="N225" s="86"/>
    </row>
    <row r="226" spans="2:14" s="167" customFormat="1" x14ac:dyDescent="0.25">
      <c r="B226" s="49"/>
      <c r="C226" s="57"/>
      <c r="D226" s="144" t="s">
        <v>614</v>
      </c>
      <c r="E226" s="64"/>
      <c r="F226" s="94">
        <v>1</v>
      </c>
      <c r="G226" s="483" t="s">
        <v>680</v>
      </c>
      <c r="H226" s="488"/>
      <c r="I226" s="105">
        <v>1.85</v>
      </c>
      <c r="J226" s="82"/>
      <c r="K226" s="82">
        <v>0.13875000000000001</v>
      </c>
      <c r="L226" s="82"/>
      <c r="M226" s="82"/>
      <c r="N226" s="86"/>
    </row>
    <row r="227" spans="2:14" s="167" customFormat="1" x14ac:dyDescent="0.25">
      <c r="B227" s="49"/>
      <c r="C227" s="57"/>
      <c r="D227" s="144" t="s">
        <v>633</v>
      </c>
      <c r="E227" s="64"/>
      <c r="F227" s="94">
        <v>1</v>
      </c>
      <c r="G227" s="483" t="s">
        <v>681</v>
      </c>
      <c r="H227" s="488"/>
      <c r="I227" s="105">
        <v>1.87</v>
      </c>
      <c r="J227" s="82"/>
      <c r="K227" s="82">
        <v>0.17765000000000003</v>
      </c>
      <c r="L227" s="82"/>
      <c r="M227" s="82"/>
      <c r="N227" s="86"/>
    </row>
    <row r="228" spans="2:14" s="167" customFormat="1" ht="22.5" x14ac:dyDescent="0.25">
      <c r="B228" s="49"/>
      <c r="C228" s="57"/>
      <c r="D228" s="144" t="s">
        <v>629</v>
      </c>
      <c r="E228" s="64"/>
      <c r="F228" s="94">
        <v>1</v>
      </c>
      <c r="G228" s="483" t="s">
        <v>682</v>
      </c>
      <c r="H228" s="488"/>
      <c r="I228" s="105">
        <v>1.9</v>
      </c>
      <c r="J228" s="82"/>
      <c r="K228" s="82">
        <v>0.41800000000000004</v>
      </c>
      <c r="L228" s="82"/>
      <c r="M228" s="82"/>
      <c r="N228" s="86"/>
    </row>
    <row r="229" spans="2:14" s="167" customFormat="1" x14ac:dyDescent="0.25">
      <c r="B229" s="49"/>
      <c r="C229" s="57"/>
      <c r="D229" s="144" t="s">
        <v>630</v>
      </c>
      <c r="E229" s="64"/>
      <c r="F229" s="94">
        <v>1</v>
      </c>
      <c r="G229" s="483" t="s">
        <v>684</v>
      </c>
      <c r="H229" s="488"/>
      <c r="I229" s="105">
        <v>1.92</v>
      </c>
      <c r="J229" s="82"/>
      <c r="K229" s="82">
        <v>0.24</v>
      </c>
      <c r="L229" s="82"/>
      <c r="M229" s="82"/>
      <c r="N229" s="86"/>
    </row>
    <row r="230" spans="2:14" s="167" customFormat="1" x14ac:dyDescent="0.25">
      <c r="B230" s="49"/>
      <c r="C230" s="57"/>
      <c r="D230" s="144" t="s">
        <v>615</v>
      </c>
      <c r="E230" s="64"/>
      <c r="F230" s="94">
        <v>1</v>
      </c>
      <c r="G230" s="483" t="s">
        <v>683</v>
      </c>
      <c r="H230" s="488"/>
      <c r="I230" s="86">
        <v>1.94</v>
      </c>
      <c r="J230" s="82"/>
      <c r="K230" s="82">
        <v>0.26189999999999997</v>
      </c>
      <c r="L230" s="82"/>
      <c r="M230" s="82"/>
      <c r="N230" s="86"/>
    </row>
    <row r="231" spans="2:14" s="167" customFormat="1" ht="22.5" x14ac:dyDescent="0.25">
      <c r="B231" s="49"/>
      <c r="C231" s="57"/>
      <c r="D231" s="144" t="s">
        <v>616</v>
      </c>
      <c r="E231" s="64"/>
      <c r="F231" s="94">
        <v>1</v>
      </c>
      <c r="G231" s="483" t="s">
        <v>685</v>
      </c>
      <c r="H231" s="488"/>
      <c r="I231" s="86">
        <v>1.96</v>
      </c>
      <c r="J231" s="82"/>
      <c r="K231" s="82">
        <v>0.44100000000000006</v>
      </c>
      <c r="L231" s="82"/>
      <c r="M231" s="82"/>
      <c r="N231" s="86"/>
    </row>
    <row r="232" spans="2:14" s="167" customFormat="1" ht="22.9" customHeight="1" x14ac:dyDescent="0.25">
      <c r="B232" s="49"/>
      <c r="C232" s="57"/>
      <c r="D232" s="144" t="s">
        <v>617</v>
      </c>
      <c r="E232" s="64"/>
      <c r="F232" s="94">
        <v>1</v>
      </c>
      <c r="G232" s="486" t="s">
        <v>686</v>
      </c>
      <c r="H232" s="487"/>
      <c r="I232" s="86">
        <v>1.95</v>
      </c>
      <c r="J232" s="82"/>
      <c r="K232" s="82">
        <v>0.55574999999999997</v>
      </c>
      <c r="L232" s="82"/>
      <c r="M232" s="82"/>
      <c r="N232" s="86"/>
    </row>
    <row r="233" spans="2:14" s="167" customFormat="1" x14ac:dyDescent="0.25">
      <c r="B233" s="49"/>
      <c r="C233" s="57"/>
      <c r="D233" s="144" t="s">
        <v>618</v>
      </c>
      <c r="E233" s="64"/>
      <c r="F233" s="94">
        <v>1</v>
      </c>
      <c r="G233" s="483" t="s">
        <v>687</v>
      </c>
      <c r="H233" s="488"/>
      <c r="I233" s="86">
        <v>1.97</v>
      </c>
      <c r="J233" s="82"/>
      <c r="K233" s="82">
        <v>0.27087499999999998</v>
      </c>
      <c r="L233" s="82"/>
      <c r="M233" s="82"/>
      <c r="N233" s="86"/>
    </row>
    <row r="234" spans="2:14" s="167" customFormat="1" x14ac:dyDescent="0.25">
      <c r="B234" s="49"/>
      <c r="C234" s="57"/>
      <c r="D234" s="144" t="s">
        <v>631</v>
      </c>
      <c r="E234" s="64"/>
      <c r="F234" s="94">
        <v>1</v>
      </c>
      <c r="G234" s="483" t="s">
        <v>688</v>
      </c>
      <c r="H234" s="488"/>
      <c r="I234" s="86">
        <v>1.9</v>
      </c>
      <c r="J234" s="82"/>
      <c r="K234" s="82">
        <v>0.21375</v>
      </c>
      <c r="L234" s="82"/>
      <c r="M234" s="82"/>
      <c r="N234" s="86"/>
    </row>
    <row r="235" spans="2:14" s="167" customFormat="1" ht="21" customHeight="1" x14ac:dyDescent="0.25">
      <c r="B235" s="49"/>
      <c r="C235" s="57"/>
      <c r="D235" s="144" t="s">
        <v>632</v>
      </c>
      <c r="E235" s="64"/>
      <c r="F235" s="94">
        <v>1</v>
      </c>
      <c r="G235" s="486" t="s">
        <v>689</v>
      </c>
      <c r="H235" s="487"/>
      <c r="I235" s="86">
        <v>1.86</v>
      </c>
      <c r="J235" s="82"/>
      <c r="K235" s="82">
        <v>0.29294999999999999</v>
      </c>
      <c r="L235" s="82"/>
      <c r="M235" s="82"/>
      <c r="N235" s="86"/>
    </row>
    <row r="236" spans="2:14" s="167" customFormat="1" x14ac:dyDescent="0.25">
      <c r="B236" s="49"/>
      <c r="C236" s="57"/>
      <c r="D236" s="144" t="s">
        <v>634</v>
      </c>
      <c r="E236" s="64"/>
      <c r="F236" s="94">
        <v>1</v>
      </c>
      <c r="G236" s="483" t="s">
        <v>690</v>
      </c>
      <c r="H236" s="488"/>
      <c r="I236" s="86">
        <v>1.87</v>
      </c>
      <c r="J236" s="82"/>
      <c r="K236" s="82">
        <v>0.26180000000000003</v>
      </c>
      <c r="L236" s="82"/>
      <c r="M236" s="82"/>
      <c r="N236" s="86"/>
    </row>
    <row r="237" spans="2:14" s="167" customFormat="1" ht="14.45" customHeight="1" x14ac:dyDescent="0.25">
      <c r="B237" s="49"/>
      <c r="C237" s="57"/>
      <c r="D237" s="144" t="s">
        <v>619</v>
      </c>
      <c r="E237" s="64"/>
      <c r="F237" s="94">
        <v>1</v>
      </c>
      <c r="G237" s="486" t="s">
        <v>691</v>
      </c>
      <c r="H237" s="487"/>
      <c r="I237" s="86">
        <v>1.9</v>
      </c>
      <c r="J237" s="82"/>
      <c r="K237" s="82">
        <v>0.3705</v>
      </c>
      <c r="L237" s="82"/>
      <c r="M237" s="82"/>
      <c r="N237" s="86"/>
    </row>
    <row r="238" spans="2:14" s="167" customFormat="1" x14ac:dyDescent="0.25">
      <c r="B238" s="49"/>
      <c r="C238" s="57"/>
      <c r="D238" s="144" t="s">
        <v>620</v>
      </c>
      <c r="E238" s="64"/>
      <c r="F238" s="94">
        <v>1</v>
      </c>
      <c r="G238" s="483" t="s">
        <v>692</v>
      </c>
      <c r="H238" s="488"/>
      <c r="I238" s="86">
        <v>1.91</v>
      </c>
      <c r="J238" s="82"/>
      <c r="K238" s="82">
        <v>0.18622499999999997</v>
      </c>
      <c r="L238" s="82"/>
      <c r="M238" s="82"/>
      <c r="N238" s="86"/>
    </row>
    <row r="239" spans="2:14" s="167" customFormat="1" ht="20.45" customHeight="1" x14ac:dyDescent="0.25">
      <c r="B239" s="49"/>
      <c r="C239" s="57"/>
      <c r="D239" s="144" t="s">
        <v>621</v>
      </c>
      <c r="E239" s="64"/>
      <c r="F239" s="94">
        <v>1</v>
      </c>
      <c r="G239" s="483" t="s">
        <v>693</v>
      </c>
      <c r="H239" s="488"/>
      <c r="I239" s="86">
        <v>1.94</v>
      </c>
      <c r="J239" s="82"/>
      <c r="K239" s="82">
        <v>0.48499999999999999</v>
      </c>
      <c r="L239" s="82"/>
      <c r="M239" s="82"/>
      <c r="N239" s="86"/>
    </row>
    <row r="240" spans="2:14" s="167" customFormat="1" ht="14.45" customHeight="1" x14ac:dyDescent="0.25">
      <c r="B240" s="49"/>
      <c r="C240" s="57"/>
      <c r="D240" s="144" t="s">
        <v>622</v>
      </c>
      <c r="E240" s="64"/>
      <c r="F240" s="94">
        <v>1</v>
      </c>
      <c r="G240" s="486" t="s">
        <v>694</v>
      </c>
      <c r="H240" s="487"/>
      <c r="I240" s="86">
        <v>1.93</v>
      </c>
      <c r="J240" s="82"/>
      <c r="K240" s="82">
        <v>0.28949999999999998</v>
      </c>
      <c r="L240" s="82"/>
      <c r="M240" s="82"/>
      <c r="N240" s="86"/>
    </row>
    <row r="241" spans="2:14" s="167" customFormat="1" x14ac:dyDescent="0.25">
      <c r="B241" s="49"/>
      <c r="C241" s="57"/>
      <c r="D241" s="144" t="s">
        <v>635</v>
      </c>
      <c r="E241" s="64"/>
      <c r="F241" s="94">
        <v>1</v>
      </c>
      <c r="G241" s="483" t="s">
        <v>695</v>
      </c>
      <c r="H241" s="488"/>
      <c r="I241" s="86">
        <v>1.92</v>
      </c>
      <c r="J241" s="82"/>
      <c r="K241" s="82">
        <v>0.26400000000000001</v>
      </c>
      <c r="L241" s="82"/>
      <c r="M241" s="82"/>
      <c r="N241" s="86"/>
    </row>
    <row r="242" spans="2:14" s="167" customFormat="1" ht="22.15" customHeight="1" x14ac:dyDescent="0.25">
      <c r="B242" s="49"/>
      <c r="C242" s="57"/>
      <c r="D242" s="144" t="s">
        <v>623</v>
      </c>
      <c r="E242" s="64"/>
      <c r="F242" s="94">
        <v>1</v>
      </c>
      <c r="G242" s="483" t="s">
        <v>696</v>
      </c>
      <c r="H242" s="488"/>
      <c r="I242" s="86">
        <v>1.87</v>
      </c>
      <c r="J242" s="82"/>
      <c r="K242" s="82">
        <v>0.32725000000000004</v>
      </c>
      <c r="L242" s="82"/>
      <c r="M242" s="82"/>
      <c r="N242" s="86"/>
    </row>
    <row r="243" spans="2:14" s="167" customFormat="1" x14ac:dyDescent="0.25">
      <c r="B243" s="49"/>
      <c r="C243" s="57"/>
      <c r="D243" s="144" t="s">
        <v>624</v>
      </c>
      <c r="E243" s="64"/>
      <c r="F243" s="94">
        <v>1</v>
      </c>
      <c r="G243" s="483" t="s">
        <v>697</v>
      </c>
      <c r="H243" s="488"/>
      <c r="I243" s="86">
        <v>1.88</v>
      </c>
      <c r="J243" s="82"/>
      <c r="K243" s="82">
        <v>0.30549999999999999</v>
      </c>
      <c r="L243" s="82"/>
      <c r="M243" s="82"/>
      <c r="N243" s="86"/>
    </row>
    <row r="244" spans="2:14" s="167" customFormat="1" ht="27" customHeight="1" x14ac:dyDescent="0.25">
      <c r="B244" s="49"/>
      <c r="C244" s="57"/>
      <c r="D244" s="144" t="s">
        <v>625</v>
      </c>
      <c r="E244" s="64"/>
      <c r="F244" s="94">
        <v>1</v>
      </c>
      <c r="G244" s="483" t="s">
        <v>698</v>
      </c>
      <c r="H244" s="488"/>
      <c r="I244" s="86">
        <v>1.9</v>
      </c>
      <c r="J244" s="82"/>
      <c r="K244" s="82">
        <v>0.40375000000000005</v>
      </c>
      <c r="L244" s="82"/>
      <c r="M244" s="82"/>
      <c r="N244" s="86"/>
    </row>
    <row r="245" spans="2:14" s="167" customFormat="1" x14ac:dyDescent="0.25">
      <c r="B245" s="49"/>
      <c r="C245" s="57"/>
      <c r="D245" s="144" t="s">
        <v>637</v>
      </c>
      <c r="E245" s="64"/>
      <c r="F245" s="94">
        <v>1</v>
      </c>
      <c r="G245" s="483" t="s">
        <v>699</v>
      </c>
      <c r="H245" s="488"/>
      <c r="I245" s="86">
        <v>1.9</v>
      </c>
      <c r="J245" s="82"/>
      <c r="K245" s="82">
        <v>7.6000000000000012E-2</v>
      </c>
      <c r="L245" s="82"/>
      <c r="M245" s="82"/>
      <c r="N245" s="86"/>
    </row>
    <row r="246" spans="2:14" s="167" customFormat="1" x14ac:dyDescent="0.25">
      <c r="B246" s="49"/>
      <c r="C246" s="57"/>
      <c r="D246" s="144" t="s">
        <v>636</v>
      </c>
      <c r="E246" s="64"/>
      <c r="F246" s="94">
        <v>1</v>
      </c>
      <c r="G246" s="483" t="s">
        <v>700</v>
      </c>
      <c r="H246" s="488"/>
      <c r="I246" s="86">
        <v>1.97</v>
      </c>
      <c r="J246" s="82"/>
      <c r="K246" s="82">
        <v>0.172375</v>
      </c>
      <c r="L246" s="82"/>
      <c r="M246" s="82"/>
      <c r="N246" s="86"/>
    </row>
    <row r="247" spans="2:14" s="167" customFormat="1" ht="25.15" customHeight="1" x14ac:dyDescent="0.25">
      <c r="B247" s="49"/>
      <c r="C247" s="57"/>
      <c r="D247" s="144" t="s">
        <v>638</v>
      </c>
      <c r="E247" s="64"/>
      <c r="F247" s="94">
        <v>1</v>
      </c>
      <c r="G247" s="483" t="s">
        <v>701</v>
      </c>
      <c r="H247" s="488"/>
      <c r="I247" s="86">
        <v>2</v>
      </c>
      <c r="J247" s="82"/>
      <c r="K247" s="82">
        <v>0.25</v>
      </c>
      <c r="L247" s="82"/>
      <c r="M247" s="82"/>
      <c r="N247" s="86"/>
    </row>
    <row r="248" spans="2:14" s="167" customFormat="1" ht="20.45" customHeight="1" x14ac:dyDescent="0.25">
      <c r="B248" s="49"/>
      <c r="C248" s="57"/>
      <c r="D248" s="144" t="s">
        <v>626</v>
      </c>
      <c r="E248" s="64"/>
      <c r="F248" s="94">
        <v>1</v>
      </c>
      <c r="G248" s="486" t="s">
        <v>702</v>
      </c>
      <c r="H248" s="487"/>
      <c r="I248" s="86">
        <v>2.0099999999999998</v>
      </c>
      <c r="J248" s="82"/>
      <c r="K248" s="82">
        <v>0.62309999999999999</v>
      </c>
      <c r="L248" s="82"/>
      <c r="M248" s="82"/>
      <c r="N248" s="86"/>
    </row>
    <row r="249" spans="2:14" s="167" customFormat="1" x14ac:dyDescent="0.25">
      <c r="B249" s="49"/>
      <c r="C249" s="57"/>
      <c r="D249" s="144" t="s">
        <v>639</v>
      </c>
      <c r="E249" s="64"/>
      <c r="F249" s="94">
        <v>1</v>
      </c>
      <c r="G249" s="483" t="s">
        <v>704</v>
      </c>
      <c r="H249" s="488"/>
      <c r="I249" s="86">
        <v>1.86</v>
      </c>
      <c r="J249" s="82"/>
      <c r="K249" s="82">
        <v>8.3699999999999997E-2</v>
      </c>
      <c r="L249" s="82"/>
      <c r="M249" s="82"/>
      <c r="N249" s="86"/>
    </row>
    <row r="250" spans="2:14" s="167" customFormat="1" x14ac:dyDescent="0.25">
      <c r="B250" s="49"/>
      <c r="C250" s="57"/>
      <c r="D250" s="144" t="s">
        <v>640</v>
      </c>
      <c r="E250" s="64"/>
      <c r="F250" s="94">
        <v>1</v>
      </c>
      <c r="G250" s="483" t="s">
        <v>703</v>
      </c>
      <c r="H250" s="488"/>
      <c r="I250" s="86">
        <v>1.87</v>
      </c>
      <c r="J250" s="82"/>
      <c r="K250" s="82">
        <v>8.4150000000000003E-2</v>
      </c>
      <c r="L250" s="82"/>
      <c r="M250" s="82"/>
      <c r="N250" s="86"/>
    </row>
    <row r="251" spans="2:14" s="167" customFormat="1" x14ac:dyDescent="0.25">
      <c r="B251" s="49"/>
      <c r="C251" s="57"/>
      <c r="D251" s="144" t="s">
        <v>641</v>
      </c>
      <c r="E251" s="64"/>
      <c r="F251" s="94">
        <v>1</v>
      </c>
      <c r="G251" s="483" t="s">
        <v>703</v>
      </c>
      <c r="H251" s="488"/>
      <c r="I251" s="86">
        <v>1.89</v>
      </c>
      <c r="J251" s="82"/>
      <c r="K251" s="82">
        <v>0.14174999999999999</v>
      </c>
      <c r="L251" s="82"/>
      <c r="M251" s="82"/>
      <c r="N251" s="86"/>
    </row>
    <row r="252" spans="2:14" s="167" customFormat="1" x14ac:dyDescent="0.25">
      <c r="B252" s="49"/>
      <c r="C252" s="57"/>
      <c r="D252" s="144" t="s">
        <v>642</v>
      </c>
      <c r="E252" s="64"/>
      <c r="F252" s="94">
        <v>1</v>
      </c>
      <c r="G252" s="483" t="s">
        <v>705</v>
      </c>
      <c r="H252" s="488"/>
      <c r="I252" s="86">
        <v>1.9</v>
      </c>
      <c r="J252" s="82"/>
      <c r="K252" s="82">
        <v>7.1249999999999994E-2</v>
      </c>
      <c r="L252" s="82"/>
      <c r="M252" s="82"/>
      <c r="N252" s="86"/>
    </row>
    <row r="253" spans="2:14" s="167" customFormat="1" x14ac:dyDescent="0.25">
      <c r="B253" s="49"/>
      <c r="C253" s="57"/>
      <c r="D253" s="144" t="s">
        <v>643</v>
      </c>
      <c r="E253" s="64"/>
      <c r="F253" s="94">
        <v>1</v>
      </c>
      <c r="G253" s="483" t="s">
        <v>704</v>
      </c>
      <c r="H253" s="488"/>
      <c r="I253" s="86">
        <v>1.92</v>
      </c>
      <c r="J253" s="82"/>
      <c r="K253" s="82">
        <v>8.6399999999999991E-2</v>
      </c>
      <c r="L253" s="82"/>
      <c r="M253" s="82"/>
      <c r="N253" s="86"/>
    </row>
    <row r="254" spans="2:14" s="167" customFormat="1" x14ac:dyDescent="0.25">
      <c r="B254" s="49"/>
      <c r="C254" s="57"/>
      <c r="D254" s="144" t="s">
        <v>644</v>
      </c>
      <c r="E254" s="64"/>
      <c r="F254" s="94">
        <v>1</v>
      </c>
      <c r="G254" s="483" t="s">
        <v>705</v>
      </c>
      <c r="H254" s="488"/>
      <c r="I254" s="86">
        <v>1.9</v>
      </c>
      <c r="J254" s="82"/>
      <c r="K254" s="82">
        <v>7.1249999999999994E-2</v>
      </c>
      <c r="L254" s="82"/>
      <c r="M254" s="82"/>
      <c r="N254" s="86"/>
    </row>
    <row r="255" spans="2:14" s="167" customFormat="1" ht="20.45" customHeight="1" x14ac:dyDescent="0.25">
      <c r="B255" s="49"/>
      <c r="C255" s="57"/>
      <c r="D255" s="144" t="s">
        <v>645</v>
      </c>
      <c r="E255" s="64"/>
      <c r="F255" s="94">
        <v>1</v>
      </c>
      <c r="G255" s="483" t="s">
        <v>704</v>
      </c>
      <c r="H255" s="488"/>
      <c r="I255" s="86">
        <v>1.98</v>
      </c>
      <c r="J255" s="82"/>
      <c r="K255" s="82">
        <v>8.9099999999999999E-2</v>
      </c>
      <c r="L255" s="82"/>
      <c r="M255" s="82"/>
      <c r="N255" s="86"/>
    </row>
    <row r="256" spans="2:14" s="167" customFormat="1" x14ac:dyDescent="0.25">
      <c r="B256" s="49"/>
      <c r="C256" s="57"/>
      <c r="D256" s="144" t="s">
        <v>707</v>
      </c>
      <c r="E256" s="64"/>
      <c r="F256" s="94">
        <v>1</v>
      </c>
      <c r="G256" s="483">
        <v>9.6</v>
      </c>
      <c r="H256" s="484"/>
      <c r="I256" s="485"/>
      <c r="J256" s="82"/>
      <c r="K256" s="82">
        <v>-9.6</v>
      </c>
      <c r="L256" s="82"/>
      <c r="M256" s="82"/>
      <c r="N256" s="86"/>
    </row>
    <row r="257" spans="2:21" s="167" customFormat="1" x14ac:dyDescent="0.25">
      <c r="B257" s="49"/>
      <c r="C257" s="57"/>
      <c r="D257" s="152" t="s">
        <v>1069</v>
      </c>
      <c r="E257" s="64"/>
      <c r="F257" s="94">
        <v>1</v>
      </c>
      <c r="G257" s="483">
        <v>14.85</v>
      </c>
      <c r="H257" s="484"/>
      <c r="I257" s="485"/>
      <c r="J257" s="82"/>
      <c r="K257" s="82">
        <v>14.85</v>
      </c>
      <c r="L257" s="82"/>
      <c r="M257" s="82"/>
      <c r="N257" s="86"/>
    </row>
    <row r="258" spans="2:21" s="167" customFormat="1" ht="22.5" x14ac:dyDescent="0.25">
      <c r="B258" s="49"/>
      <c r="C258" s="57"/>
      <c r="D258" s="432" t="s">
        <v>1074</v>
      </c>
      <c r="E258" s="64"/>
      <c r="F258" s="94">
        <v>1</v>
      </c>
      <c r="G258" s="104" t="s">
        <v>1075</v>
      </c>
      <c r="H258" s="92" t="s">
        <v>649</v>
      </c>
      <c r="I258" s="105" t="s">
        <v>651</v>
      </c>
      <c r="J258" s="82"/>
      <c r="K258" s="82"/>
      <c r="L258" s="82"/>
      <c r="M258" s="82"/>
      <c r="N258" s="86"/>
    </row>
    <row r="259" spans="2:21" s="167" customFormat="1" ht="33.75" x14ac:dyDescent="0.25">
      <c r="B259" s="49"/>
      <c r="C259" s="57"/>
      <c r="D259" s="144" t="s">
        <v>1052</v>
      </c>
      <c r="E259" s="64"/>
      <c r="F259" s="105">
        <v>1</v>
      </c>
      <c r="G259" s="99">
        <v>0.92700000000000005</v>
      </c>
      <c r="H259" s="92">
        <v>0.15</v>
      </c>
      <c r="I259" s="105">
        <v>0.2</v>
      </c>
      <c r="J259" s="82"/>
      <c r="K259" s="82">
        <v>2.7810000000000001E-2</v>
      </c>
      <c r="L259" s="82"/>
      <c r="M259" s="82"/>
      <c r="N259" s="86"/>
    </row>
    <row r="260" spans="2:21" s="167" customFormat="1" ht="33.75" x14ac:dyDescent="0.25">
      <c r="B260" s="49"/>
      <c r="C260" s="57"/>
      <c r="D260" s="144" t="s">
        <v>1053</v>
      </c>
      <c r="E260" s="64"/>
      <c r="F260" s="105">
        <v>1</v>
      </c>
      <c r="G260" s="99">
        <v>0.8</v>
      </c>
      <c r="H260" s="92">
        <v>0.15</v>
      </c>
      <c r="I260" s="105">
        <v>0.2</v>
      </c>
      <c r="J260" s="82"/>
      <c r="K260" s="82">
        <v>2.4E-2</v>
      </c>
      <c r="L260" s="82"/>
      <c r="M260" s="82"/>
      <c r="N260" s="86"/>
    </row>
    <row r="261" spans="2:21" s="167" customFormat="1" x14ac:dyDescent="0.25">
      <c r="B261" s="49"/>
      <c r="C261" s="57"/>
      <c r="D261" s="144" t="s">
        <v>1054</v>
      </c>
      <c r="E261" s="64"/>
      <c r="F261" s="105">
        <v>1</v>
      </c>
      <c r="G261" s="99">
        <f>(1.7+0.15+1.855)</f>
        <v>3.7050000000000001</v>
      </c>
      <c r="H261" s="92">
        <v>0.15</v>
      </c>
      <c r="I261" s="105">
        <v>0.2</v>
      </c>
      <c r="J261" s="82"/>
      <c r="K261" s="82">
        <v>0.11115</v>
      </c>
      <c r="L261" s="82"/>
      <c r="M261" s="82"/>
      <c r="N261" s="86"/>
    </row>
    <row r="262" spans="2:21" s="167" customFormat="1" x14ac:dyDescent="0.25">
      <c r="B262" s="49"/>
      <c r="C262" s="57"/>
      <c r="D262" s="144" t="s">
        <v>1055</v>
      </c>
      <c r="E262" s="64"/>
      <c r="F262" s="105">
        <v>1</v>
      </c>
      <c r="G262" s="99">
        <v>2.7</v>
      </c>
      <c r="H262" s="92">
        <v>0.15</v>
      </c>
      <c r="I262" s="105">
        <v>0.2</v>
      </c>
      <c r="J262" s="82"/>
      <c r="K262" s="82">
        <v>8.1000000000000016E-2</v>
      </c>
      <c r="L262" s="82"/>
      <c r="M262" s="82"/>
      <c r="N262" s="86"/>
    </row>
    <row r="263" spans="2:21" s="167" customFormat="1" ht="22.5" x14ac:dyDescent="0.25">
      <c r="B263" s="49"/>
      <c r="C263" s="57"/>
      <c r="D263" s="144" t="s">
        <v>1073</v>
      </c>
      <c r="E263" s="64"/>
      <c r="F263" s="105">
        <v>2</v>
      </c>
      <c r="G263" s="99">
        <v>3.1</v>
      </c>
      <c r="H263" s="92">
        <v>0.15</v>
      </c>
      <c r="I263" s="105">
        <v>0.2</v>
      </c>
      <c r="J263" s="82"/>
      <c r="K263" s="82">
        <v>0.186</v>
      </c>
      <c r="L263" s="82"/>
      <c r="M263" s="82"/>
      <c r="N263" s="86"/>
    </row>
    <row r="264" spans="2:21" ht="30.6" hidden="1" customHeight="1" x14ac:dyDescent="0.25">
      <c r="B264" s="49" t="s">
        <v>66</v>
      </c>
      <c r="C264" s="57">
        <v>94964</v>
      </c>
      <c r="D264" s="52" t="s">
        <v>68</v>
      </c>
      <c r="E264" s="64" t="s">
        <v>41</v>
      </c>
      <c r="F264" s="94"/>
      <c r="G264" s="548" t="s">
        <v>1079</v>
      </c>
      <c r="H264" s="549"/>
      <c r="I264" s="550"/>
      <c r="J264" s="99">
        <f>'BOLETIM DE MEDIÇÃO 05'!O31-'MEMORIAL DE CALCULO 10'!K264</f>
        <v>9.6</v>
      </c>
      <c r="K264" s="81">
        <f>G269</f>
        <v>0</v>
      </c>
      <c r="L264" s="82">
        <f t="shared" si="0"/>
        <v>9.6</v>
      </c>
      <c r="M264" s="82">
        <f>'BOLETIM DE MEDIÇÃO 05'!G31</f>
        <v>9.6</v>
      </c>
      <c r="N264" s="86">
        <f t="shared" si="1"/>
        <v>0</v>
      </c>
    </row>
    <row r="265" spans="2:21" hidden="1" x14ac:dyDescent="0.25">
      <c r="B265" s="49"/>
      <c r="C265" s="57"/>
      <c r="D265" s="160" t="s">
        <v>588</v>
      </c>
      <c r="E265" s="64"/>
      <c r="F265" s="94"/>
      <c r="G265" s="483"/>
      <c r="H265" s="484"/>
      <c r="I265" s="485"/>
      <c r="J265" s="99"/>
      <c r="K265" s="82"/>
      <c r="L265" s="82"/>
      <c r="M265" s="82"/>
      <c r="N265" s="86"/>
    </row>
    <row r="266" spans="2:21" hidden="1" x14ac:dyDescent="0.25">
      <c r="B266" s="49"/>
      <c r="C266" s="57"/>
      <c r="D266" s="160"/>
      <c r="E266" s="64"/>
      <c r="F266" s="94"/>
      <c r="G266" s="372"/>
      <c r="H266" s="373"/>
      <c r="I266" s="318"/>
      <c r="J266" s="99"/>
      <c r="K266" s="82"/>
      <c r="L266" s="82"/>
      <c r="M266" s="82"/>
      <c r="N266" s="86"/>
    </row>
    <row r="267" spans="2:21" hidden="1" x14ac:dyDescent="0.25">
      <c r="B267" s="49"/>
      <c r="C267" s="57"/>
      <c r="D267" s="160"/>
      <c r="E267" s="64"/>
      <c r="F267" s="94"/>
      <c r="G267" s="372"/>
      <c r="H267" s="373"/>
      <c r="I267" s="318"/>
      <c r="J267" s="99"/>
      <c r="K267" s="82"/>
      <c r="L267" s="82"/>
      <c r="M267" s="82"/>
      <c r="N267" s="86"/>
    </row>
    <row r="268" spans="2:21" hidden="1" x14ac:dyDescent="0.25">
      <c r="B268" s="49"/>
      <c r="C268" s="57"/>
      <c r="D268" s="160"/>
      <c r="E268" s="64"/>
      <c r="F268" s="94"/>
      <c r="G268" s="372"/>
      <c r="H268" s="373"/>
      <c r="I268" s="318"/>
      <c r="J268" s="99"/>
      <c r="K268" s="82"/>
      <c r="L268" s="82"/>
      <c r="M268" s="82"/>
      <c r="N268" s="86"/>
    </row>
    <row r="269" spans="2:21" x14ac:dyDescent="0.25">
      <c r="B269" s="49"/>
      <c r="C269" s="57"/>
      <c r="D269" s="144"/>
      <c r="E269" s="64"/>
      <c r="F269" s="94"/>
      <c r="G269" s="483"/>
      <c r="H269" s="484"/>
      <c r="I269" s="485"/>
      <c r="J269" s="99"/>
      <c r="K269" s="82"/>
      <c r="L269" s="82"/>
      <c r="M269" s="82"/>
      <c r="N269" s="86"/>
      <c r="S269" s="161"/>
      <c r="T269" s="161"/>
      <c r="U269" s="162"/>
    </row>
    <row r="270" spans="2:21" ht="22.5" x14ac:dyDescent="0.25">
      <c r="B270" s="49" t="s">
        <v>69</v>
      </c>
      <c r="C270" s="57">
        <v>103670</v>
      </c>
      <c r="D270" s="52" t="s">
        <v>71</v>
      </c>
      <c r="E270" s="64" t="s">
        <v>41</v>
      </c>
      <c r="F270" s="94"/>
      <c r="G270" s="548" t="s">
        <v>1079</v>
      </c>
      <c r="H270" s="549"/>
      <c r="I270" s="550"/>
      <c r="J270" s="99">
        <v>30.76</v>
      </c>
      <c r="K270" s="81">
        <v>1.73</v>
      </c>
      <c r="L270" s="82">
        <f t="shared" si="0"/>
        <v>32.49</v>
      </c>
      <c r="M270" s="82">
        <f>'BOLETIM DE MEDIÇÃO 10'!G32</f>
        <v>32.49</v>
      </c>
      <c r="N270" s="86">
        <f t="shared" si="1"/>
        <v>0</v>
      </c>
    </row>
    <row r="271" spans="2:21" x14ac:dyDescent="0.25">
      <c r="B271" s="49"/>
      <c r="C271" s="57"/>
      <c r="D271" s="143" t="s">
        <v>1080</v>
      </c>
      <c r="E271" s="64"/>
      <c r="F271" s="94">
        <v>1</v>
      </c>
      <c r="G271" s="483">
        <v>30.76</v>
      </c>
      <c r="H271" s="484"/>
      <c r="I271" s="485"/>
      <c r="J271" s="82"/>
      <c r="K271" s="82">
        <f>G271</f>
        <v>30.76</v>
      </c>
      <c r="L271" s="82"/>
      <c r="M271" s="82"/>
      <c r="N271" s="86"/>
    </row>
    <row r="272" spans="2:21" x14ac:dyDescent="0.25">
      <c r="B272" s="49"/>
      <c r="C272" s="57"/>
      <c r="D272" s="143" t="s">
        <v>1081</v>
      </c>
      <c r="E272" s="64"/>
      <c r="F272" s="94">
        <v>1</v>
      </c>
      <c r="G272" s="483">
        <f>J218+9.6</f>
        <v>9.6</v>
      </c>
      <c r="H272" s="484"/>
      <c r="I272" s="485"/>
      <c r="J272" s="82"/>
      <c r="K272" s="82">
        <f>G272</f>
        <v>9.6</v>
      </c>
      <c r="L272" s="82"/>
      <c r="M272" s="82"/>
      <c r="N272" s="86"/>
    </row>
    <row r="273" spans="2:14" x14ac:dyDescent="0.25">
      <c r="B273" s="49"/>
      <c r="C273" s="57"/>
      <c r="D273" s="143"/>
      <c r="E273" s="64"/>
      <c r="F273" s="94"/>
      <c r="G273" s="483"/>
      <c r="H273" s="484"/>
      <c r="I273" s="485"/>
      <c r="J273" s="99"/>
      <c r="K273" s="82">
        <f>F273*G273</f>
        <v>0</v>
      </c>
      <c r="L273" s="82"/>
      <c r="M273" s="82"/>
      <c r="N273" s="86"/>
    </row>
    <row r="274" spans="2:14" ht="23.45" customHeight="1" x14ac:dyDescent="0.25">
      <c r="B274" s="49" t="s">
        <v>72</v>
      </c>
      <c r="C274" s="57">
        <v>96543</v>
      </c>
      <c r="D274" s="52" t="s">
        <v>74</v>
      </c>
      <c r="E274" s="64" t="s">
        <v>62</v>
      </c>
      <c r="F274" s="94"/>
      <c r="G274" s="548" t="s">
        <v>831</v>
      </c>
      <c r="H274" s="549"/>
      <c r="I274" s="550"/>
      <c r="J274" s="99">
        <f>'BOLETIM DE MEDIÇÃO 10'!R33-'MEMORIAL DE CALCULO 10'!K274</f>
        <v>404.40186566666659</v>
      </c>
      <c r="K274" s="81">
        <f>SUM(K276:K312)-404.4</f>
        <v>47.486177533333375</v>
      </c>
      <c r="L274" s="82">
        <f t="shared" si="0"/>
        <v>451.88804319999997</v>
      </c>
      <c r="M274" s="82">
        <v>451.89</v>
      </c>
      <c r="N274" s="86">
        <f>M274-L274</f>
        <v>1.9568000000163011E-3</v>
      </c>
    </row>
    <row r="275" spans="2:14" ht="19.149999999999999" customHeight="1" x14ac:dyDescent="0.25">
      <c r="B275" s="49"/>
      <c r="C275" s="57"/>
      <c r="D275" s="152" t="s">
        <v>646</v>
      </c>
      <c r="E275" s="64"/>
      <c r="F275" s="94"/>
      <c r="G275" s="486" t="s">
        <v>647</v>
      </c>
      <c r="H275" s="487"/>
      <c r="I275" s="122" t="s">
        <v>611</v>
      </c>
      <c r="J275" s="99"/>
      <c r="K275" s="82"/>
      <c r="L275" s="82"/>
      <c r="M275" s="82"/>
      <c r="N275" s="86"/>
    </row>
    <row r="276" spans="2:14" x14ac:dyDescent="0.25">
      <c r="B276" s="49"/>
      <c r="C276" s="57"/>
      <c r="D276" s="144" t="s">
        <v>614</v>
      </c>
      <c r="E276" s="64"/>
      <c r="F276" s="105">
        <v>1</v>
      </c>
      <c r="G276" s="483">
        <f xml:space="preserve"> ((0.59*(1.85/0.1)) * 2)</f>
        <v>21.83</v>
      </c>
      <c r="H276" s="488"/>
      <c r="I276" s="155">
        <v>0.154</v>
      </c>
      <c r="J276" s="99"/>
      <c r="K276" s="82">
        <f>F276*G276*I276</f>
        <v>3.3618199999999998</v>
      </c>
      <c r="L276" s="82"/>
      <c r="M276" s="82"/>
      <c r="N276" s="86"/>
    </row>
    <row r="277" spans="2:14" x14ac:dyDescent="0.25">
      <c r="B277" s="49"/>
      <c r="C277" s="57"/>
      <c r="D277" s="144" t="s">
        <v>633</v>
      </c>
      <c r="E277" s="64"/>
      <c r="F277" s="105">
        <v>1</v>
      </c>
      <c r="G277" s="483">
        <f>(0.69*(1.87/0.1)) + (0.79*(1.87/0.1))</f>
        <v>27.675999999999998</v>
      </c>
      <c r="H277" s="488"/>
      <c r="I277" s="155">
        <v>0.154</v>
      </c>
      <c r="J277" s="99"/>
      <c r="K277" s="82">
        <f t="shared" ref="K277:K305" si="8">F277*G277*I277</f>
        <v>4.2621039999999999</v>
      </c>
      <c r="L277" s="82"/>
      <c r="M277" s="82"/>
      <c r="N277" s="86"/>
    </row>
    <row r="278" spans="2:14" ht="18" customHeight="1" x14ac:dyDescent="0.25">
      <c r="B278" s="49"/>
      <c r="C278" s="57"/>
      <c r="D278" s="144" t="s">
        <v>629</v>
      </c>
      <c r="E278" s="64"/>
      <c r="F278" s="105">
        <v>1</v>
      </c>
      <c r="G278" s="483">
        <f>((0.69*(1.9/0.1))*3) + ((0.59*(1.87/0.1))*2)</f>
        <v>61.395999999999987</v>
      </c>
      <c r="H278" s="488"/>
      <c r="I278" s="155">
        <v>0.154</v>
      </c>
      <c r="J278" s="99"/>
      <c r="K278" s="82">
        <f t="shared" si="8"/>
        <v>9.4549839999999978</v>
      </c>
      <c r="L278" s="82"/>
      <c r="M278" s="82"/>
      <c r="N278" s="86"/>
    </row>
    <row r="279" spans="2:14" x14ac:dyDescent="0.25">
      <c r="B279" s="49"/>
      <c r="C279" s="57"/>
      <c r="D279" s="144" t="s">
        <v>630</v>
      </c>
      <c r="E279" s="64"/>
      <c r="F279" s="105">
        <v>1</v>
      </c>
      <c r="G279" s="483">
        <f>((0.69*(1.92/0.1))*1) + ((0.59*(1.92/0.1))*2)</f>
        <v>35.903999999999996</v>
      </c>
      <c r="H279" s="488"/>
      <c r="I279" s="155">
        <v>0.154</v>
      </c>
      <c r="J279" s="99"/>
      <c r="K279" s="82">
        <f t="shared" si="8"/>
        <v>5.529215999999999</v>
      </c>
      <c r="L279" s="82"/>
      <c r="M279" s="82"/>
      <c r="N279" s="86"/>
    </row>
    <row r="280" spans="2:14" x14ac:dyDescent="0.25">
      <c r="B280" s="49"/>
      <c r="C280" s="57"/>
      <c r="D280" s="144" t="s">
        <v>615</v>
      </c>
      <c r="E280" s="64"/>
      <c r="F280" s="105">
        <v>1</v>
      </c>
      <c r="G280" s="483">
        <f>((0.79*(1.94/0.1))*3)</f>
        <v>45.977999999999994</v>
      </c>
      <c r="H280" s="488"/>
      <c r="I280" s="155">
        <v>0.154</v>
      </c>
      <c r="J280" s="99"/>
      <c r="K280" s="82">
        <f t="shared" si="8"/>
        <v>7.0806119999999995</v>
      </c>
      <c r="L280" s="82"/>
      <c r="M280" s="82"/>
      <c r="N280" s="86"/>
    </row>
    <row r="281" spans="2:14" ht="17.45" customHeight="1" x14ac:dyDescent="0.25">
      <c r="B281" s="49"/>
      <c r="C281" s="57"/>
      <c r="D281" s="144" t="s">
        <v>616</v>
      </c>
      <c r="E281" s="64"/>
      <c r="F281" s="105">
        <v>1</v>
      </c>
      <c r="G281" s="483">
        <f>((0.69*(1.96/0.1))*3) + ((0.59*(1.96/0.1))*2)</f>
        <v>63.699999999999989</v>
      </c>
      <c r="H281" s="488"/>
      <c r="I281" s="155">
        <v>0.154</v>
      </c>
      <c r="J281" s="99"/>
      <c r="K281" s="82">
        <f t="shared" si="8"/>
        <v>9.8097999999999974</v>
      </c>
      <c r="L281" s="82"/>
      <c r="M281" s="82"/>
      <c r="N281" s="86"/>
    </row>
    <row r="282" spans="2:14" ht="22.5" x14ac:dyDescent="0.25">
      <c r="B282" s="49"/>
      <c r="C282" s="57"/>
      <c r="D282" s="144" t="s">
        <v>617</v>
      </c>
      <c r="E282" s="64"/>
      <c r="F282" s="105">
        <v>1</v>
      </c>
      <c r="G282" s="483">
        <f>((0.59*(1.95/0.1))*2) + ((0.69*(1.95/0.1))*3) +((0.79*(1.95/0.1))*1)</f>
        <v>78.78</v>
      </c>
      <c r="H282" s="488"/>
      <c r="I282" s="155">
        <v>0.154</v>
      </c>
      <c r="J282" s="99"/>
      <c r="K282" s="82">
        <f t="shared" si="8"/>
        <v>12.13212</v>
      </c>
      <c r="L282" s="82"/>
      <c r="M282" s="82"/>
      <c r="N282" s="86"/>
    </row>
    <row r="283" spans="2:14" x14ac:dyDescent="0.25">
      <c r="B283" s="49"/>
      <c r="C283" s="57"/>
      <c r="D283" s="144" t="s">
        <v>618</v>
      </c>
      <c r="E283" s="64"/>
      <c r="F283" s="105">
        <v>1</v>
      </c>
      <c r="G283" s="483">
        <f>((0.59*(1.97/0.1))*1)  +((0.79*(1.97/0.1))*2)</f>
        <v>42.749000000000002</v>
      </c>
      <c r="H283" s="488"/>
      <c r="I283" s="155">
        <v>0.154</v>
      </c>
      <c r="J283" s="99"/>
      <c r="K283" s="82">
        <f t="shared" si="8"/>
        <v>6.5833460000000006</v>
      </c>
      <c r="L283" s="82"/>
      <c r="M283" s="82"/>
      <c r="N283" s="86"/>
    </row>
    <row r="284" spans="2:14" x14ac:dyDescent="0.25">
      <c r="B284" s="49"/>
      <c r="C284" s="57"/>
      <c r="D284" s="144" t="s">
        <v>631</v>
      </c>
      <c r="E284" s="64"/>
      <c r="F284" s="105">
        <v>1</v>
      </c>
      <c r="G284" s="483">
        <f>((0.59*(1.9/0.1))*3)</f>
        <v>33.629999999999995</v>
      </c>
      <c r="H284" s="488"/>
      <c r="I284" s="155">
        <v>0.154</v>
      </c>
      <c r="J284" s="99"/>
      <c r="K284" s="82">
        <f t="shared" si="8"/>
        <v>5.1790199999999995</v>
      </c>
      <c r="L284" s="82"/>
      <c r="M284" s="82"/>
      <c r="N284" s="86"/>
    </row>
    <row r="285" spans="2:14" x14ac:dyDescent="0.25">
      <c r="B285" s="49"/>
      <c r="C285" s="57"/>
      <c r="D285" s="144" t="s">
        <v>632</v>
      </c>
      <c r="E285" s="64"/>
      <c r="F285" s="105">
        <v>1</v>
      </c>
      <c r="G285" s="483">
        <f>((0.69*(1.86/0.1))*1) + ((0.69*(1.86/0.1))*1) + ((0.89*(1.86/0.1))*1)</f>
        <v>42.222000000000001</v>
      </c>
      <c r="H285" s="488"/>
      <c r="I285" s="155">
        <v>0.154</v>
      </c>
      <c r="J285" s="99"/>
      <c r="K285" s="82">
        <f t="shared" si="8"/>
        <v>6.5021880000000003</v>
      </c>
      <c r="L285" s="82"/>
      <c r="M285" s="82"/>
      <c r="N285" s="86"/>
    </row>
    <row r="286" spans="2:14" x14ac:dyDescent="0.25">
      <c r="B286" s="49"/>
      <c r="C286" s="57"/>
      <c r="D286" s="144" t="s">
        <v>634</v>
      </c>
      <c r="E286" s="64"/>
      <c r="F286" s="105">
        <v>1</v>
      </c>
      <c r="G286" s="483">
        <f>((0.69*(1.87/0.1))*3)</f>
        <v>38.708999999999996</v>
      </c>
      <c r="H286" s="488"/>
      <c r="I286" s="155">
        <v>0.154</v>
      </c>
      <c r="J286" s="99"/>
      <c r="K286" s="82">
        <f t="shared" si="8"/>
        <v>5.9611859999999997</v>
      </c>
      <c r="L286" s="82"/>
      <c r="M286" s="82"/>
      <c r="N286" s="86"/>
    </row>
    <row r="287" spans="2:14" x14ac:dyDescent="0.25">
      <c r="B287" s="49"/>
      <c r="C287" s="57"/>
      <c r="D287" s="144" t="s">
        <v>619</v>
      </c>
      <c r="E287" s="64"/>
      <c r="F287" s="105">
        <v>1</v>
      </c>
      <c r="G287" s="483">
        <f>((0.69*(1.9/0.1))*1) + ((0.79*(1.9/0.1))*2) + ((0.59*(1.9/0.1))*1)</f>
        <v>54.339999999999989</v>
      </c>
      <c r="H287" s="488"/>
      <c r="I287" s="155">
        <v>0.154</v>
      </c>
      <c r="J287" s="99"/>
      <c r="K287" s="82">
        <f t="shared" si="8"/>
        <v>8.3683599999999974</v>
      </c>
      <c r="L287" s="82"/>
      <c r="M287" s="82"/>
      <c r="N287" s="86"/>
    </row>
    <row r="288" spans="2:14" x14ac:dyDescent="0.25">
      <c r="B288" s="49"/>
      <c r="C288" s="57"/>
      <c r="D288" s="144" t="s">
        <v>620</v>
      </c>
      <c r="E288" s="64"/>
      <c r="F288" s="105">
        <v>1</v>
      </c>
      <c r="G288" s="483">
        <f>((0.79*(1.91/0.1))*1) +((0.59*(1.91/0.1))*1)</f>
        <v>26.357999999999997</v>
      </c>
      <c r="H288" s="488"/>
      <c r="I288" s="155">
        <v>0.154</v>
      </c>
      <c r="J288" s="99"/>
      <c r="K288" s="82">
        <f t="shared" si="8"/>
        <v>4.0591319999999991</v>
      </c>
      <c r="L288" s="82"/>
      <c r="M288" s="82"/>
      <c r="N288" s="86"/>
    </row>
    <row r="289" spans="2:14" ht="22.5" x14ac:dyDescent="0.25">
      <c r="B289" s="49"/>
      <c r="C289" s="57"/>
      <c r="D289" s="144" t="s">
        <v>621</v>
      </c>
      <c r="E289" s="64"/>
      <c r="F289" s="105">
        <v>1</v>
      </c>
      <c r="G289" s="483">
        <f>((0.79*(1.94/0.1))*1) +((0.59*(1.94/0.1))*5)</f>
        <v>72.555999999999983</v>
      </c>
      <c r="H289" s="488"/>
      <c r="I289" s="155">
        <v>0.154</v>
      </c>
      <c r="J289" s="99"/>
      <c r="K289" s="82">
        <f t="shared" si="8"/>
        <v>11.173623999999997</v>
      </c>
      <c r="L289" s="82"/>
      <c r="M289" s="82"/>
      <c r="N289" s="86"/>
    </row>
    <row r="290" spans="2:14" x14ac:dyDescent="0.25">
      <c r="B290" s="49"/>
      <c r="C290" s="57"/>
      <c r="D290" s="144" t="s">
        <v>622</v>
      </c>
      <c r="E290" s="64"/>
      <c r="F290" s="105">
        <v>1</v>
      </c>
      <c r="G290" s="483">
        <f>((0.69*(1.92/0.1))*2) + ((0.69*(1.92/0.1))*1)</f>
        <v>39.744</v>
      </c>
      <c r="H290" s="488"/>
      <c r="I290" s="155">
        <v>0.154</v>
      </c>
      <c r="J290" s="99"/>
      <c r="K290" s="82">
        <f t="shared" si="8"/>
        <v>6.1205759999999998</v>
      </c>
      <c r="L290" s="82"/>
      <c r="M290" s="82"/>
      <c r="N290" s="86"/>
    </row>
    <row r="291" spans="2:14" x14ac:dyDescent="0.25">
      <c r="B291" s="49"/>
      <c r="C291" s="57"/>
      <c r="D291" s="144" t="s">
        <v>635</v>
      </c>
      <c r="E291" s="64"/>
      <c r="F291" s="105">
        <v>1</v>
      </c>
      <c r="G291" s="483">
        <f>((0.59*(1.93/0.1))*2) + ((0.79*(1.93/0.1))*1)</f>
        <v>38.020999999999994</v>
      </c>
      <c r="H291" s="488"/>
      <c r="I291" s="155">
        <v>0.154</v>
      </c>
      <c r="J291" s="99"/>
      <c r="K291" s="82">
        <f t="shared" si="8"/>
        <v>5.8552339999999994</v>
      </c>
      <c r="L291" s="82"/>
      <c r="M291" s="82"/>
      <c r="N291" s="86"/>
    </row>
    <row r="292" spans="2:14" x14ac:dyDescent="0.25">
      <c r="B292" s="49"/>
      <c r="C292" s="57"/>
      <c r="D292" s="144" t="s">
        <v>623</v>
      </c>
      <c r="E292" s="64"/>
      <c r="F292" s="105">
        <v>1</v>
      </c>
      <c r="G292" s="483">
        <f>((0.59*(1.87/0.1))*2) + ((0.69*(1.87/0.1))*2)</f>
        <v>47.872</v>
      </c>
      <c r="H292" s="488"/>
      <c r="I292" s="155">
        <v>0.154</v>
      </c>
      <c r="J292" s="99"/>
      <c r="K292" s="82">
        <f t="shared" si="8"/>
        <v>7.3722880000000002</v>
      </c>
      <c r="L292" s="82"/>
      <c r="M292" s="82"/>
      <c r="N292" s="86"/>
    </row>
    <row r="293" spans="2:14" x14ac:dyDescent="0.25">
      <c r="B293" s="49"/>
      <c r="C293" s="57"/>
      <c r="D293" s="144" t="s">
        <v>624</v>
      </c>
      <c r="E293" s="64"/>
      <c r="F293" s="105">
        <v>1</v>
      </c>
      <c r="G293" s="483">
        <f>((0.59*(1.88/0.1))*3) + ((0.69*(1.88/0.1))*1)</f>
        <v>46.24799999999999</v>
      </c>
      <c r="H293" s="488"/>
      <c r="I293" s="155">
        <v>0.154</v>
      </c>
      <c r="J293" s="99"/>
      <c r="K293" s="82">
        <f t="shared" si="8"/>
        <v>7.1221919999999983</v>
      </c>
      <c r="L293" s="82"/>
      <c r="M293" s="82"/>
      <c r="N293" s="86"/>
    </row>
    <row r="294" spans="2:14" x14ac:dyDescent="0.25">
      <c r="B294" s="49"/>
      <c r="C294" s="57"/>
      <c r="D294" s="144" t="s">
        <v>625</v>
      </c>
      <c r="E294" s="64"/>
      <c r="F294" s="105">
        <v>1</v>
      </c>
      <c r="G294" s="483">
        <f>((0.79*(1.9/0.1))*1) + ((0.69*(1.9/0.1))*3)</f>
        <v>54.339999999999982</v>
      </c>
      <c r="H294" s="488"/>
      <c r="I294" s="155">
        <v>0.154</v>
      </c>
      <c r="J294" s="99"/>
      <c r="K294" s="82">
        <f t="shared" si="8"/>
        <v>8.3683599999999974</v>
      </c>
      <c r="L294" s="82"/>
      <c r="M294" s="82"/>
      <c r="N294" s="86"/>
    </row>
    <row r="295" spans="2:14" x14ac:dyDescent="0.25">
      <c r="B295" s="49"/>
      <c r="C295" s="57"/>
      <c r="D295" s="144" t="s">
        <v>637</v>
      </c>
      <c r="E295" s="64"/>
      <c r="F295" s="105">
        <v>1</v>
      </c>
      <c r="G295" s="483">
        <f>((0.59*(1.9/0.1))*1)</f>
        <v>11.209999999999997</v>
      </c>
      <c r="H295" s="488"/>
      <c r="I295" s="155">
        <v>0.154</v>
      </c>
      <c r="J295" s="99"/>
      <c r="K295" s="82">
        <f t="shared" si="8"/>
        <v>1.7263399999999995</v>
      </c>
      <c r="L295" s="82"/>
      <c r="M295" s="82"/>
      <c r="N295" s="86"/>
    </row>
    <row r="296" spans="2:14" x14ac:dyDescent="0.25">
      <c r="B296" s="49"/>
      <c r="C296" s="57"/>
      <c r="D296" s="144" t="s">
        <v>636</v>
      </c>
      <c r="E296" s="64"/>
      <c r="F296" s="105">
        <v>1</v>
      </c>
      <c r="G296" s="483">
        <f>((0.69*(1.87/0.1))*1) + ((0.59*(1.87/0.1))*1)</f>
        <v>23.936</v>
      </c>
      <c r="H296" s="488"/>
      <c r="I296" s="155">
        <v>0.154</v>
      </c>
      <c r="J296" s="99"/>
      <c r="K296" s="82">
        <f t="shared" si="8"/>
        <v>3.6861440000000001</v>
      </c>
      <c r="L296" s="82"/>
      <c r="M296" s="82"/>
      <c r="N296" s="86"/>
    </row>
    <row r="297" spans="2:14" x14ac:dyDescent="0.25">
      <c r="B297" s="49"/>
      <c r="C297" s="57"/>
      <c r="D297" s="144" t="s">
        <v>638</v>
      </c>
      <c r="E297" s="64"/>
      <c r="F297" s="105">
        <v>1</v>
      </c>
      <c r="G297" s="483">
        <f>((0.69*(2/0.1))*1) + ((0.59*(2/0.1))*2)</f>
        <v>37.4</v>
      </c>
      <c r="H297" s="488"/>
      <c r="I297" s="155">
        <v>0.154</v>
      </c>
      <c r="J297" s="99"/>
      <c r="K297" s="82">
        <f t="shared" si="8"/>
        <v>5.7595999999999998</v>
      </c>
      <c r="L297" s="82"/>
      <c r="M297" s="82"/>
      <c r="N297" s="86"/>
    </row>
    <row r="298" spans="2:14" ht="22.5" x14ac:dyDescent="0.25">
      <c r="B298" s="49"/>
      <c r="C298" s="57"/>
      <c r="D298" s="144" t="s">
        <v>626</v>
      </c>
      <c r="E298" s="64"/>
      <c r="F298" s="105">
        <v>1</v>
      </c>
      <c r="G298" s="483">
        <f>((0.69*(2.01/0.1))*1) + ((0.59*(2.01/0.1))*5) + ((0.79*(2.01/0.1))*1)</f>
        <v>89.042999999999992</v>
      </c>
      <c r="H298" s="488"/>
      <c r="I298" s="155">
        <v>0.154</v>
      </c>
      <c r="J298" s="99"/>
      <c r="K298" s="82">
        <f t="shared" si="8"/>
        <v>13.712621999999998</v>
      </c>
      <c r="L298" s="82"/>
      <c r="M298" s="82"/>
      <c r="N298" s="86"/>
    </row>
    <row r="299" spans="2:14" x14ac:dyDescent="0.25">
      <c r="B299" s="49"/>
      <c r="C299" s="57"/>
      <c r="D299" s="144" t="s">
        <v>639</v>
      </c>
      <c r="E299" s="64"/>
      <c r="F299" s="105">
        <v>1</v>
      </c>
      <c r="G299" s="483">
        <f>(((1.39+0.47+0.47))*(1.86/0.15))</f>
        <v>28.892000000000003</v>
      </c>
      <c r="H299" s="488"/>
      <c r="I299" s="155">
        <v>0.154</v>
      </c>
      <c r="J299" s="99"/>
      <c r="K299" s="82">
        <f>F299*G299*I299</f>
        <v>4.4493680000000007</v>
      </c>
      <c r="L299" s="82"/>
      <c r="M299" s="82"/>
      <c r="N299" s="86"/>
    </row>
    <row r="300" spans="2:14" x14ac:dyDescent="0.25">
      <c r="B300" s="49"/>
      <c r="C300" s="57"/>
      <c r="D300" s="144" t="s">
        <v>640</v>
      </c>
      <c r="E300" s="64"/>
      <c r="F300" s="105">
        <v>1</v>
      </c>
      <c r="G300" s="483">
        <f>(((1.09+0.022))*(1.87/0.15))</f>
        <v>13.862933333333336</v>
      </c>
      <c r="H300" s="488"/>
      <c r="I300" s="155">
        <v>0.154</v>
      </c>
      <c r="J300" s="99"/>
      <c r="K300" s="82">
        <f>F300*G300*I300</f>
        <v>2.1348917333333337</v>
      </c>
      <c r="L300" s="82"/>
      <c r="M300" s="82"/>
      <c r="N300" s="86"/>
    </row>
    <row r="301" spans="2:14" x14ac:dyDescent="0.25">
      <c r="B301" s="49"/>
      <c r="C301" s="57"/>
      <c r="D301" s="144" t="s">
        <v>641</v>
      </c>
      <c r="E301" s="64"/>
      <c r="F301" s="105">
        <v>1</v>
      </c>
      <c r="G301" s="483">
        <f>(((1.09+0.022))*(1.89/0.15))</f>
        <v>14.011200000000001</v>
      </c>
      <c r="H301" s="488"/>
      <c r="I301" s="155">
        <v>0.154</v>
      </c>
      <c r="J301" s="99"/>
      <c r="K301" s="82">
        <f t="shared" si="8"/>
        <v>2.1577248</v>
      </c>
      <c r="L301" s="82"/>
      <c r="M301" s="82"/>
      <c r="N301" s="86"/>
    </row>
    <row r="302" spans="2:14" x14ac:dyDescent="0.25">
      <c r="B302" s="49"/>
      <c r="C302" s="57"/>
      <c r="D302" s="144" t="s">
        <v>642</v>
      </c>
      <c r="E302" s="64"/>
      <c r="F302" s="105">
        <v>1</v>
      </c>
      <c r="G302" s="483">
        <f>(((0.59))*(1.9/0.15))</f>
        <v>7.4733333333333327</v>
      </c>
      <c r="H302" s="488"/>
      <c r="I302" s="155">
        <v>0.154</v>
      </c>
      <c r="J302" s="99"/>
      <c r="K302" s="82">
        <f t="shared" si="8"/>
        <v>1.1508933333333333</v>
      </c>
      <c r="L302" s="82"/>
      <c r="M302" s="82"/>
      <c r="N302" s="86"/>
    </row>
    <row r="303" spans="2:14" x14ac:dyDescent="0.25">
      <c r="B303" s="49"/>
      <c r="C303" s="57"/>
      <c r="D303" s="144" t="s">
        <v>643</v>
      </c>
      <c r="E303" s="64"/>
      <c r="F303" s="105">
        <v>1</v>
      </c>
      <c r="G303" s="483">
        <f>(((0.59))*(1.92/0.15))</f>
        <v>7.5519999999999996</v>
      </c>
      <c r="H303" s="488"/>
      <c r="I303" s="155">
        <v>0.154</v>
      </c>
      <c r="J303" s="99"/>
      <c r="K303" s="82">
        <f t="shared" si="8"/>
        <v>1.1630079999999998</v>
      </c>
      <c r="L303" s="82"/>
      <c r="M303" s="82"/>
      <c r="N303" s="86"/>
    </row>
    <row r="304" spans="2:14" x14ac:dyDescent="0.25">
      <c r="B304" s="49"/>
      <c r="C304" s="57"/>
      <c r="D304" s="144" t="s">
        <v>644</v>
      </c>
      <c r="E304" s="64"/>
      <c r="F304" s="105">
        <v>1</v>
      </c>
      <c r="G304" s="483">
        <f>(((0.59))*(1.9/0.15))</f>
        <v>7.4733333333333327</v>
      </c>
      <c r="H304" s="488"/>
      <c r="I304" s="155">
        <v>0.154</v>
      </c>
      <c r="J304" s="99"/>
      <c r="K304" s="82">
        <f t="shared" si="8"/>
        <v>1.1508933333333333</v>
      </c>
      <c r="L304" s="82"/>
      <c r="M304" s="82"/>
      <c r="N304" s="86"/>
    </row>
    <row r="305" spans="2:14" x14ac:dyDescent="0.25">
      <c r="B305" s="49"/>
      <c r="C305" s="57"/>
      <c r="D305" s="144" t="s">
        <v>645</v>
      </c>
      <c r="E305" s="64"/>
      <c r="F305" s="105">
        <v>1</v>
      </c>
      <c r="G305" s="483">
        <f>(((0.69))*(1.98/0.15))</f>
        <v>9.1080000000000005</v>
      </c>
      <c r="H305" s="488"/>
      <c r="I305" s="155">
        <v>0.154</v>
      </c>
      <c r="J305" s="99"/>
      <c r="K305" s="82">
        <f t="shared" si="8"/>
        <v>1.4026320000000001</v>
      </c>
      <c r="L305" s="82"/>
      <c r="M305" s="82"/>
      <c r="N305" s="86"/>
    </row>
    <row r="306" spans="2:14" x14ac:dyDescent="0.25">
      <c r="B306" s="49"/>
      <c r="C306" s="57"/>
      <c r="D306" s="152" t="s">
        <v>1069</v>
      </c>
      <c r="E306" s="64"/>
      <c r="F306" s="94">
        <v>1</v>
      </c>
      <c r="G306" s="486">
        <v>268.7</v>
      </c>
      <c r="H306" s="489"/>
      <c r="I306" s="490"/>
      <c r="J306" s="157"/>
      <c r="K306" s="82">
        <f>F306*G306</f>
        <v>268.7</v>
      </c>
      <c r="L306" s="82"/>
      <c r="M306" s="82"/>
      <c r="N306" s="86"/>
    </row>
    <row r="307" spans="2:14" ht="22.5" x14ac:dyDescent="0.25">
      <c r="B307" s="49"/>
      <c r="C307" s="57"/>
      <c r="D307" s="432" t="s">
        <v>1082</v>
      </c>
      <c r="E307" s="64"/>
      <c r="F307" s="94">
        <v>1</v>
      </c>
      <c r="G307" s="486" t="s">
        <v>647</v>
      </c>
      <c r="H307" s="487"/>
      <c r="I307" s="122" t="s">
        <v>611</v>
      </c>
      <c r="J307" s="99"/>
      <c r="K307" s="82"/>
      <c r="L307" s="82"/>
      <c r="M307" s="82"/>
      <c r="N307" s="86"/>
    </row>
    <row r="308" spans="2:14" ht="33.75" x14ac:dyDescent="0.25">
      <c r="B308" s="49"/>
      <c r="C308" s="57"/>
      <c r="D308" s="144" t="s">
        <v>1052</v>
      </c>
      <c r="E308" s="64"/>
      <c r="F308" s="94">
        <v>1</v>
      </c>
      <c r="G308" s="483">
        <f>(((0.59))*(0.93/0.12))</f>
        <v>4.5725000000000007</v>
      </c>
      <c r="H308" s="488"/>
      <c r="I308" s="155">
        <v>0.154</v>
      </c>
      <c r="J308" s="99"/>
      <c r="K308" s="82">
        <f t="shared" ref="K308:K313" si="9">F308*G308*I308</f>
        <v>0.70416500000000004</v>
      </c>
      <c r="L308" s="82"/>
      <c r="M308" s="82"/>
      <c r="N308" s="86"/>
    </row>
    <row r="309" spans="2:14" ht="33.75" x14ac:dyDescent="0.25">
      <c r="B309" s="49"/>
      <c r="C309" s="57"/>
      <c r="D309" s="144" t="s">
        <v>1053</v>
      </c>
      <c r="E309" s="64"/>
      <c r="F309" s="94">
        <v>1</v>
      </c>
      <c r="G309" s="483">
        <f>(((0.59))*(0.8/0.12))</f>
        <v>3.9333333333333331</v>
      </c>
      <c r="H309" s="488"/>
      <c r="I309" s="155">
        <v>0.154</v>
      </c>
      <c r="J309" s="99"/>
      <c r="K309" s="82">
        <f t="shared" si="9"/>
        <v>0.60573333333333335</v>
      </c>
      <c r="L309" s="82"/>
      <c r="M309" s="82"/>
      <c r="N309" s="86"/>
    </row>
    <row r="310" spans="2:14" x14ac:dyDescent="0.25">
      <c r="B310" s="49"/>
      <c r="C310" s="57"/>
      <c r="D310" s="144" t="s">
        <v>1054</v>
      </c>
      <c r="E310" s="64"/>
      <c r="F310" s="94">
        <v>1</v>
      </c>
      <c r="G310" s="483">
        <f t="shared" ref="G310" si="10">(((0.59))*(3.1/0.12))</f>
        <v>15.241666666666667</v>
      </c>
      <c r="H310" s="488"/>
      <c r="I310" s="155">
        <v>0.154</v>
      </c>
      <c r="J310" s="99"/>
      <c r="K310" s="82">
        <f t="shared" si="9"/>
        <v>2.3472166666666667</v>
      </c>
      <c r="L310" s="82"/>
      <c r="M310" s="82"/>
      <c r="N310" s="86"/>
    </row>
    <row r="311" spans="2:14" x14ac:dyDescent="0.25">
      <c r="B311" s="49"/>
      <c r="C311" s="57"/>
      <c r="D311" s="144" t="s">
        <v>1055</v>
      </c>
      <c r="E311" s="64"/>
      <c r="F311" s="94">
        <v>1</v>
      </c>
      <c r="G311" s="483">
        <f>(((0.59))*(2.7/0.12))</f>
        <v>13.275000000000002</v>
      </c>
      <c r="H311" s="488"/>
      <c r="I311" s="155">
        <v>0.154</v>
      </c>
      <c r="J311" s="99"/>
      <c r="K311" s="82">
        <f t="shared" si="9"/>
        <v>2.0443500000000001</v>
      </c>
      <c r="L311" s="82"/>
      <c r="M311" s="82"/>
      <c r="N311" s="86"/>
    </row>
    <row r="312" spans="2:14" ht="22.5" x14ac:dyDescent="0.25">
      <c r="B312" s="49"/>
      <c r="C312" s="57"/>
      <c r="D312" s="144" t="s">
        <v>1073</v>
      </c>
      <c r="E312" s="64"/>
      <c r="F312" s="105">
        <v>2</v>
      </c>
      <c r="G312" s="483">
        <f>(((0.59))*(3.1/0.12))</f>
        <v>15.241666666666667</v>
      </c>
      <c r="H312" s="488"/>
      <c r="I312" s="155">
        <v>0.154</v>
      </c>
      <c r="J312" s="99"/>
      <c r="K312" s="82">
        <f t="shared" si="9"/>
        <v>4.6944333333333335</v>
      </c>
      <c r="L312" s="82"/>
      <c r="M312" s="82"/>
      <c r="N312" s="86"/>
    </row>
    <row r="313" spans="2:14" x14ac:dyDescent="0.25">
      <c r="B313" s="49"/>
      <c r="C313" s="57"/>
      <c r="D313" s="144" t="s">
        <v>607</v>
      </c>
      <c r="E313" s="64"/>
      <c r="F313" s="94">
        <v>1</v>
      </c>
      <c r="G313" s="483">
        <f xml:space="preserve"> (59*0.59)</f>
        <v>34.809999999999995</v>
      </c>
      <c r="H313" s="488"/>
      <c r="I313" s="155">
        <v>0.154</v>
      </c>
      <c r="J313" s="99"/>
      <c r="K313" s="82">
        <f t="shared" si="9"/>
        <v>5.360739999999999</v>
      </c>
      <c r="L313" s="82"/>
      <c r="M313" s="82"/>
      <c r="N313" s="86"/>
    </row>
    <row r="314" spans="2:14" ht="33.75" x14ac:dyDescent="0.25">
      <c r="B314" s="49" t="s">
        <v>75</v>
      </c>
      <c r="C314" s="57">
        <v>96544</v>
      </c>
      <c r="D314" s="52" t="s">
        <v>77</v>
      </c>
      <c r="E314" s="64" t="s">
        <v>62</v>
      </c>
      <c r="F314" s="94"/>
      <c r="G314" s="104"/>
      <c r="H314" s="92"/>
      <c r="I314" s="105"/>
      <c r="J314" s="99">
        <f>'BOLETIM DE MEDIÇÃO 05'!O34-'MEMORIAL DE CALCULO 10'!K314</f>
        <v>0</v>
      </c>
      <c r="K314" s="81">
        <f>SUM(K315)</f>
        <v>295</v>
      </c>
      <c r="L314" s="82">
        <f t="shared" si="0"/>
        <v>295</v>
      </c>
      <c r="M314" s="82">
        <f>'BOLETIM DE MEDIÇÃO 05'!G34</f>
        <v>295</v>
      </c>
      <c r="N314" s="86">
        <f t="shared" si="1"/>
        <v>0</v>
      </c>
    </row>
    <row r="315" spans="2:14" x14ac:dyDescent="0.25">
      <c r="B315" s="49"/>
      <c r="C315" s="57"/>
      <c r="D315" s="143" t="s">
        <v>588</v>
      </c>
      <c r="E315" s="64"/>
      <c r="F315" s="94">
        <v>1</v>
      </c>
      <c r="G315" s="483">
        <v>295</v>
      </c>
      <c r="H315" s="484"/>
      <c r="I315" s="485"/>
      <c r="J315" s="99"/>
      <c r="K315" s="82">
        <f>F315*G315</f>
        <v>295</v>
      </c>
      <c r="L315" s="82"/>
      <c r="M315" s="82"/>
      <c r="N315" s="86"/>
    </row>
    <row r="316" spans="2:14" ht="33.75" x14ac:dyDescent="0.25">
      <c r="B316" s="49" t="s">
        <v>78</v>
      </c>
      <c r="C316" s="57">
        <v>96546</v>
      </c>
      <c r="D316" s="52" t="s">
        <v>80</v>
      </c>
      <c r="E316" s="64" t="s">
        <v>62</v>
      </c>
      <c r="F316" s="94"/>
      <c r="G316" s="545" t="s">
        <v>1087</v>
      </c>
      <c r="H316" s="546"/>
      <c r="I316" s="547"/>
      <c r="J316" s="99">
        <f>'BOLETIM DE MEDIÇÃO 10'!R35-'MEMORIAL DE CALCULO 10'!K316</f>
        <v>534.1</v>
      </c>
      <c r="K316" s="81">
        <v>151.88999999999999</v>
      </c>
      <c r="L316" s="82">
        <f t="shared" si="0"/>
        <v>685.99</v>
      </c>
      <c r="M316" s="82">
        <v>685.99</v>
      </c>
      <c r="N316" s="86">
        <f t="shared" si="1"/>
        <v>0</v>
      </c>
    </row>
    <row r="317" spans="2:14" ht="39" customHeight="1" x14ac:dyDescent="0.25">
      <c r="B317" s="49"/>
      <c r="C317" s="57"/>
      <c r="D317" s="152" t="s">
        <v>627</v>
      </c>
      <c r="E317" s="64"/>
      <c r="F317" s="94"/>
      <c r="G317" s="486" t="s">
        <v>628</v>
      </c>
      <c r="H317" s="487"/>
      <c r="I317" s="122" t="s">
        <v>611</v>
      </c>
      <c r="J317" s="81"/>
      <c r="K317" s="81"/>
      <c r="L317" s="82"/>
      <c r="M317" s="82"/>
      <c r="N317" s="86"/>
    </row>
    <row r="318" spans="2:14" x14ac:dyDescent="0.25">
      <c r="B318" s="49"/>
      <c r="C318" s="57"/>
      <c r="D318" s="144" t="s">
        <v>614</v>
      </c>
      <c r="E318" s="64"/>
      <c r="F318" s="94">
        <v>1</v>
      </c>
      <c r="G318" s="483">
        <f xml:space="preserve"> (4*(0.2+0.25+1.85+0.33)) * 2</f>
        <v>21.040000000000003</v>
      </c>
      <c r="H318" s="488"/>
      <c r="I318" s="155">
        <v>0.61699999999999999</v>
      </c>
      <c r="J318" s="82"/>
      <c r="K318" s="82">
        <f t="shared" ref="K318:K340" si="11">F318*G318*I318</f>
        <v>12.981680000000001</v>
      </c>
      <c r="L318" s="82"/>
      <c r="M318" s="82"/>
      <c r="N318" s="86"/>
    </row>
    <row r="319" spans="2:14" x14ac:dyDescent="0.25">
      <c r="B319" s="49"/>
      <c r="C319" s="57"/>
      <c r="D319" s="144" t="s">
        <v>633</v>
      </c>
      <c r="E319" s="64"/>
      <c r="F319" s="94">
        <v>1</v>
      </c>
      <c r="G319" s="483">
        <f xml:space="preserve"> ((4*(0.2+0.25+1.87+0.33)) * 2)</f>
        <v>21.200000000000003</v>
      </c>
      <c r="H319" s="488"/>
      <c r="I319" s="155">
        <v>0.61699999999999999</v>
      </c>
      <c r="J319" s="82"/>
      <c r="K319" s="82">
        <f t="shared" si="11"/>
        <v>13.080400000000001</v>
      </c>
      <c r="L319" s="82"/>
      <c r="M319" s="82"/>
      <c r="N319" s="86"/>
    </row>
    <row r="320" spans="2:14" ht="22.5" x14ac:dyDescent="0.25">
      <c r="B320" s="49"/>
      <c r="C320" s="57"/>
      <c r="D320" s="144" t="s">
        <v>629</v>
      </c>
      <c r="E320" s="64"/>
      <c r="F320" s="94">
        <v>1</v>
      </c>
      <c r="G320" s="483">
        <f xml:space="preserve"> (4*(0.2+0.25+1.9+0.33)) * 5</f>
        <v>53.6</v>
      </c>
      <c r="H320" s="488"/>
      <c r="I320" s="155">
        <v>0.61699999999999999</v>
      </c>
      <c r="J320" s="82"/>
      <c r="K320" s="82">
        <f t="shared" si="11"/>
        <v>33.071199999999997</v>
      </c>
      <c r="L320" s="82"/>
      <c r="M320" s="82"/>
      <c r="N320" s="86"/>
    </row>
    <row r="321" spans="2:14" x14ac:dyDescent="0.25">
      <c r="B321" s="49"/>
      <c r="C321" s="57"/>
      <c r="D321" s="144" t="s">
        <v>630</v>
      </c>
      <c r="E321" s="64"/>
      <c r="F321" s="94">
        <v>1</v>
      </c>
      <c r="G321" s="483">
        <f xml:space="preserve"> (4*(0.2+0.25+1.92+0.33)) *3</f>
        <v>32.400000000000006</v>
      </c>
      <c r="H321" s="488"/>
      <c r="I321" s="155">
        <v>0.61699999999999999</v>
      </c>
      <c r="J321" s="82"/>
      <c r="K321" s="82">
        <f t="shared" si="11"/>
        <v>19.990800000000004</v>
      </c>
      <c r="L321" s="82"/>
      <c r="M321" s="82"/>
      <c r="N321" s="86"/>
    </row>
    <row r="322" spans="2:14" x14ac:dyDescent="0.25">
      <c r="B322" s="49"/>
      <c r="C322" s="57"/>
      <c r="D322" s="144" t="s">
        <v>615</v>
      </c>
      <c r="E322" s="64"/>
      <c r="F322" s="94">
        <v>1</v>
      </c>
      <c r="G322" s="483">
        <f xml:space="preserve"> (4*(0.2+0.25+1.94+0.33)) * 3</f>
        <v>32.64</v>
      </c>
      <c r="H322" s="488"/>
      <c r="I322" s="155">
        <v>0.61699999999999999</v>
      </c>
      <c r="J322" s="82"/>
      <c r="K322" s="82">
        <f t="shared" si="11"/>
        <v>20.13888</v>
      </c>
      <c r="L322" s="82"/>
      <c r="M322" s="82"/>
      <c r="N322" s="86"/>
    </row>
    <row r="323" spans="2:14" ht="22.5" x14ac:dyDescent="0.25">
      <c r="B323" s="49"/>
      <c r="C323" s="57"/>
      <c r="D323" s="144" t="s">
        <v>616</v>
      </c>
      <c r="E323" s="64"/>
      <c r="F323" s="94">
        <v>1</v>
      </c>
      <c r="G323" s="483">
        <f xml:space="preserve"> (4*(0.2+0.25+1.96+0.33)) * 5</f>
        <v>54.800000000000004</v>
      </c>
      <c r="H323" s="488"/>
      <c r="I323" s="155">
        <v>0.61699999999999999</v>
      </c>
      <c r="J323" s="82"/>
      <c r="K323" s="82">
        <f t="shared" si="11"/>
        <v>33.811600000000006</v>
      </c>
      <c r="L323" s="82"/>
      <c r="M323" s="82"/>
      <c r="N323" s="86"/>
    </row>
    <row r="324" spans="2:14" ht="22.5" x14ac:dyDescent="0.25">
      <c r="B324" s="49"/>
      <c r="C324" s="57"/>
      <c r="D324" s="144" t="s">
        <v>617</v>
      </c>
      <c r="E324" s="64"/>
      <c r="F324" s="94">
        <v>1</v>
      </c>
      <c r="G324" s="483">
        <f xml:space="preserve"> (4*(0.2+0.25+1.95+0.33)) * 6</f>
        <v>65.52</v>
      </c>
      <c r="H324" s="488"/>
      <c r="I324" s="155">
        <v>0.61699999999999999</v>
      </c>
      <c r="J324" s="82"/>
      <c r="K324" s="82">
        <f t="shared" si="11"/>
        <v>40.425839999999994</v>
      </c>
      <c r="L324" s="82"/>
      <c r="M324" s="82"/>
      <c r="N324" s="86"/>
    </row>
    <row r="325" spans="2:14" x14ac:dyDescent="0.25">
      <c r="B325" s="49"/>
      <c r="C325" s="57"/>
      <c r="D325" s="144" t="s">
        <v>618</v>
      </c>
      <c r="E325" s="64"/>
      <c r="F325" s="94">
        <v>1</v>
      </c>
      <c r="G325" s="483">
        <f xml:space="preserve"> (4*(0.2+0.25+1.97+0.33)) * 3</f>
        <v>33</v>
      </c>
      <c r="H325" s="488"/>
      <c r="I325" s="155">
        <v>0.61699999999999999</v>
      </c>
      <c r="J325" s="82"/>
      <c r="K325" s="82">
        <f t="shared" si="11"/>
        <v>20.361000000000001</v>
      </c>
      <c r="L325" s="82"/>
      <c r="M325" s="82"/>
      <c r="N325" s="86"/>
    </row>
    <row r="326" spans="2:14" x14ac:dyDescent="0.25">
      <c r="B326" s="49"/>
      <c r="C326" s="57"/>
      <c r="D326" s="144" t="s">
        <v>631</v>
      </c>
      <c r="E326" s="64"/>
      <c r="F326" s="94">
        <v>1</v>
      </c>
      <c r="G326" s="483">
        <f xml:space="preserve"> (4*(0.2+0.25+1.9+0.33)) * 3</f>
        <v>32.160000000000004</v>
      </c>
      <c r="H326" s="488"/>
      <c r="I326" s="155">
        <v>0.61699999999999999</v>
      </c>
      <c r="J326" s="82"/>
      <c r="K326" s="82">
        <f t="shared" si="11"/>
        <v>19.842720000000003</v>
      </c>
      <c r="L326" s="82"/>
      <c r="M326" s="82"/>
      <c r="N326" s="86"/>
    </row>
    <row r="327" spans="2:14" x14ac:dyDescent="0.25">
      <c r="B327" s="49"/>
      <c r="C327" s="57"/>
      <c r="D327" s="144" t="s">
        <v>632</v>
      </c>
      <c r="E327" s="64"/>
      <c r="F327" s="94">
        <v>1</v>
      </c>
      <c r="G327" s="483">
        <f xml:space="preserve"> ((4*(0.2+0.25+1.86+0.33)) * 3)</f>
        <v>31.68</v>
      </c>
      <c r="H327" s="488"/>
      <c r="I327" s="155">
        <v>0.61699999999999999</v>
      </c>
      <c r="J327" s="82"/>
      <c r="K327" s="82">
        <f t="shared" si="11"/>
        <v>19.546559999999999</v>
      </c>
      <c r="L327" s="82"/>
      <c r="M327" s="82"/>
      <c r="N327" s="86"/>
    </row>
    <row r="328" spans="2:14" x14ac:dyDescent="0.25">
      <c r="B328" s="49"/>
      <c r="C328" s="57"/>
      <c r="D328" s="144" t="s">
        <v>634</v>
      </c>
      <c r="E328" s="64"/>
      <c r="F328" s="94">
        <v>1</v>
      </c>
      <c r="G328" s="483">
        <f xml:space="preserve"> ((4*(0.2+0.25+1.87+0.33)) * 3)</f>
        <v>31.800000000000004</v>
      </c>
      <c r="H328" s="488"/>
      <c r="I328" s="155">
        <v>0.61699999999999999</v>
      </c>
      <c r="J328" s="82"/>
      <c r="K328" s="82">
        <f t="shared" si="11"/>
        <v>19.620600000000003</v>
      </c>
      <c r="L328" s="82"/>
      <c r="M328" s="82"/>
      <c r="N328" s="86"/>
    </row>
    <row r="329" spans="2:14" x14ac:dyDescent="0.25">
      <c r="B329" s="49"/>
      <c r="C329" s="57"/>
      <c r="D329" s="144" t="s">
        <v>619</v>
      </c>
      <c r="E329" s="64"/>
      <c r="F329" s="94">
        <v>1</v>
      </c>
      <c r="G329" s="483">
        <f xml:space="preserve"> ((4*(0.2+0.25+1.9+0.33)) * 4)</f>
        <v>42.88</v>
      </c>
      <c r="H329" s="488"/>
      <c r="I329" s="155">
        <v>0.61699999999999999</v>
      </c>
      <c r="J329" s="82"/>
      <c r="K329" s="82">
        <f t="shared" si="11"/>
        <v>26.456960000000002</v>
      </c>
      <c r="L329" s="82"/>
      <c r="M329" s="82"/>
      <c r="N329" s="86"/>
    </row>
    <row r="330" spans="2:14" x14ac:dyDescent="0.25">
      <c r="B330" s="49"/>
      <c r="C330" s="57"/>
      <c r="D330" s="144" t="s">
        <v>620</v>
      </c>
      <c r="E330" s="64"/>
      <c r="F330" s="94">
        <v>1</v>
      </c>
      <c r="G330" s="483">
        <f xml:space="preserve"> ((4*(0.2+0.25+1.91+0.33)) * 2)</f>
        <v>21.52</v>
      </c>
      <c r="H330" s="488"/>
      <c r="I330" s="155">
        <v>0.61699999999999999</v>
      </c>
      <c r="J330" s="82"/>
      <c r="K330" s="82">
        <f t="shared" si="11"/>
        <v>13.277839999999999</v>
      </c>
      <c r="L330" s="82"/>
      <c r="M330" s="82"/>
      <c r="N330" s="86"/>
    </row>
    <row r="331" spans="2:14" ht="22.5" x14ac:dyDescent="0.25">
      <c r="B331" s="49"/>
      <c r="C331" s="57"/>
      <c r="D331" s="144" t="s">
        <v>621</v>
      </c>
      <c r="E331" s="64"/>
      <c r="F331" s="94">
        <v>1</v>
      </c>
      <c r="G331" s="483">
        <f xml:space="preserve"> ((4*(0.2+0.25+1.94+0.33)) * 6)</f>
        <v>65.28</v>
      </c>
      <c r="H331" s="488"/>
      <c r="I331" s="155">
        <v>0.61699999999999999</v>
      </c>
      <c r="J331" s="82"/>
      <c r="K331" s="82">
        <f t="shared" si="11"/>
        <v>40.277760000000001</v>
      </c>
      <c r="L331" s="82"/>
      <c r="M331" s="82"/>
      <c r="N331" s="86"/>
    </row>
    <row r="332" spans="2:14" x14ac:dyDescent="0.25">
      <c r="B332" s="49"/>
      <c r="C332" s="57"/>
      <c r="D332" s="144" t="s">
        <v>622</v>
      </c>
      <c r="E332" s="64"/>
      <c r="F332" s="94">
        <v>1</v>
      </c>
      <c r="G332" s="483">
        <f xml:space="preserve"> ((4*(0.2+0.25+1.92+0.33)) *3)</f>
        <v>32.400000000000006</v>
      </c>
      <c r="H332" s="488"/>
      <c r="I332" s="155">
        <v>0.61699999999999999</v>
      </c>
      <c r="J332" s="82"/>
      <c r="K332" s="82">
        <f t="shared" si="11"/>
        <v>19.990800000000004</v>
      </c>
      <c r="L332" s="82"/>
      <c r="M332" s="82"/>
      <c r="N332" s="86"/>
    </row>
    <row r="333" spans="2:14" x14ac:dyDescent="0.25">
      <c r="B333" s="49"/>
      <c r="C333" s="57"/>
      <c r="D333" s="144" t="s">
        <v>635</v>
      </c>
      <c r="E333" s="64"/>
      <c r="F333" s="94">
        <v>1</v>
      </c>
      <c r="G333" s="483">
        <f xml:space="preserve"> ((4*(0.2+0.25+1.93+0.33)) *3)</f>
        <v>32.519999999999996</v>
      </c>
      <c r="H333" s="488"/>
      <c r="I333" s="155">
        <v>0.61699999999999999</v>
      </c>
      <c r="J333" s="82"/>
      <c r="K333" s="82">
        <f t="shared" si="11"/>
        <v>20.064839999999997</v>
      </c>
      <c r="L333" s="82"/>
      <c r="M333" s="82"/>
      <c r="N333" s="86"/>
    </row>
    <row r="334" spans="2:14" x14ac:dyDescent="0.25">
      <c r="B334" s="49"/>
      <c r="C334" s="57"/>
      <c r="D334" s="144" t="s">
        <v>623</v>
      </c>
      <c r="E334" s="64"/>
      <c r="F334" s="94">
        <v>1</v>
      </c>
      <c r="G334" s="483">
        <f xml:space="preserve"> ((4*(0.2+0.25+1.87+0.33)) *4)</f>
        <v>42.400000000000006</v>
      </c>
      <c r="H334" s="488"/>
      <c r="I334" s="155">
        <v>0.61699999999999999</v>
      </c>
      <c r="J334" s="82"/>
      <c r="K334" s="82">
        <f t="shared" si="11"/>
        <v>26.160800000000002</v>
      </c>
      <c r="L334" s="82"/>
      <c r="M334" s="82"/>
      <c r="N334" s="86"/>
    </row>
    <row r="335" spans="2:14" x14ac:dyDescent="0.25">
      <c r="B335" s="49"/>
      <c r="C335" s="57"/>
      <c r="D335" s="144" t="s">
        <v>624</v>
      </c>
      <c r="E335" s="64"/>
      <c r="F335" s="94">
        <v>1</v>
      </c>
      <c r="G335" s="483">
        <f xml:space="preserve"> ((4*(0.2+0.25+1.88+0.33)) *4)</f>
        <v>42.56</v>
      </c>
      <c r="H335" s="488"/>
      <c r="I335" s="155">
        <v>0.61699999999999999</v>
      </c>
      <c r="J335" s="82"/>
      <c r="K335" s="82">
        <f t="shared" si="11"/>
        <v>26.259520000000002</v>
      </c>
      <c r="L335" s="82"/>
      <c r="M335" s="82"/>
      <c r="N335" s="86"/>
    </row>
    <row r="336" spans="2:14" x14ac:dyDescent="0.25">
      <c r="B336" s="49"/>
      <c r="C336" s="57"/>
      <c r="D336" s="144" t="s">
        <v>625</v>
      </c>
      <c r="E336" s="64"/>
      <c r="F336" s="94">
        <v>1</v>
      </c>
      <c r="G336" s="483">
        <f xml:space="preserve"> ((4*(0.2+0.25+1.9+0.33)) *4)</f>
        <v>42.88</v>
      </c>
      <c r="H336" s="488"/>
      <c r="I336" s="155">
        <v>0.61699999999999999</v>
      </c>
      <c r="J336" s="82"/>
      <c r="K336" s="82">
        <f t="shared" si="11"/>
        <v>26.456960000000002</v>
      </c>
      <c r="L336" s="82"/>
      <c r="M336" s="82"/>
      <c r="N336" s="86"/>
    </row>
    <row r="337" spans="2:14" x14ac:dyDescent="0.25">
      <c r="B337" s="49"/>
      <c r="C337" s="57"/>
      <c r="D337" s="144" t="s">
        <v>637</v>
      </c>
      <c r="E337" s="64"/>
      <c r="F337" s="94">
        <v>1</v>
      </c>
      <c r="G337" s="483">
        <f>((4*(0.2+0.25+1.9+0.33))) + ((8*(0.2+0.25+1.9)))</f>
        <v>29.520000000000003</v>
      </c>
      <c r="H337" s="488"/>
      <c r="I337" s="155">
        <v>0.61699999999999999</v>
      </c>
      <c r="J337" s="82"/>
      <c r="K337" s="82">
        <f t="shared" si="11"/>
        <v>18.213840000000001</v>
      </c>
      <c r="L337" s="82"/>
      <c r="M337" s="82"/>
      <c r="N337" s="86"/>
    </row>
    <row r="338" spans="2:14" x14ac:dyDescent="0.25">
      <c r="B338" s="49"/>
      <c r="C338" s="57"/>
      <c r="D338" s="144" t="s">
        <v>636</v>
      </c>
      <c r="E338" s="64"/>
      <c r="F338" s="94">
        <v>1</v>
      </c>
      <c r="G338" s="483">
        <f xml:space="preserve"> ((4*(0.2+0.25+1.97+0.33)) *2)</f>
        <v>22</v>
      </c>
      <c r="H338" s="488"/>
      <c r="I338" s="155">
        <v>0.61699999999999999</v>
      </c>
      <c r="J338" s="82"/>
      <c r="K338" s="82">
        <f t="shared" si="11"/>
        <v>13.574</v>
      </c>
      <c r="L338" s="82"/>
      <c r="M338" s="82"/>
      <c r="N338" s="86"/>
    </row>
    <row r="339" spans="2:14" x14ac:dyDescent="0.25">
      <c r="B339" s="49"/>
      <c r="C339" s="57"/>
      <c r="D339" s="144" t="s">
        <v>638</v>
      </c>
      <c r="E339" s="64"/>
      <c r="F339" s="94">
        <v>1</v>
      </c>
      <c r="G339" s="483">
        <f xml:space="preserve"> ((4*(0.2+0.25+2+0.33)) *3)</f>
        <v>33.36</v>
      </c>
      <c r="H339" s="488"/>
      <c r="I339" s="155">
        <v>0.61699999999999999</v>
      </c>
      <c r="J339" s="82"/>
      <c r="K339" s="82">
        <f t="shared" si="11"/>
        <v>20.583120000000001</v>
      </c>
      <c r="L339" s="82"/>
      <c r="M339" s="82"/>
      <c r="N339" s="86"/>
    </row>
    <row r="340" spans="2:14" ht="22.5" x14ac:dyDescent="0.25">
      <c r="B340" s="49"/>
      <c r="C340" s="57"/>
      <c r="D340" s="144" t="s">
        <v>626</v>
      </c>
      <c r="E340" s="64"/>
      <c r="F340" s="94">
        <v>1</v>
      </c>
      <c r="G340" s="483">
        <f xml:space="preserve"> ((4*(0.2+0.25+2.01+0.33)) *7)</f>
        <v>78.12</v>
      </c>
      <c r="H340" s="488"/>
      <c r="I340" s="155">
        <v>0.61699999999999999</v>
      </c>
      <c r="J340" s="82"/>
      <c r="K340" s="82">
        <f t="shared" si="11"/>
        <v>48.200040000000001</v>
      </c>
      <c r="L340" s="82"/>
      <c r="M340" s="82"/>
      <c r="N340" s="86"/>
    </row>
    <row r="341" spans="2:14" x14ac:dyDescent="0.25">
      <c r="B341" s="49"/>
      <c r="C341" s="57"/>
      <c r="D341" s="435" t="s">
        <v>1069</v>
      </c>
      <c r="E341" s="64"/>
      <c r="F341" s="94">
        <v>1</v>
      </c>
      <c r="G341" s="483">
        <v>133.6</v>
      </c>
      <c r="H341" s="484"/>
      <c r="I341" s="485"/>
      <c r="J341" s="82"/>
      <c r="K341" s="82">
        <f>F341*G341</f>
        <v>133.6</v>
      </c>
      <c r="L341" s="82"/>
      <c r="M341" s="82"/>
      <c r="N341" s="86"/>
    </row>
    <row r="342" spans="2:14" x14ac:dyDescent="0.25">
      <c r="B342" s="49"/>
      <c r="C342" s="57"/>
      <c r="D342" s="52"/>
      <c r="E342" s="64"/>
      <c r="F342" s="94"/>
      <c r="G342" s="104"/>
      <c r="H342" s="92"/>
      <c r="I342" s="105"/>
      <c r="J342" s="99"/>
      <c r="K342" s="81"/>
      <c r="L342" s="82"/>
      <c r="M342" s="82"/>
      <c r="N342" s="86"/>
    </row>
    <row r="343" spans="2:14" ht="30.6" customHeight="1" x14ac:dyDescent="0.25">
      <c r="B343" s="49" t="s">
        <v>81</v>
      </c>
      <c r="C343" s="57">
        <v>96547</v>
      </c>
      <c r="D343" s="52" t="s">
        <v>83</v>
      </c>
      <c r="E343" s="64" t="s">
        <v>62</v>
      </c>
      <c r="F343" s="94"/>
      <c r="G343" s="545" t="s">
        <v>1083</v>
      </c>
      <c r="H343" s="546"/>
      <c r="I343" s="547"/>
      <c r="J343" s="99">
        <f>'BOLETIM DE MEDIÇÃO 05'!I36</f>
        <v>100.55646000000002</v>
      </c>
      <c r="K343" s="81">
        <v>26.36</v>
      </c>
      <c r="L343" s="82">
        <f t="shared" si="0"/>
        <v>126.91646000000001</v>
      </c>
      <c r="M343" s="82">
        <f>'BOLETIM DE MEDIÇÃO 10'!G36</f>
        <v>179.26</v>
      </c>
      <c r="N343" s="86">
        <f t="shared" si="1"/>
        <v>52.343539999999976</v>
      </c>
    </row>
    <row r="344" spans="2:14" ht="72" customHeight="1" x14ac:dyDescent="0.25">
      <c r="B344" s="49"/>
      <c r="C344" s="57"/>
      <c r="D344" s="152" t="s">
        <v>627</v>
      </c>
      <c r="E344" s="64"/>
      <c r="F344" s="94"/>
      <c r="G344" s="486" t="s">
        <v>628</v>
      </c>
      <c r="H344" s="487"/>
      <c r="I344" s="122" t="s">
        <v>611</v>
      </c>
      <c r="J344" s="99"/>
      <c r="K344" s="82"/>
      <c r="L344" s="82"/>
      <c r="M344" s="82"/>
      <c r="N344" s="86"/>
    </row>
    <row r="345" spans="2:14" x14ac:dyDescent="0.25">
      <c r="B345" s="49"/>
      <c r="C345" s="57"/>
      <c r="D345" s="144" t="s">
        <v>639</v>
      </c>
      <c r="E345" s="64"/>
      <c r="F345" s="94">
        <v>1</v>
      </c>
      <c r="G345" s="483">
        <f>((8*(0.2+0.25+1.86+0.42)))</f>
        <v>21.84</v>
      </c>
      <c r="H345" s="488"/>
      <c r="I345" s="155">
        <v>0.96299999999999997</v>
      </c>
      <c r="J345" s="99"/>
      <c r="K345" s="82">
        <v>21.03192</v>
      </c>
      <c r="L345" s="82"/>
      <c r="M345" s="82"/>
      <c r="N345" s="86"/>
    </row>
    <row r="346" spans="2:14" x14ac:dyDescent="0.25">
      <c r="B346" s="49"/>
      <c r="C346" s="57"/>
      <c r="D346" s="144" t="s">
        <v>640</v>
      </c>
      <c r="E346" s="64"/>
      <c r="F346" s="94">
        <v>1</v>
      </c>
      <c r="G346" s="483">
        <f>((6*(0.2+0.25+1.87+0.42)))</f>
        <v>16.440000000000001</v>
      </c>
      <c r="H346" s="488"/>
      <c r="I346" s="155">
        <v>0.96299999999999997</v>
      </c>
      <c r="J346" s="99"/>
      <c r="K346" s="82">
        <v>15.831720000000001</v>
      </c>
      <c r="L346" s="82"/>
      <c r="M346" s="82"/>
      <c r="N346" s="86"/>
    </row>
    <row r="347" spans="2:14" x14ac:dyDescent="0.25">
      <c r="B347" s="49"/>
      <c r="C347" s="57"/>
      <c r="D347" s="144" t="s">
        <v>641</v>
      </c>
      <c r="E347" s="64"/>
      <c r="F347" s="94">
        <v>1</v>
      </c>
      <c r="G347" s="483">
        <f>((6*(0.2+0.25+1.89+0.42)))</f>
        <v>16.559999999999999</v>
      </c>
      <c r="H347" s="488"/>
      <c r="I347" s="155">
        <v>0.96299999999999997</v>
      </c>
      <c r="J347" s="99"/>
      <c r="K347" s="82">
        <v>15.947279999999997</v>
      </c>
      <c r="L347" s="82"/>
      <c r="M347" s="82"/>
      <c r="N347" s="86"/>
    </row>
    <row r="348" spans="2:14" x14ac:dyDescent="0.25">
      <c r="B348" s="49"/>
      <c r="C348" s="57"/>
      <c r="D348" s="144" t="s">
        <v>642</v>
      </c>
      <c r="E348" s="64"/>
      <c r="F348" s="94">
        <v>1</v>
      </c>
      <c r="G348" s="483">
        <f>((4*(0.2+0.25+1.9+0.42)))</f>
        <v>11.08</v>
      </c>
      <c r="H348" s="488"/>
      <c r="I348" s="155">
        <v>0.96299999999999997</v>
      </c>
      <c r="J348" s="99"/>
      <c r="K348" s="82">
        <v>10.67004</v>
      </c>
      <c r="L348" s="82"/>
      <c r="M348" s="82"/>
      <c r="N348" s="86"/>
    </row>
    <row r="349" spans="2:14" x14ac:dyDescent="0.25">
      <c r="B349" s="49"/>
      <c r="C349" s="57"/>
      <c r="D349" s="144" t="s">
        <v>643</v>
      </c>
      <c r="E349" s="64"/>
      <c r="F349" s="94">
        <v>1</v>
      </c>
      <c r="G349" s="483">
        <f>((4*(0.2+0.25+1.92+0.42)))</f>
        <v>11.16</v>
      </c>
      <c r="H349" s="488"/>
      <c r="I349" s="155">
        <v>0.96299999999999997</v>
      </c>
      <c r="J349" s="99"/>
      <c r="K349" s="82">
        <v>10.74708</v>
      </c>
      <c r="L349" s="82"/>
      <c r="M349" s="82"/>
      <c r="N349" s="86"/>
    </row>
    <row r="350" spans="2:14" x14ac:dyDescent="0.25">
      <c r="B350" s="49"/>
      <c r="C350" s="57"/>
      <c r="D350" s="144" t="s">
        <v>644</v>
      </c>
      <c r="E350" s="64"/>
      <c r="F350" s="94">
        <v>1</v>
      </c>
      <c r="G350" s="483">
        <f>((4*(0.2+0.25+1.9+0.42)))</f>
        <v>11.08</v>
      </c>
      <c r="H350" s="488"/>
      <c r="I350" s="155">
        <v>0.96299999999999997</v>
      </c>
      <c r="J350" s="99"/>
      <c r="K350" s="82">
        <v>10.67004</v>
      </c>
      <c r="L350" s="82"/>
      <c r="M350" s="82"/>
      <c r="N350" s="86"/>
    </row>
    <row r="351" spans="2:14" x14ac:dyDescent="0.25">
      <c r="B351" s="49"/>
      <c r="C351" s="57"/>
      <c r="D351" s="144" t="s">
        <v>645</v>
      </c>
      <c r="E351" s="64"/>
      <c r="F351" s="94">
        <v>1</v>
      </c>
      <c r="G351" s="483">
        <f>((4*(0.2+0.25+1.98+0.42)))+(2*(0.2+0.25+1.98))</f>
        <v>16.260000000000002</v>
      </c>
      <c r="H351" s="488"/>
      <c r="I351" s="155">
        <v>0.96299999999999997</v>
      </c>
      <c r="J351" s="99"/>
      <c r="K351" s="82">
        <v>15.658380000000001</v>
      </c>
      <c r="L351" s="82"/>
      <c r="M351" s="82"/>
      <c r="N351" s="86"/>
    </row>
    <row r="352" spans="2:14" ht="30.6" customHeight="1" x14ac:dyDescent="0.25">
      <c r="B352" s="49"/>
      <c r="C352" s="57"/>
      <c r="D352" s="435" t="s">
        <v>1069</v>
      </c>
      <c r="E352" s="64"/>
      <c r="F352" s="94">
        <v>1</v>
      </c>
      <c r="G352" s="483">
        <v>78.7</v>
      </c>
      <c r="H352" s="484"/>
      <c r="I352" s="485"/>
      <c r="J352" s="99"/>
      <c r="K352" s="81">
        <v>78.7</v>
      </c>
      <c r="L352" s="82"/>
      <c r="M352" s="82"/>
      <c r="N352" s="86"/>
    </row>
    <row r="353" spans="2:14" s="167" customFormat="1" x14ac:dyDescent="0.25">
      <c r="B353" s="49"/>
      <c r="C353" s="57"/>
      <c r="D353" s="152"/>
      <c r="E353" s="64"/>
      <c r="F353" s="94"/>
      <c r="G353" s="486"/>
      <c r="H353" s="489"/>
      <c r="I353" s="490"/>
    </row>
    <row r="354" spans="2:14" s="167" customFormat="1" ht="30.6" customHeight="1" x14ac:dyDescent="0.25">
      <c r="B354" s="49" t="s">
        <v>84</v>
      </c>
      <c r="C354" s="57">
        <v>96536</v>
      </c>
      <c r="D354" s="52" t="s">
        <v>86</v>
      </c>
      <c r="E354" s="64" t="s">
        <v>17</v>
      </c>
      <c r="F354" s="94"/>
      <c r="G354" s="545" t="s">
        <v>1084</v>
      </c>
      <c r="H354" s="546"/>
      <c r="I354" s="547"/>
      <c r="J354" s="99">
        <f>'BOLETIM DE MEDIÇÃO 10'!R37-'MEMORIAL DE CALCULO 10'!K354</f>
        <v>429.82720000000012</v>
      </c>
      <c r="K354" s="81">
        <f>SUM(K355:K401)-429.83</f>
        <v>33.939799999999877</v>
      </c>
      <c r="L354" s="82">
        <f>J354+K354</f>
        <v>463.767</v>
      </c>
      <c r="M354" s="82">
        <f>'BOLETIM DE MEDIÇÃO 10'!G37</f>
        <v>463.77</v>
      </c>
      <c r="N354" s="86">
        <f>M354-L354</f>
        <v>2.9999999999859028E-3</v>
      </c>
    </row>
    <row r="355" spans="2:14" ht="20.45" customHeight="1" x14ac:dyDescent="0.25">
      <c r="B355" s="49"/>
      <c r="C355" s="57"/>
      <c r="D355" s="152" t="s">
        <v>1069</v>
      </c>
      <c r="E355" s="64"/>
      <c r="F355" s="94">
        <v>1</v>
      </c>
      <c r="G355" s="483">
        <v>254.18</v>
      </c>
      <c r="H355" s="484"/>
      <c r="I355" s="485"/>
      <c r="J355" s="99"/>
      <c r="K355" s="82">
        <f>F355*G355</f>
        <v>254.18</v>
      </c>
      <c r="L355" s="82"/>
      <c r="M355" s="82"/>
      <c r="N355" s="86"/>
    </row>
    <row r="356" spans="2:14" ht="22.5" x14ac:dyDescent="0.25">
      <c r="B356" s="49"/>
      <c r="C356" s="57"/>
      <c r="D356" s="432" t="s">
        <v>1085</v>
      </c>
      <c r="E356" s="64"/>
      <c r="F356" s="94">
        <v>1</v>
      </c>
      <c r="G356" s="104" t="s">
        <v>1075</v>
      </c>
      <c r="H356" s="92" t="s">
        <v>649</v>
      </c>
      <c r="I356" s="105" t="s">
        <v>651</v>
      </c>
      <c r="J356" s="99"/>
      <c r="K356" s="82"/>
      <c r="L356" s="82"/>
      <c r="M356" s="82"/>
      <c r="N356" s="86"/>
    </row>
    <row r="357" spans="2:14" ht="33.75" x14ac:dyDescent="0.25">
      <c r="B357" s="49"/>
      <c r="C357" s="57"/>
      <c r="D357" s="144" t="s">
        <v>1052</v>
      </c>
      <c r="E357" s="64"/>
      <c r="F357" s="105">
        <v>1</v>
      </c>
      <c r="G357" s="99">
        <v>0.92700000000000005</v>
      </c>
      <c r="H357" s="92">
        <v>0.15</v>
      </c>
      <c r="I357" s="105">
        <v>0.2</v>
      </c>
      <c r="J357" s="99"/>
      <c r="K357" s="82">
        <v>0.37080000000000002</v>
      </c>
      <c r="L357" s="82"/>
      <c r="M357" s="82"/>
      <c r="N357" s="86"/>
    </row>
    <row r="358" spans="2:14" ht="33.75" x14ac:dyDescent="0.25">
      <c r="B358" s="49"/>
      <c r="C358" s="57"/>
      <c r="D358" s="144" t="s">
        <v>1053</v>
      </c>
      <c r="E358" s="64"/>
      <c r="F358" s="105">
        <v>1</v>
      </c>
      <c r="G358" s="99">
        <v>0.8</v>
      </c>
      <c r="H358" s="92">
        <v>0.15</v>
      </c>
      <c r="I358" s="105">
        <v>0.2</v>
      </c>
      <c r="J358" s="99"/>
      <c r="K358" s="82">
        <v>0.32000000000000006</v>
      </c>
      <c r="L358" s="82"/>
      <c r="M358" s="82"/>
      <c r="N358" s="86"/>
    </row>
    <row r="359" spans="2:14" x14ac:dyDescent="0.25">
      <c r="B359" s="49"/>
      <c r="C359" s="57"/>
      <c r="D359" s="144" t="s">
        <v>1054</v>
      </c>
      <c r="E359" s="64"/>
      <c r="F359" s="105">
        <v>1</v>
      </c>
      <c r="G359" s="99">
        <f>(1.7+0.15+1.855)</f>
        <v>3.7050000000000001</v>
      </c>
      <c r="H359" s="92">
        <v>0.15</v>
      </c>
      <c r="I359" s="105">
        <v>0.2</v>
      </c>
      <c r="J359" s="99"/>
      <c r="K359" s="82">
        <v>1.4820000000000002</v>
      </c>
      <c r="L359" s="82"/>
      <c r="M359" s="82"/>
      <c r="N359" s="86"/>
    </row>
    <row r="360" spans="2:14" x14ac:dyDescent="0.25">
      <c r="B360" s="49"/>
      <c r="C360" s="57"/>
      <c r="D360" s="144" t="s">
        <v>1055</v>
      </c>
      <c r="E360" s="64"/>
      <c r="F360" s="105">
        <v>1</v>
      </c>
      <c r="G360" s="99">
        <v>2.7</v>
      </c>
      <c r="H360" s="92">
        <v>0.15</v>
      </c>
      <c r="I360" s="105">
        <v>0.2</v>
      </c>
      <c r="J360" s="99"/>
      <c r="K360" s="82">
        <v>1.08</v>
      </c>
      <c r="L360" s="82"/>
      <c r="M360" s="82"/>
      <c r="N360" s="86"/>
    </row>
    <row r="361" spans="2:14" x14ac:dyDescent="0.25">
      <c r="B361" s="49"/>
      <c r="C361" s="57"/>
      <c r="D361" s="152"/>
      <c r="E361" s="64"/>
      <c r="F361" s="94"/>
      <c r="G361" s="372"/>
      <c r="H361" s="373"/>
      <c r="I361" s="318"/>
      <c r="J361" s="99"/>
      <c r="K361" s="82"/>
      <c r="L361" s="82"/>
      <c r="M361" s="82"/>
      <c r="N361" s="86"/>
    </row>
    <row r="362" spans="2:14" x14ac:dyDescent="0.25">
      <c r="B362" s="49"/>
      <c r="C362" s="57"/>
      <c r="D362" s="152"/>
      <c r="E362" s="64"/>
      <c r="F362" s="94"/>
      <c r="G362" s="372"/>
      <c r="H362" s="373"/>
      <c r="I362" s="318"/>
      <c r="J362" s="99"/>
      <c r="K362" s="82"/>
      <c r="L362" s="82"/>
      <c r="M362" s="82"/>
      <c r="N362" s="86"/>
    </row>
    <row r="363" spans="2:14" ht="27" customHeight="1" x14ac:dyDescent="0.25">
      <c r="B363" s="49"/>
      <c r="C363" s="57"/>
      <c r="D363" s="152" t="s">
        <v>648</v>
      </c>
      <c r="E363" s="64"/>
      <c r="F363" s="94"/>
      <c r="G363" s="157" t="s">
        <v>649</v>
      </c>
      <c r="H363" s="158" t="s">
        <v>650</v>
      </c>
      <c r="I363" s="122" t="s">
        <v>651</v>
      </c>
      <c r="J363" s="99"/>
      <c r="K363" s="81"/>
      <c r="L363" s="82"/>
      <c r="M363" s="82"/>
      <c r="N363" s="86"/>
    </row>
    <row r="364" spans="2:14" ht="33.75" x14ac:dyDescent="0.25">
      <c r="B364" s="49"/>
      <c r="C364" s="57"/>
      <c r="D364" s="144" t="s">
        <v>569</v>
      </c>
      <c r="E364" s="64"/>
      <c r="F364" s="94">
        <v>32</v>
      </c>
      <c r="G364" s="104">
        <v>0.6</v>
      </c>
      <c r="H364" s="92">
        <v>0.7</v>
      </c>
      <c r="I364" s="105">
        <v>0.25</v>
      </c>
      <c r="J364" s="99"/>
      <c r="K364" s="82">
        <v>20.799999999999997</v>
      </c>
      <c r="L364" s="82"/>
      <c r="M364" s="82"/>
      <c r="N364" s="86"/>
    </row>
    <row r="365" spans="2:14" ht="45" x14ac:dyDescent="0.25">
      <c r="B365" s="49"/>
      <c r="C365" s="57"/>
      <c r="D365" s="144" t="s">
        <v>570</v>
      </c>
      <c r="E365" s="64"/>
      <c r="F365" s="94">
        <v>41</v>
      </c>
      <c r="G365" s="104">
        <v>0.6</v>
      </c>
      <c r="H365" s="92">
        <v>0.7</v>
      </c>
      <c r="I365" s="105">
        <v>0.25</v>
      </c>
      <c r="J365" s="99"/>
      <c r="K365" s="82">
        <v>26.649999999999995</v>
      </c>
      <c r="L365" s="82"/>
      <c r="M365" s="82"/>
      <c r="N365" s="86"/>
    </row>
    <row r="366" spans="2:14" ht="21.6" customHeight="1" x14ac:dyDescent="0.25">
      <c r="B366" s="49"/>
      <c r="C366" s="57"/>
      <c r="D366" s="144" t="s">
        <v>571</v>
      </c>
      <c r="E366" s="64"/>
      <c r="F366" s="94">
        <v>1</v>
      </c>
      <c r="G366" s="104">
        <v>0.6</v>
      </c>
      <c r="H366" s="92">
        <v>0.8</v>
      </c>
      <c r="I366" s="105">
        <v>0.25</v>
      </c>
      <c r="J366" s="99"/>
      <c r="K366" s="82">
        <v>0.7</v>
      </c>
      <c r="L366" s="82"/>
      <c r="M366" s="82"/>
      <c r="N366" s="86"/>
    </row>
    <row r="367" spans="2:14" x14ac:dyDescent="0.25">
      <c r="B367" s="49"/>
      <c r="C367" s="57"/>
      <c r="D367" s="144" t="s">
        <v>572</v>
      </c>
      <c r="E367" s="64"/>
      <c r="F367" s="94">
        <v>2</v>
      </c>
      <c r="G367" s="104">
        <v>0.9</v>
      </c>
      <c r="H367" s="92">
        <v>0.9</v>
      </c>
      <c r="I367" s="105">
        <v>0.25</v>
      </c>
      <c r="J367" s="99"/>
      <c r="K367" s="82">
        <v>1.8</v>
      </c>
      <c r="L367" s="82"/>
      <c r="M367" s="82"/>
      <c r="N367" s="86"/>
    </row>
    <row r="368" spans="2:14" x14ac:dyDescent="0.25">
      <c r="B368" s="49"/>
      <c r="C368" s="57"/>
      <c r="D368" s="144" t="s">
        <v>573</v>
      </c>
      <c r="E368" s="64"/>
      <c r="F368" s="94">
        <v>7</v>
      </c>
      <c r="G368" s="104">
        <v>0.65</v>
      </c>
      <c r="H368" s="92">
        <v>0.65</v>
      </c>
      <c r="I368" s="105">
        <v>0.25</v>
      </c>
      <c r="J368" s="99"/>
      <c r="K368" s="82">
        <v>4.55</v>
      </c>
      <c r="L368" s="82"/>
      <c r="M368" s="82"/>
      <c r="N368" s="86"/>
    </row>
    <row r="369" spans="2:14" ht="20.45" customHeight="1" x14ac:dyDescent="0.25">
      <c r="B369" s="49"/>
      <c r="C369" s="57"/>
      <c r="D369" s="144" t="s">
        <v>574</v>
      </c>
      <c r="E369" s="64"/>
      <c r="F369" s="94">
        <v>3</v>
      </c>
      <c r="G369" s="104">
        <v>0.65</v>
      </c>
      <c r="H369" s="92">
        <v>0.75</v>
      </c>
      <c r="I369" s="105">
        <v>0.25</v>
      </c>
      <c r="J369" s="99"/>
      <c r="K369" s="82">
        <v>2.0999999999999996</v>
      </c>
      <c r="L369" s="82"/>
      <c r="M369" s="82"/>
      <c r="N369" s="86"/>
    </row>
    <row r="370" spans="2:14" ht="20.45" customHeight="1" x14ac:dyDescent="0.25">
      <c r="B370" s="49"/>
      <c r="C370" s="57"/>
      <c r="D370" s="144" t="s">
        <v>575</v>
      </c>
      <c r="E370" s="64"/>
      <c r="F370" s="94">
        <v>2</v>
      </c>
      <c r="G370" s="104">
        <v>0.55000000000000004</v>
      </c>
      <c r="H370" s="92">
        <v>0.95</v>
      </c>
      <c r="I370" s="105">
        <v>0.25</v>
      </c>
      <c r="J370" s="99"/>
      <c r="K370" s="82">
        <v>1.5</v>
      </c>
      <c r="L370" s="82"/>
      <c r="M370" s="82"/>
      <c r="N370" s="86"/>
    </row>
    <row r="371" spans="2:14" ht="22.9" customHeight="1" x14ac:dyDescent="0.25">
      <c r="B371" s="49"/>
      <c r="C371" s="57"/>
      <c r="D371" s="152" t="s">
        <v>627</v>
      </c>
      <c r="E371" s="64"/>
      <c r="F371" s="94"/>
      <c r="G371" s="486" t="s">
        <v>706</v>
      </c>
      <c r="H371" s="487"/>
      <c r="I371" s="105" t="s">
        <v>651</v>
      </c>
      <c r="J371" s="99"/>
      <c r="K371" s="82"/>
      <c r="L371" s="82"/>
      <c r="M371" s="82"/>
      <c r="N371" s="86"/>
    </row>
    <row r="372" spans="2:14" x14ac:dyDescent="0.25">
      <c r="B372" s="49"/>
      <c r="C372" s="57"/>
      <c r="D372" s="144" t="s">
        <v>614</v>
      </c>
      <c r="E372" s="64"/>
      <c r="F372" s="94">
        <v>1</v>
      </c>
      <c r="G372" s="483">
        <f xml:space="preserve"> ((0.15+0.25)*2) *2</f>
        <v>1.6</v>
      </c>
      <c r="H372" s="488"/>
      <c r="I372" s="105">
        <v>1.85</v>
      </c>
      <c r="J372" s="99"/>
      <c r="K372" s="82">
        <v>2.9600000000000004</v>
      </c>
      <c r="L372" s="82"/>
      <c r="M372" s="82"/>
      <c r="N372" s="86"/>
    </row>
    <row r="373" spans="2:14" ht="23.45" customHeight="1" x14ac:dyDescent="0.25">
      <c r="B373" s="49"/>
      <c r="C373" s="57"/>
      <c r="D373" s="144" t="s">
        <v>633</v>
      </c>
      <c r="E373" s="64"/>
      <c r="F373" s="94">
        <v>1</v>
      </c>
      <c r="G373" s="483">
        <f xml:space="preserve"> ((0.2+0.25)*2) + ((0.2+0.3)*2)</f>
        <v>1.9</v>
      </c>
      <c r="H373" s="488"/>
      <c r="I373" s="105">
        <v>1.87</v>
      </c>
      <c r="J373" s="99"/>
      <c r="K373" s="82">
        <v>3.5529999999999999</v>
      </c>
      <c r="L373" s="82"/>
      <c r="M373" s="82"/>
      <c r="N373" s="86"/>
    </row>
    <row r="374" spans="2:14" ht="22.5" x14ac:dyDescent="0.25">
      <c r="B374" s="49"/>
      <c r="C374" s="57"/>
      <c r="D374" s="144" t="s">
        <v>629</v>
      </c>
      <c r="E374" s="64"/>
      <c r="F374" s="94">
        <v>1</v>
      </c>
      <c r="G374" s="483">
        <f xml:space="preserve"> ((0.2+0.25)*2*3) + ((0.2+0.2)*2*1) + ((0.15+0.2)*2*1)</f>
        <v>4.2</v>
      </c>
      <c r="H374" s="488"/>
      <c r="I374" s="105">
        <v>1.9</v>
      </c>
      <c r="J374" s="99"/>
      <c r="K374" s="82">
        <v>7.9799999999999995</v>
      </c>
      <c r="L374" s="82"/>
      <c r="M374" s="82"/>
      <c r="N374" s="86"/>
    </row>
    <row r="375" spans="2:14" ht="23.45" customHeight="1" x14ac:dyDescent="0.25">
      <c r="B375" s="49"/>
      <c r="C375" s="57"/>
      <c r="D375" s="144" t="s">
        <v>630</v>
      </c>
      <c r="E375" s="64"/>
      <c r="F375" s="94">
        <v>1</v>
      </c>
      <c r="G375" s="483">
        <f xml:space="preserve"> ((0.2+0.25)*2*1) + ((0.15+0.25)*2*2)</f>
        <v>2.5</v>
      </c>
      <c r="H375" s="488"/>
      <c r="I375" s="105">
        <v>1.92</v>
      </c>
      <c r="J375" s="99"/>
      <c r="K375" s="82">
        <v>4.8</v>
      </c>
      <c r="L375" s="82"/>
      <c r="M375" s="82"/>
      <c r="N375" s="86"/>
    </row>
    <row r="376" spans="2:14" x14ac:dyDescent="0.25">
      <c r="B376" s="49"/>
      <c r="C376" s="57"/>
      <c r="D376" s="144" t="s">
        <v>615</v>
      </c>
      <c r="E376" s="64"/>
      <c r="F376" s="94">
        <v>1</v>
      </c>
      <c r="G376" s="483">
        <f xml:space="preserve"> ((0.15+0.3)*2*3)</f>
        <v>2.6999999999999997</v>
      </c>
      <c r="H376" s="488"/>
      <c r="I376" s="86">
        <v>1.94</v>
      </c>
      <c r="J376" s="99"/>
      <c r="K376" s="82">
        <v>5.2379999999999995</v>
      </c>
      <c r="L376" s="82"/>
      <c r="M376" s="82"/>
      <c r="N376" s="86"/>
    </row>
    <row r="377" spans="2:14" ht="22.5" x14ac:dyDescent="0.25">
      <c r="B377" s="49"/>
      <c r="C377" s="57"/>
      <c r="D377" s="144" t="s">
        <v>616</v>
      </c>
      <c r="E377" s="64"/>
      <c r="F377" s="94">
        <v>1</v>
      </c>
      <c r="G377" s="483">
        <f xml:space="preserve"> ((0.2+0.25)*2*3) + ((0.15+0.25)*2*2)</f>
        <v>4.3000000000000007</v>
      </c>
      <c r="H377" s="488"/>
      <c r="I377" s="86">
        <v>1.96</v>
      </c>
      <c r="J377" s="99"/>
      <c r="K377" s="82">
        <v>8.4280000000000008</v>
      </c>
      <c r="L377" s="82"/>
      <c r="M377" s="82"/>
      <c r="N377" s="86"/>
    </row>
    <row r="378" spans="2:14" ht="26.45" customHeight="1" x14ac:dyDescent="0.25">
      <c r="B378" s="49"/>
      <c r="C378" s="57"/>
      <c r="D378" s="144" t="s">
        <v>617</v>
      </c>
      <c r="E378" s="64"/>
      <c r="F378" s="94">
        <v>1</v>
      </c>
      <c r="G378" s="483">
        <f xml:space="preserve"> ((0.2+0.25)*2*3) + ((0.15+0.25)*2*2) +  ((0.2+0.3)*2*1)</f>
        <v>5.3000000000000007</v>
      </c>
      <c r="H378" s="488"/>
      <c r="I378" s="86">
        <v>1.95</v>
      </c>
      <c r="J378" s="99"/>
      <c r="K378" s="82">
        <v>10.335000000000001</v>
      </c>
      <c r="L378" s="82"/>
      <c r="M378" s="82"/>
      <c r="N378" s="86"/>
    </row>
    <row r="379" spans="2:14" x14ac:dyDescent="0.25">
      <c r="B379" s="49"/>
      <c r="C379" s="57"/>
      <c r="D379" s="144" t="s">
        <v>618</v>
      </c>
      <c r="E379" s="64"/>
      <c r="F379" s="94">
        <v>1</v>
      </c>
      <c r="G379" s="483">
        <f xml:space="preserve"> ((0.2+0.25)*2*2) + ((0.15+0.25)*2*1)</f>
        <v>2.6</v>
      </c>
      <c r="H379" s="488"/>
      <c r="I379" s="86">
        <v>1.97</v>
      </c>
      <c r="J379" s="99"/>
      <c r="K379" s="82">
        <v>5.1219999999999999</v>
      </c>
      <c r="L379" s="82"/>
      <c r="M379" s="82"/>
      <c r="N379" s="86"/>
    </row>
    <row r="380" spans="2:14" x14ac:dyDescent="0.25">
      <c r="B380" s="49"/>
      <c r="C380" s="57"/>
      <c r="D380" s="144" t="s">
        <v>631</v>
      </c>
      <c r="E380" s="64"/>
      <c r="F380" s="94">
        <v>1</v>
      </c>
      <c r="G380" s="483">
        <f>((0.15+0.25)*2*3)</f>
        <v>2.4000000000000004</v>
      </c>
      <c r="H380" s="488"/>
      <c r="I380" s="86">
        <v>1.9</v>
      </c>
      <c r="J380" s="99"/>
      <c r="K380" s="82">
        <v>4.5600000000000005</v>
      </c>
      <c r="L380" s="82"/>
      <c r="M380" s="82"/>
      <c r="N380" s="144"/>
    </row>
    <row r="381" spans="2:14" x14ac:dyDescent="0.25">
      <c r="B381" s="49"/>
      <c r="C381" s="57"/>
      <c r="D381" s="144" t="s">
        <v>632</v>
      </c>
      <c r="E381" s="64"/>
      <c r="F381" s="94">
        <v>1</v>
      </c>
      <c r="G381" s="483">
        <f xml:space="preserve"> ((0.2+0.25)*2*1) + ((0.15+0.25)*2*1) +  ((0.2+0.35)*2*1)</f>
        <v>2.8000000000000003</v>
      </c>
      <c r="H381" s="488"/>
      <c r="I381" s="86">
        <v>1.86</v>
      </c>
      <c r="J381" s="99"/>
      <c r="K381" s="82">
        <v>5.2080000000000011</v>
      </c>
      <c r="L381" s="82"/>
      <c r="M381" s="82"/>
      <c r="N381" s="86"/>
    </row>
    <row r="382" spans="2:14" x14ac:dyDescent="0.25">
      <c r="B382" s="49"/>
      <c r="C382" s="57"/>
      <c r="D382" s="144" t="s">
        <v>634</v>
      </c>
      <c r="E382" s="64"/>
      <c r="F382" s="94">
        <v>1</v>
      </c>
      <c r="G382" s="483">
        <f xml:space="preserve"> ((0.2+0.25)*2*1) + ((0.15+0.3)*2*2)</f>
        <v>2.6999999999999997</v>
      </c>
      <c r="H382" s="488"/>
      <c r="I382" s="86">
        <v>1.87</v>
      </c>
      <c r="J382" s="99"/>
      <c r="K382" s="82">
        <v>5.0489999999999995</v>
      </c>
      <c r="L382" s="82"/>
      <c r="M382" s="82"/>
      <c r="N382" s="86"/>
    </row>
    <row r="383" spans="2:14" x14ac:dyDescent="0.25">
      <c r="B383" s="49"/>
      <c r="C383" s="57"/>
      <c r="D383" s="144" t="s">
        <v>619</v>
      </c>
      <c r="E383" s="64"/>
      <c r="F383" s="94">
        <v>1</v>
      </c>
      <c r="G383" s="483">
        <f xml:space="preserve"> ((0.2+0.3)*2*1) + ((0.15+0.3)*2*1) +  ((0.15+0.25)*2*1) + ((0.15+0.35)*2*1)</f>
        <v>3.7</v>
      </c>
      <c r="H383" s="488"/>
      <c r="I383" s="86">
        <v>1.9</v>
      </c>
      <c r="J383" s="99"/>
      <c r="K383" s="82">
        <v>7.03</v>
      </c>
      <c r="L383" s="82"/>
      <c r="M383" s="82"/>
      <c r="N383" s="86"/>
    </row>
    <row r="384" spans="2:14" x14ac:dyDescent="0.25">
      <c r="B384" s="49"/>
      <c r="C384" s="57"/>
      <c r="D384" s="144" t="s">
        <v>620</v>
      </c>
      <c r="E384" s="64"/>
      <c r="F384" s="94">
        <v>1</v>
      </c>
      <c r="G384" s="483">
        <f xml:space="preserve"> ((0.15+0.25)*2*1) + ((0.2+0.3)*2*1)</f>
        <v>1.8</v>
      </c>
      <c r="H384" s="488"/>
      <c r="I384" s="86">
        <v>1.91</v>
      </c>
      <c r="J384" s="99"/>
      <c r="K384" s="82">
        <v>3.4379999999999997</v>
      </c>
      <c r="L384" s="82"/>
      <c r="M384" s="82"/>
      <c r="N384" s="86"/>
    </row>
    <row r="385" spans="2:14" ht="22.5" x14ac:dyDescent="0.25">
      <c r="B385" s="49"/>
      <c r="C385" s="57"/>
      <c r="D385" s="144" t="s">
        <v>621</v>
      </c>
      <c r="E385" s="64"/>
      <c r="F385" s="94">
        <v>1</v>
      </c>
      <c r="G385" s="483">
        <f xml:space="preserve"> ((0.15+0.25)*2*5) + ((0.25+0.25)*2*1)</f>
        <v>5</v>
      </c>
      <c r="H385" s="488"/>
      <c r="I385" s="86">
        <v>1.94</v>
      </c>
      <c r="J385" s="99"/>
      <c r="K385" s="82">
        <v>9.6999999999999993</v>
      </c>
      <c r="L385" s="82"/>
      <c r="M385" s="82"/>
      <c r="N385" s="86"/>
    </row>
    <row r="386" spans="2:14" ht="20.45" customHeight="1" x14ac:dyDescent="0.25">
      <c r="B386" s="49"/>
      <c r="C386" s="57"/>
      <c r="D386" s="144" t="s">
        <v>622</v>
      </c>
      <c r="E386" s="64"/>
      <c r="F386" s="94">
        <v>1</v>
      </c>
      <c r="G386" s="483">
        <f xml:space="preserve"> ((0.2+0.25)*2*1) + ((0.15+0.25)*2*1) +  ((0.25+0.25)*2*1)</f>
        <v>2.7</v>
      </c>
      <c r="H386" s="488"/>
      <c r="I386" s="86">
        <v>1.93</v>
      </c>
      <c r="J386" s="99"/>
      <c r="K386" s="82">
        <v>5.2110000000000003</v>
      </c>
      <c r="L386" s="82"/>
      <c r="M386" s="82"/>
      <c r="N386" s="86"/>
    </row>
    <row r="387" spans="2:14" x14ac:dyDescent="0.25">
      <c r="B387" s="49"/>
      <c r="C387" s="57"/>
      <c r="D387" s="144" t="s">
        <v>635</v>
      </c>
      <c r="E387" s="64"/>
      <c r="F387" s="94">
        <v>1</v>
      </c>
      <c r="G387" s="483">
        <f xml:space="preserve"> ((0.15+0.25)*2*2) + ((0.25+0.25)*2*1)</f>
        <v>2.6</v>
      </c>
      <c r="H387" s="488"/>
      <c r="I387" s="86">
        <v>1.92</v>
      </c>
      <c r="J387" s="99"/>
      <c r="K387" s="82">
        <v>4.992</v>
      </c>
      <c r="L387" s="82"/>
      <c r="M387" s="82"/>
      <c r="N387" s="86"/>
    </row>
    <row r="388" spans="2:14" x14ac:dyDescent="0.25">
      <c r="B388" s="49"/>
      <c r="C388" s="57"/>
      <c r="D388" s="144" t="s">
        <v>623</v>
      </c>
      <c r="E388" s="64"/>
      <c r="F388" s="94">
        <v>1</v>
      </c>
      <c r="G388" s="483">
        <f xml:space="preserve"> ((0.15+0.25)*2*2) + ((0.2+0.25)*2*2)</f>
        <v>3.4000000000000004</v>
      </c>
      <c r="H388" s="488"/>
      <c r="I388" s="86">
        <v>1.87</v>
      </c>
      <c r="J388" s="99"/>
      <c r="K388" s="82">
        <v>6.3580000000000014</v>
      </c>
      <c r="L388" s="82"/>
      <c r="M388" s="82"/>
      <c r="N388" s="86"/>
    </row>
    <row r="389" spans="2:14" x14ac:dyDescent="0.25">
      <c r="B389" s="49"/>
      <c r="C389" s="57"/>
      <c r="D389" s="144" t="s">
        <v>624</v>
      </c>
      <c r="E389" s="64"/>
      <c r="F389" s="94">
        <v>1</v>
      </c>
      <c r="G389" s="483">
        <f xml:space="preserve"> ((0.15+0.25)*2*3) + ((0.2+0.25)*2*1)</f>
        <v>3.3000000000000003</v>
      </c>
      <c r="H389" s="488"/>
      <c r="I389" s="86">
        <v>1.88</v>
      </c>
      <c r="J389" s="99"/>
      <c r="K389" s="82">
        <v>6.2039999999999997</v>
      </c>
      <c r="L389" s="82"/>
      <c r="M389" s="82"/>
      <c r="N389" s="86"/>
    </row>
    <row r="390" spans="2:14" x14ac:dyDescent="0.25">
      <c r="B390" s="49"/>
      <c r="C390" s="57"/>
      <c r="D390" s="144" t="s">
        <v>625</v>
      </c>
      <c r="E390" s="64"/>
      <c r="F390" s="94">
        <v>1</v>
      </c>
      <c r="G390" s="483">
        <f>((0.2+0.25)*2*3) + ((0.25+0.25)*2*1)</f>
        <v>3.7</v>
      </c>
      <c r="H390" s="488"/>
      <c r="I390" s="86">
        <v>1.9</v>
      </c>
      <c r="J390" s="99"/>
      <c r="K390" s="82">
        <v>7.03</v>
      </c>
      <c r="L390" s="82"/>
      <c r="M390" s="82"/>
      <c r="N390" s="86"/>
    </row>
    <row r="391" spans="2:14" x14ac:dyDescent="0.25">
      <c r="B391" s="49"/>
      <c r="C391" s="57"/>
      <c r="D391" s="144" t="s">
        <v>637</v>
      </c>
      <c r="E391" s="64"/>
      <c r="F391" s="94">
        <v>1</v>
      </c>
      <c r="G391" s="483">
        <f>((0.2+0.2)*2*1)</f>
        <v>0.8</v>
      </c>
      <c r="H391" s="488"/>
      <c r="I391" s="86">
        <v>1.9</v>
      </c>
      <c r="J391" s="99"/>
      <c r="K391" s="82">
        <v>1.52</v>
      </c>
      <c r="L391" s="82"/>
      <c r="M391" s="82"/>
      <c r="N391" s="86"/>
    </row>
    <row r="392" spans="2:14" x14ac:dyDescent="0.25">
      <c r="B392" s="49"/>
      <c r="C392" s="57"/>
      <c r="D392" s="144" t="s">
        <v>636</v>
      </c>
      <c r="E392" s="64"/>
      <c r="F392" s="94">
        <v>1</v>
      </c>
      <c r="G392" s="483">
        <f>((0.2+0.25)*2*1) + ((0.15+0.25)*2*1)</f>
        <v>1.7000000000000002</v>
      </c>
      <c r="H392" s="488"/>
      <c r="I392" s="86">
        <v>1.97</v>
      </c>
      <c r="J392" s="99"/>
      <c r="K392" s="82">
        <v>3.3490000000000002</v>
      </c>
      <c r="L392" s="82"/>
      <c r="M392" s="82"/>
      <c r="N392" s="86"/>
    </row>
    <row r="393" spans="2:14" x14ac:dyDescent="0.25">
      <c r="B393" s="49"/>
      <c r="C393" s="57"/>
      <c r="D393" s="144" t="s">
        <v>638</v>
      </c>
      <c r="E393" s="64"/>
      <c r="F393" s="94">
        <v>1</v>
      </c>
      <c r="G393" s="483">
        <f>((0.2+0.25)*2*1) + ((0.15+0.25)*2*2)</f>
        <v>2.5</v>
      </c>
      <c r="H393" s="488"/>
      <c r="I393" s="86">
        <v>2</v>
      </c>
      <c r="J393" s="99"/>
      <c r="K393" s="82">
        <v>5</v>
      </c>
      <c r="L393" s="82"/>
      <c r="M393" s="82"/>
      <c r="N393" s="86"/>
    </row>
    <row r="394" spans="2:14" ht="22.5" x14ac:dyDescent="0.25">
      <c r="B394" s="49"/>
      <c r="C394" s="57"/>
      <c r="D394" s="144" t="s">
        <v>626</v>
      </c>
      <c r="E394" s="64"/>
      <c r="F394" s="94">
        <v>1</v>
      </c>
      <c r="G394" s="483">
        <f xml:space="preserve"> ((0.2+0.3)*2*1) + ((0.15+0.25)*2*5) +  ((0.25+0.25)*2*1)</f>
        <v>6</v>
      </c>
      <c r="H394" s="488"/>
      <c r="I394" s="86">
        <v>2.0099999999999998</v>
      </c>
      <c r="J394" s="99"/>
      <c r="K394" s="82">
        <v>12.059999999999999</v>
      </c>
      <c r="L394" s="82"/>
      <c r="M394" s="82"/>
      <c r="N394" s="86"/>
    </row>
    <row r="395" spans="2:14" x14ac:dyDescent="0.25">
      <c r="B395" s="49"/>
      <c r="C395" s="57"/>
      <c r="D395" s="144" t="s">
        <v>639</v>
      </c>
      <c r="E395" s="64"/>
      <c r="F395" s="94">
        <v>1</v>
      </c>
      <c r="G395" s="483">
        <f>((0.15+0.3)*2*1)</f>
        <v>0.89999999999999991</v>
      </c>
      <c r="H395" s="488"/>
      <c r="I395" s="86">
        <v>1.86</v>
      </c>
      <c r="J395" s="99"/>
      <c r="K395" s="82">
        <v>1.6739999999999999</v>
      </c>
      <c r="L395" s="82"/>
      <c r="M395" s="82"/>
      <c r="N395" s="86"/>
    </row>
    <row r="396" spans="2:14" x14ac:dyDescent="0.25">
      <c r="B396" s="49"/>
      <c r="C396" s="57"/>
      <c r="D396" s="144" t="s">
        <v>640</v>
      </c>
      <c r="E396" s="64"/>
      <c r="F396" s="94">
        <v>1</v>
      </c>
      <c r="G396" s="483">
        <f>((0.15+0.5)*2*1)</f>
        <v>1.3</v>
      </c>
      <c r="H396" s="488"/>
      <c r="I396" s="86">
        <v>1.87</v>
      </c>
      <c r="J396" s="99"/>
      <c r="K396" s="82">
        <v>2.431</v>
      </c>
      <c r="L396" s="82"/>
      <c r="M396" s="82"/>
      <c r="N396" s="86"/>
    </row>
    <row r="397" spans="2:14" x14ac:dyDescent="0.25">
      <c r="B397" s="49"/>
      <c r="C397" s="57"/>
      <c r="D397" s="144" t="s">
        <v>641</v>
      </c>
      <c r="E397" s="64"/>
      <c r="F397" s="94">
        <v>1</v>
      </c>
      <c r="G397" s="483">
        <f>((0.15+0.5)*2*1)</f>
        <v>1.3</v>
      </c>
      <c r="H397" s="488"/>
      <c r="I397" s="86">
        <v>1.89</v>
      </c>
      <c r="J397" s="99"/>
      <c r="K397" s="82">
        <v>2.4569999999999999</v>
      </c>
      <c r="L397" s="82"/>
      <c r="M397" s="82"/>
      <c r="N397" s="86"/>
    </row>
    <row r="398" spans="2:14" x14ac:dyDescent="0.25">
      <c r="B398" s="49"/>
      <c r="C398" s="57"/>
      <c r="D398" s="144" t="s">
        <v>642</v>
      </c>
      <c r="E398" s="64"/>
      <c r="F398" s="94">
        <v>1</v>
      </c>
      <c r="G398" s="483">
        <f>((0.15+0.25)*2*1)</f>
        <v>0.8</v>
      </c>
      <c r="H398" s="488"/>
      <c r="I398" s="86">
        <v>1.9</v>
      </c>
      <c r="J398" s="99"/>
      <c r="K398" s="82">
        <v>1.52</v>
      </c>
      <c r="L398" s="82"/>
      <c r="M398" s="82"/>
      <c r="N398" s="86"/>
    </row>
    <row r="399" spans="2:14" x14ac:dyDescent="0.25">
      <c r="B399" s="49"/>
      <c r="C399" s="57"/>
      <c r="D399" s="144" t="s">
        <v>643</v>
      </c>
      <c r="E399" s="64"/>
      <c r="F399" s="94">
        <v>1</v>
      </c>
      <c r="G399" s="483">
        <f t="shared" ref="G399" si="12">((0.15+0.3)*2*1)</f>
        <v>0.89999999999999991</v>
      </c>
      <c r="H399" s="488"/>
      <c r="I399" s="86">
        <v>1.92</v>
      </c>
      <c r="J399" s="99"/>
      <c r="K399" s="82">
        <v>1.7279999999999998</v>
      </c>
      <c r="L399" s="82"/>
      <c r="M399" s="82"/>
      <c r="N399" s="86"/>
    </row>
    <row r="400" spans="2:14" x14ac:dyDescent="0.25">
      <c r="B400" s="49"/>
      <c r="C400" s="57"/>
      <c r="D400" s="144" t="s">
        <v>644</v>
      </c>
      <c r="E400" s="64"/>
      <c r="F400" s="94">
        <v>1</v>
      </c>
      <c r="G400" s="483">
        <f>((0.15+0.25)*2*1)</f>
        <v>0.8</v>
      </c>
      <c r="H400" s="488"/>
      <c r="I400" s="86">
        <v>1.9</v>
      </c>
      <c r="J400" s="99"/>
      <c r="K400" s="82">
        <v>1.52</v>
      </c>
      <c r="L400" s="82"/>
      <c r="M400" s="82"/>
      <c r="N400" s="86"/>
    </row>
    <row r="401" spans="2:14" x14ac:dyDescent="0.25">
      <c r="B401" s="49"/>
      <c r="C401" s="57"/>
      <c r="D401" s="144" t="s">
        <v>645</v>
      </c>
      <c r="E401" s="64"/>
      <c r="F401" s="94">
        <v>1</v>
      </c>
      <c r="G401" s="483">
        <f>((0.15+0.3)*2*1)</f>
        <v>0.89999999999999991</v>
      </c>
      <c r="H401" s="488"/>
      <c r="I401" s="86">
        <v>1.98</v>
      </c>
      <c r="J401" s="99"/>
      <c r="K401" s="82">
        <v>1.7819999999999998</v>
      </c>
      <c r="L401" s="82"/>
      <c r="M401" s="82"/>
      <c r="N401" s="86"/>
    </row>
    <row r="402" spans="2:14" x14ac:dyDescent="0.25">
      <c r="B402" s="49"/>
      <c r="C402" s="57"/>
      <c r="D402" s="144"/>
      <c r="E402" s="64"/>
      <c r="F402" s="94"/>
      <c r="G402" s="372"/>
      <c r="H402" s="373"/>
      <c r="I402" s="436"/>
      <c r="J402" s="99"/>
      <c r="K402" s="82"/>
      <c r="L402" s="82"/>
      <c r="M402" s="82"/>
      <c r="N402" s="86"/>
    </row>
    <row r="403" spans="2:14" ht="20.45" customHeight="1" x14ac:dyDescent="0.25">
      <c r="B403" s="49" t="s">
        <v>87</v>
      </c>
      <c r="C403" s="58">
        <v>98557</v>
      </c>
      <c r="D403" s="52" t="s">
        <v>89</v>
      </c>
      <c r="E403" s="64" t="s">
        <v>17</v>
      </c>
      <c r="F403" s="94"/>
      <c r="G403" s="545" t="s">
        <v>1086</v>
      </c>
      <c r="H403" s="546"/>
      <c r="I403" s="547"/>
      <c r="J403" s="99">
        <f>'BOLETIM DE MEDIÇÃO 10'!R38-'MEMORIAL DE CALCULO 10'!K403</f>
        <v>253.95000000000005</v>
      </c>
      <c r="K403" s="81">
        <v>7.88</v>
      </c>
      <c r="L403" s="82">
        <f>J403+K403</f>
        <v>261.83000000000004</v>
      </c>
      <c r="M403" s="82">
        <f>'BOLETIM DE MEDIÇÃO 10'!G38</f>
        <v>261.83</v>
      </c>
      <c r="N403" s="86">
        <f>L403-M403</f>
        <v>0</v>
      </c>
    </row>
    <row r="404" spans="2:14" x14ac:dyDescent="0.25">
      <c r="B404" s="49"/>
      <c r="C404" s="58"/>
      <c r="D404" s="152" t="s">
        <v>1069</v>
      </c>
      <c r="E404" s="64"/>
      <c r="F404" s="94">
        <v>1</v>
      </c>
      <c r="G404" s="483">
        <v>253.95</v>
      </c>
      <c r="H404" s="484"/>
      <c r="I404" s="485"/>
      <c r="J404" s="99"/>
      <c r="K404" s="82">
        <f>F404*G404</f>
        <v>253.95</v>
      </c>
      <c r="L404" s="82"/>
      <c r="M404" s="82"/>
      <c r="N404" s="86"/>
    </row>
    <row r="405" spans="2:14" ht="22.5" x14ac:dyDescent="0.25">
      <c r="B405" s="49"/>
      <c r="C405" s="58"/>
      <c r="D405" s="432" t="s">
        <v>1085</v>
      </c>
      <c r="E405" s="64"/>
      <c r="F405" s="94">
        <v>1</v>
      </c>
      <c r="G405" s="104" t="s">
        <v>1075</v>
      </c>
      <c r="H405" s="92" t="s">
        <v>649</v>
      </c>
      <c r="I405" s="105" t="s">
        <v>651</v>
      </c>
      <c r="J405" s="99"/>
      <c r="K405" s="82">
        <v>0.50985000000000003</v>
      </c>
      <c r="L405" s="82"/>
      <c r="M405" s="82"/>
      <c r="N405" s="86"/>
    </row>
    <row r="406" spans="2:14" ht="33.75" x14ac:dyDescent="0.25">
      <c r="B406" s="49"/>
      <c r="C406" s="58"/>
      <c r="D406" s="144" t="s">
        <v>1052</v>
      </c>
      <c r="E406" s="64"/>
      <c r="F406" s="105">
        <v>1</v>
      </c>
      <c r="G406" s="99">
        <v>0.92700000000000005</v>
      </c>
      <c r="H406" s="92">
        <v>0.15</v>
      </c>
      <c r="I406" s="105">
        <v>0.2</v>
      </c>
      <c r="J406" s="99"/>
      <c r="K406" s="82">
        <v>0.44000000000000006</v>
      </c>
      <c r="L406" s="82"/>
      <c r="M406" s="82"/>
      <c r="N406" s="86"/>
    </row>
    <row r="407" spans="2:14" ht="33.75" x14ac:dyDescent="0.25">
      <c r="B407" s="49"/>
      <c r="C407" s="58"/>
      <c r="D407" s="144" t="s">
        <v>1053</v>
      </c>
      <c r="E407" s="64"/>
      <c r="F407" s="105">
        <v>1</v>
      </c>
      <c r="G407" s="99">
        <v>0.8</v>
      </c>
      <c r="H407" s="92">
        <v>0.15</v>
      </c>
      <c r="I407" s="105">
        <v>0.2</v>
      </c>
      <c r="J407" s="99"/>
      <c r="K407" s="82">
        <v>2.0377500000000004</v>
      </c>
      <c r="L407" s="82"/>
      <c r="M407" s="82"/>
      <c r="N407" s="86"/>
    </row>
    <row r="408" spans="2:14" x14ac:dyDescent="0.25">
      <c r="B408" s="49"/>
      <c r="C408" s="58"/>
      <c r="D408" s="144" t="s">
        <v>1054</v>
      </c>
      <c r="E408" s="64"/>
      <c r="F408" s="105">
        <v>1</v>
      </c>
      <c r="G408" s="99">
        <f>(1.7+0.15+1.855)</f>
        <v>3.7050000000000001</v>
      </c>
      <c r="H408" s="92">
        <v>0.15</v>
      </c>
      <c r="I408" s="105">
        <v>0.2</v>
      </c>
      <c r="J408" s="99"/>
      <c r="K408" s="82">
        <v>1.4850000000000003</v>
      </c>
      <c r="L408" s="82"/>
      <c r="M408" s="82"/>
      <c r="N408" s="86"/>
    </row>
    <row r="409" spans="2:14" x14ac:dyDescent="0.25">
      <c r="B409" s="49"/>
      <c r="C409" s="58"/>
      <c r="D409" s="144" t="s">
        <v>1055</v>
      </c>
      <c r="E409" s="64"/>
      <c r="F409" s="105">
        <v>1</v>
      </c>
      <c r="G409" s="99">
        <v>2.7</v>
      </c>
      <c r="H409" s="92">
        <v>0.15</v>
      </c>
      <c r="I409" s="105">
        <v>0.2</v>
      </c>
      <c r="J409" s="99"/>
      <c r="K409" s="82">
        <v>3.4100000000000006</v>
      </c>
      <c r="L409" s="82"/>
      <c r="M409" s="82"/>
      <c r="N409" s="86"/>
    </row>
    <row r="410" spans="2:14" ht="22.5" x14ac:dyDescent="0.25">
      <c r="B410" s="49"/>
      <c r="C410" s="58"/>
      <c r="D410" s="144" t="s">
        <v>1073</v>
      </c>
      <c r="E410" s="64"/>
      <c r="F410" s="105">
        <v>2</v>
      </c>
      <c r="G410" s="99">
        <v>3.1</v>
      </c>
      <c r="H410" s="92">
        <v>0.15</v>
      </c>
      <c r="I410" s="105">
        <v>0.2</v>
      </c>
      <c r="J410" s="99"/>
      <c r="K410" s="82"/>
      <c r="L410" s="82"/>
      <c r="M410" s="82"/>
      <c r="N410" s="86"/>
    </row>
    <row r="411" spans="2:14" x14ac:dyDescent="0.25">
      <c r="B411" s="49"/>
      <c r="C411" s="57"/>
      <c r="D411" s="144"/>
      <c r="E411" s="64"/>
      <c r="F411" s="94"/>
      <c r="G411" s="372"/>
      <c r="H411" s="99"/>
      <c r="I411" s="86"/>
      <c r="J411" s="99"/>
      <c r="K411" s="82"/>
      <c r="L411" s="82"/>
      <c r="M411" s="82"/>
      <c r="N411" s="86"/>
    </row>
    <row r="412" spans="2:14" x14ac:dyDescent="0.25">
      <c r="B412" s="49"/>
      <c r="C412" s="57"/>
      <c r="D412" s="144" t="s">
        <v>645</v>
      </c>
      <c r="E412" s="64"/>
      <c r="F412" s="94">
        <v>1</v>
      </c>
      <c r="G412" s="483">
        <f>((0.15+0.3)*2*1)</f>
        <v>0.89999999999999991</v>
      </c>
      <c r="H412" s="488"/>
      <c r="I412" s="86">
        <v>1.98</v>
      </c>
      <c r="J412" s="99"/>
      <c r="K412" s="82">
        <f t="shared" ref="K412" si="13">(F412*G412*I412)</f>
        <v>1.7819999999999998</v>
      </c>
      <c r="L412" s="82"/>
      <c r="M412" s="82"/>
      <c r="N412" s="86"/>
    </row>
    <row r="413" spans="2:14" ht="20.45" customHeight="1" x14ac:dyDescent="0.25">
      <c r="B413" s="49" t="s">
        <v>87</v>
      </c>
      <c r="C413" s="58">
        <v>98557</v>
      </c>
      <c r="D413" s="52" t="s">
        <v>89</v>
      </c>
      <c r="E413" s="64" t="s">
        <v>17</v>
      </c>
      <c r="F413" s="94"/>
      <c r="G413" s="104"/>
      <c r="H413" s="92"/>
      <c r="I413" s="105"/>
      <c r="J413" s="99">
        <f>'BOLETIM DE MEDIÇÃO 05'!O38-'MEMORIAL DE CALCULO 10'!K413</f>
        <v>0</v>
      </c>
      <c r="K413" s="82">
        <f>(F414*G414*I414)</f>
        <v>253.95000000000002</v>
      </c>
      <c r="L413" s="82">
        <f t="shared" si="0"/>
        <v>253.95000000000002</v>
      </c>
      <c r="M413" s="82">
        <f>'BOLETIM DE MEDIÇÃO 05'!G38</f>
        <v>253.95</v>
      </c>
      <c r="N413" s="86">
        <f t="shared" si="1"/>
        <v>0</v>
      </c>
    </row>
    <row r="414" spans="2:14" ht="20.45" customHeight="1" x14ac:dyDescent="0.25">
      <c r="B414" s="49"/>
      <c r="C414" s="58"/>
      <c r="D414" s="293" t="s">
        <v>888</v>
      </c>
      <c r="E414" s="64"/>
      <c r="F414" s="94">
        <v>1</v>
      </c>
      <c r="G414" s="104">
        <v>338.6</v>
      </c>
      <c r="H414" s="92"/>
      <c r="I414" s="105">
        <v>0.75</v>
      </c>
      <c r="J414" s="99"/>
      <c r="K414" s="82"/>
      <c r="L414" s="82"/>
      <c r="M414" s="82"/>
      <c r="N414" s="86"/>
    </row>
    <row r="415" spans="2:14" ht="14.45" customHeight="1" x14ac:dyDescent="0.25">
      <c r="B415" s="56" t="s">
        <v>90</v>
      </c>
      <c r="C415" s="60" t="s">
        <v>91</v>
      </c>
      <c r="D415" s="52"/>
      <c r="E415" s="64"/>
      <c r="F415" s="94"/>
      <c r="G415" s="104"/>
      <c r="H415" s="92"/>
      <c r="I415" s="105"/>
      <c r="J415" s="99"/>
      <c r="K415" s="82"/>
      <c r="L415" s="82"/>
      <c r="M415" s="82"/>
      <c r="N415" s="86"/>
    </row>
    <row r="416" spans="2:14" s="167" customFormat="1" ht="48.6" customHeight="1" x14ac:dyDescent="0.25">
      <c r="B416" s="203" t="s">
        <v>92</v>
      </c>
      <c r="C416" s="211">
        <v>92443</v>
      </c>
      <c r="D416" s="205" t="s">
        <v>94</v>
      </c>
      <c r="E416" s="206" t="s">
        <v>17</v>
      </c>
      <c r="F416" s="94">
        <v>1</v>
      </c>
      <c r="G416" s="104"/>
      <c r="H416" s="92"/>
      <c r="I416" s="105"/>
      <c r="J416" s="99">
        <f>'BOLETIM DE MEDIÇÃO 10'!R40-K416</f>
        <v>402.14</v>
      </c>
      <c r="K416" s="81">
        <f>G417</f>
        <v>8.8404000000000007</v>
      </c>
      <c r="L416" s="82">
        <f>J416+K416</f>
        <v>410.98039999999997</v>
      </c>
      <c r="M416" s="82">
        <f>'BOLETIM DE MEDIÇÃO 10'!G40</f>
        <v>410.98</v>
      </c>
      <c r="N416" s="86">
        <f>M416-L416</f>
        <v>-3.999999999564352E-4</v>
      </c>
    </row>
    <row r="417" spans="2:14" ht="14.45" customHeight="1" x14ac:dyDescent="0.25">
      <c r="B417" s="56"/>
      <c r="C417" s="60"/>
      <c r="D417" s="412" t="s">
        <v>1008</v>
      </c>
      <c r="E417" s="64"/>
      <c r="F417" s="94">
        <v>1</v>
      </c>
      <c r="G417" s="483">
        <v>8.8404000000000007</v>
      </c>
      <c r="H417" s="484"/>
      <c r="I417" s="485"/>
      <c r="J417" s="99"/>
      <c r="K417" s="82"/>
      <c r="L417" s="82"/>
      <c r="M417" s="82"/>
      <c r="N417" s="86"/>
    </row>
    <row r="418" spans="2:14" ht="40.15" customHeight="1" x14ac:dyDescent="0.25">
      <c r="B418" s="247" t="s">
        <v>95</v>
      </c>
      <c r="C418" s="248">
        <v>92480</v>
      </c>
      <c r="D418" s="401" t="s">
        <v>97</v>
      </c>
      <c r="E418" s="242" t="s">
        <v>17</v>
      </c>
      <c r="F418" s="243"/>
      <c r="G418" s="244"/>
      <c r="H418" s="402"/>
      <c r="I418" s="246"/>
      <c r="J418" s="249">
        <f>'BOLETIM DE MEDIÇÃO 10'!R41-'MEMORIAL DE CALCULO 10'!K418</f>
        <v>331.92200000000003</v>
      </c>
      <c r="K418" s="250">
        <f>K419+K420</f>
        <v>107.89619999999999</v>
      </c>
      <c r="L418" s="251">
        <f t="shared" si="0"/>
        <v>439.81820000000005</v>
      </c>
      <c r="M418" s="251">
        <f>'BOLETIM DE MEDIÇÃO 05'!G41</f>
        <v>435.33</v>
      </c>
      <c r="N418" s="252">
        <f t="shared" si="1"/>
        <v>-4.488200000000063</v>
      </c>
    </row>
    <row r="419" spans="2:14" ht="18" customHeight="1" x14ac:dyDescent="0.25">
      <c r="B419" s="247"/>
      <c r="C419" s="403"/>
      <c r="D419" s="411" t="s">
        <v>1010</v>
      </c>
      <c r="E419" s="242"/>
      <c r="F419" s="243">
        <v>1</v>
      </c>
      <c r="G419" s="497">
        <v>92.376199999999997</v>
      </c>
      <c r="H419" s="543"/>
      <c r="I419" s="544"/>
      <c r="J419" s="249"/>
      <c r="K419" s="251">
        <f>G419</f>
        <v>92.376199999999997</v>
      </c>
      <c r="L419" s="251"/>
      <c r="M419" s="251"/>
      <c r="N419" s="252"/>
    </row>
    <row r="420" spans="2:14" ht="18" customHeight="1" x14ac:dyDescent="0.25">
      <c r="B420" s="247"/>
      <c r="C420" s="403"/>
      <c r="D420" s="411" t="s">
        <v>1009</v>
      </c>
      <c r="E420" s="242"/>
      <c r="F420" s="243">
        <v>1</v>
      </c>
      <c r="G420" s="497">
        <v>15.52</v>
      </c>
      <c r="H420" s="543"/>
      <c r="I420" s="544"/>
      <c r="J420" s="249"/>
      <c r="K420" s="251">
        <f>G420</f>
        <v>15.52</v>
      </c>
      <c r="L420" s="251"/>
      <c r="M420" s="251"/>
      <c r="N420" s="252"/>
    </row>
    <row r="421" spans="2:14" ht="24.6" customHeight="1" x14ac:dyDescent="0.25">
      <c r="B421" s="247" t="s">
        <v>98</v>
      </c>
      <c r="C421" s="248">
        <v>92267</v>
      </c>
      <c r="D421" s="401" t="s">
        <v>100</v>
      </c>
      <c r="E421" s="242"/>
      <c r="F421" s="243"/>
      <c r="G421" s="393"/>
      <c r="H421" s="242"/>
      <c r="I421" s="405"/>
      <c r="J421" s="249">
        <f>'BOLETIM DE MEDIÇÃO 10'!R42-'MEMORIAL DE CALCULO 10'!K421</f>
        <v>72.858649999999997</v>
      </c>
      <c r="K421" s="250">
        <f>K422+K423</f>
        <v>57.966300000000004</v>
      </c>
      <c r="L421" s="251">
        <f>J421+K421</f>
        <v>130.82495</v>
      </c>
      <c r="M421" s="251">
        <f>'BOLETIM DE MEDIÇÃO 10'!G42</f>
        <v>130.82</v>
      </c>
      <c r="N421" s="252">
        <f>M421-L421</f>
        <v>-4.9500000000080036E-3</v>
      </c>
    </row>
    <row r="422" spans="2:14" ht="18" customHeight="1" x14ac:dyDescent="0.25">
      <c r="B422" s="247"/>
      <c r="C422" s="403"/>
      <c r="D422" s="411" t="s">
        <v>1011</v>
      </c>
      <c r="E422" s="242"/>
      <c r="F422" s="243">
        <v>1</v>
      </c>
      <c r="G422" s="497">
        <f>0.4*88.64</f>
        <v>35.456000000000003</v>
      </c>
      <c r="H422" s="543"/>
      <c r="I422" s="544"/>
      <c r="J422" s="249"/>
      <c r="K422" s="251">
        <f>G422</f>
        <v>35.456000000000003</v>
      </c>
      <c r="L422" s="251"/>
      <c r="M422" s="251"/>
      <c r="N422" s="252"/>
    </row>
    <row r="423" spans="2:14" ht="18" customHeight="1" x14ac:dyDescent="0.25">
      <c r="B423" s="247"/>
      <c r="C423" s="403"/>
      <c r="D423" s="411" t="s">
        <v>1012</v>
      </c>
      <c r="E423" s="242"/>
      <c r="F423" s="243">
        <v>1</v>
      </c>
      <c r="G423" s="497">
        <v>22.510300000000001</v>
      </c>
      <c r="H423" s="543"/>
      <c r="I423" s="544"/>
      <c r="J423" s="249"/>
      <c r="K423" s="251">
        <f>G423</f>
        <v>22.510300000000001</v>
      </c>
      <c r="L423" s="251"/>
      <c r="M423" s="251"/>
      <c r="N423" s="252"/>
    </row>
    <row r="424" spans="2:14" s="167" customFormat="1" ht="30.6" customHeight="1" x14ac:dyDescent="0.25">
      <c r="B424" s="49" t="s">
        <v>101</v>
      </c>
      <c r="C424" s="57">
        <v>92759</v>
      </c>
      <c r="D424" s="52" t="s">
        <v>103</v>
      </c>
      <c r="E424" s="64" t="s">
        <v>62</v>
      </c>
      <c r="F424" s="94"/>
      <c r="G424" s="104"/>
      <c r="H424" s="64"/>
      <c r="I424" s="105"/>
      <c r="J424" s="99">
        <f>'BOLETIM DE MEDIÇÃO 10'!R43-K424</f>
        <v>905.6037799999998</v>
      </c>
      <c r="K424" s="81">
        <f>K425</f>
        <v>130.6009</v>
      </c>
      <c r="L424" s="82">
        <f t="shared" si="0"/>
        <v>1036.2046799999998</v>
      </c>
      <c r="M424" s="82">
        <f>'BOLETIM DE MEDIÇÃO 05'!G43</f>
        <v>1027.8</v>
      </c>
      <c r="N424" s="86">
        <f t="shared" si="1"/>
        <v>-8.4046799999998711</v>
      </c>
    </row>
    <row r="425" spans="2:14" s="167" customFormat="1" ht="19.899999999999999" customHeight="1" x14ac:dyDescent="0.25">
      <c r="B425" s="49"/>
      <c r="C425" s="57"/>
      <c r="D425" s="344" t="s">
        <v>1013</v>
      </c>
      <c r="E425" s="64"/>
      <c r="F425" s="94">
        <v>1</v>
      </c>
      <c r="G425" s="483">
        <v>130.6009</v>
      </c>
      <c r="H425" s="484"/>
      <c r="I425" s="485"/>
      <c r="J425" s="99"/>
      <c r="K425" s="82">
        <f>F425*G425</f>
        <v>130.6009</v>
      </c>
      <c r="L425" s="82"/>
      <c r="M425" s="82"/>
      <c r="N425" s="86"/>
    </row>
    <row r="426" spans="2:14" s="167" customFormat="1" ht="33.6" hidden="1" customHeight="1" x14ac:dyDescent="0.25">
      <c r="B426" s="49" t="s">
        <v>104</v>
      </c>
      <c r="C426" s="57">
        <v>92760</v>
      </c>
      <c r="D426" s="52" t="s">
        <v>106</v>
      </c>
      <c r="E426" s="64" t="s">
        <v>62</v>
      </c>
      <c r="F426" s="94"/>
      <c r="G426" s="104"/>
      <c r="H426" s="64"/>
      <c r="I426" s="105"/>
      <c r="J426" s="99">
        <f>'BOLETIM DE MEDIÇÃO 05'!O44-'MEMORIAL DE CALCULO 10'!K426</f>
        <v>7.82</v>
      </c>
      <c r="K426" s="82">
        <f>K427</f>
        <v>15.64</v>
      </c>
      <c r="L426" s="82">
        <f t="shared" ref="L426" si="14">J426+K426</f>
        <v>23.46</v>
      </c>
      <c r="M426" s="82">
        <f>'BOLETIM DE MEDIÇÃO 05'!G44</f>
        <v>39.1</v>
      </c>
      <c r="N426" s="86">
        <f t="shared" ref="N426" si="15">M426-L426</f>
        <v>15.64</v>
      </c>
    </row>
    <row r="427" spans="2:14" s="167" customFormat="1" ht="22.9" hidden="1" customHeight="1" x14ac:dyDescent="0.25">
      <c r="B427" s="49"/>
      <c r="C427" s="57"/>
      <c r="D427" s="294" t="s">
        <v>964</v>
      </c>
      <c r="E427" s="64"/>
      <c r="F427" s="94">
        <v>1</v>
      </c>
      <c r="G427" s="445">
        <f>0.4*39.1</f>
        <v>15.64</v>
      </c>
      <c r="H427" s="446"/>
      <c r="I427" s="447"/>
      <c r="J427" s="99"/>
      <c r="K427" s="82">
        <f>F427*G427</f>
        <v>15.64</v>
      </c>
      <c r="L427" s="82"/>
      <c r="M427" s="82"/>
      <c r="N427" s="86"/>
    </row>
    <row r="428" spans="2:14" s="167" customFormat="1" ht="30.6" customHeight="1" x14ac:dyDescent="0.25">
      <c r="B428" s="49" t="s">
        <v>107</v>
      </c>
      <c r="C428" s="57">
        <v>92761</v>
      </c>
      <c r="D428" s="52" t="s">
        <v>109</v>
      </c>
      <c r="E428" s="64" t="s">
        <v>62</v>
      </c>
      <c r="F428" s="94"/>
      <c r="G428" s="104"/>
      <c r="H428" s="64"/>
      <c r="I428" s="105"/>
      <c r="J428" s="99">
        <f>'BOLETIM DE MEDIÇÃO 10'!R45-K428</f>
        <v>852.63999999999987</v>
      </c>
      <c r="K428" s="81">
        <f>K429</f>
        <v>168.64</v>
      </c>
      <c r="L428" s="82">
        <f t="shared" si="0"/>
        <v>1021.2799999999999</v>
      </c>
      <c r="M428" s="82">
        <f>'BOLETIM DE MEDIÇÃO 05'!G45</f>
        <v>1000</v>
      </c>
      <c r="N428" s="86">
        <f t="shared" si="1"/>
        <v>-21.279999999999859</v>
      </c>
    </row>
    <row r="429" spans="2:14" s="167" customFormat="1" ht="22.9" customHeight="1" x14ac:dyDescent="0.25">
      <c r="B429" s="49"/>
      <c r="C429" s="57"/>
      <c r="D429" s="344" t="s">
        <v>1013</v>
      </c>
      <c r="E429" s="64"/>
      <c r="F429" s="94">
        <v>1</v>
      </c>
      <c r="G429" s="483">
        <v>168.64</v>
      </c>
      <c r="H429" s="484"/>
      <c r="I429" s="485"/>
      <c r="J429" s="99"/>
      <c r="K429" s="82">
        <f>F429*G429</f>
        <v>168.64</v>
      </c>
      <c r="L429" s="82"/>
      <c r="M429" s="82"/>
      <c r="N429" s="86"/>
    </row>
    <row r="430" spans="2:14" s="167" customFormat="1" ht="30.6" customHeight="1" x14ac:dyDescent="0.25">
      <c r="B430" s="49" t="s">
        <v>110</v>
      </c>
      <c r="C430" s="57">
        <v>92762</v>
      </c>
      <c r="D430" s="52" t="s">
        <v>112</v>
      </c>
      <c r="E430" s="64" t="s">
        <v>62</v>
      </c>
      <c r="F430" s="94"/>
      <c r="G430" s="104"/>
      <c r="H430" s="64"/>
      <c r="I430" s="105"/>
      <c r="J430" s="99">
        <f>'BOLETIM DE MEDIÇÃO 10'!R46-K430</f>
        <v>1303.8771200000001</v>
      </c>
      <c r="K430" s="81">
        <f>K431</f>
        <v>11.700799999999999</v>
      </c>
      <c r="L430" s="82">
        <f t="shared" si="0"/>
        <v>1315.5779200000002</v>
      </c>
      <c r="M430" s="82">
        <f>'BOLETIM DE MEDIÇÃO 05'!G46</f>
        <v>1306.0999999999999</v>
      </c>
      <c r="N430" s="86">
        <f t="shared" si="1"/>
        <v>-9.4779200000002675</v>
      </c>
    </row>
    <row r="431" spans="2:14" s="167" customFormat="1" ht="19.899999999999999" customHeight="1" x14ac:dyDescent="0.25">
      <c r="B431" s="49"/>
      <c r="C431" s="57"/>
      <c r="D431" s="344" t="s">
        <v>1013</v>
      </c>
      <c r="E431" s="64"/>
      <c r="F431" s="105">
        <v>1</v>
      </c>
      <c r="G431" s="483">
        <v>11.700799999999999</v>
      </c>
      <c r="H431" s="484"/>
      <c r="I431" s="485"/>
      <c r="J431" s="99"/>
      <c r="K431" s="82">
        <f>F431*G431</f>
        <v>11.700799999999999</v>
      </c>
      <c r="L431" s="82"/>
      <c r="M431" s="82"/>
      <c r="N431" s="86"/>
    </row>
    <row r="432" spans="2:14" s="167" customFormat="1" ht="19.899999999999999" customHeight="1" x14ac:dyDescent="0.25">
      <c r="B432" s="203" t="s">
        <v>113</v>
      </c>
      <c r="C432" s="211">
        <v>92763</v>
      </c>
      <c r="D432" s="205" t="s">
        <v>115</v>
      </c>
      <c r="E432" s="206" t="s">
        <v>62</v>
      </c>
      <c r="F432" s="105"/>
      <c r="G432" s="373"/>
      <c r="H432" s="373"/>
      <c r="I432" s="318"/>
      <c r="J432" s="99">
        <f>'BOLETIM DE MEDIÇÃO 10'!R47-K432</f>
        <v>161.6</v>
      </c>
      <c r="K432" s="81">
        <f>K433</f>
        <v>6.6020000000000003</v>
      </c>
      <c r="L432" s="82">
        <f>J432+K432</f>
        <v>168.202</v>
      </c>
      <c r="M432" s="82">
        <f>'BOLETIM DE MEDIÇÃO 10'!G47</f>
        <v>168.2</v>
      </c>
      <c r="N432" s="86">
        <f t="shared" si="1"/>
        <v>-2.0000000000095497E-3</v>
      </c>
    </row>
    <row r="433" spans="2:15" s="167" customFormat="1" ht="19.899999999999999" customHeight="1" x14ac:dyDescent="0.25">
      <c r="B433" s="203"/>
      <c r="C433" s="211"/>
      <c r="D433" s="205" t="s">
        <v>1008</v>
      </c>
      <c r="E433" s="206"/>
      <c r="F433" s="105">
        <v>1</v>
      </c>
      <c r="G433" s="483">
        <v>6.6020000000000003</v>
      </c>
      <c r="H433" s="484"/>
      <c r="I433" s="485"/>
      <c r="J433" s="99"/>
      <c r="K433" s="82">
        <f>G433</f>
        <v>6.6020000000000003</v>
      </c>
      <c r="L433" s="82"/>
      <c r="M433" s="82"/>
      <c r="N433" s="86"/>
    </row>
    <row r="434" spans="2:15" s="167" customFormat="1" ht="33.75" x14ac:dyDescent="0.25">
      <c r="B434" s="49" t="s">
        <v>116</v>
      </c>
      <c r="C434" s="57">
        <v>92768</v>
      </c>
      <c r="D434" s="52" t="s">
        <v>118</v>
      </c>
      <c r="E434" s="64" t="s">
        <v>62</v>
      </c>
      <c r="F434" s="105"/>
      <c r="G434" s="99"/>
      <c r="H434" s="64"/>
      <c r="I434" s="105"/>
      <c r="J434" s="99">
        <f>'BOLETIM DE MEDIÇÃO 10'!R48-'MEMORIAL DE CALCULO 10'!K434</f>
        <v>177.17999999999998</v>
      </c>
      <c r="K434" s="81">
        <f>K435</f>
        <v>28.2</v>
      </c>
      <c r="L434" s="82">
        <f t="shared" si="0"/>
        <v>205.37999999999997</v>
      </c>
      <c r="M434" s="82">
        <f>'BOLETIM DE MEDIÇÃO 05'!G48</f>
        <v>158.69999999999999</v>
      </c>
      <c r="N434" s="86">
        <f t="shared" si="1"/>
        <v>-46.679999999999978</v>
      </c>
    </row>
    <row r="435" spans="2:15" s="167" customFormat="1" x14ac:dyDescent="0.25">
      <c r="B435" s="49"/>
      <c r="C435" s="57"/>
      <c r="D435" s="410" t="s">
        <v>969</v>
      </c>
      <c r="E435" s="64"/>
      <c r="F435" s="105">
        <v>1</v>
      </c>
      <c r="G435" s="483">
        <v>28.2</v>
      </c>
      <c r="H435" s="484"/>
      <c r="I435" s="485"/>
      <c r="J435" s="99"/>
      <c r="K435" s="82">
        <f>F435*G435</f>
        <v>28.2</v>
      </c>
      <c r="L435" s="82"/>
      <c r="M435" s="82"/>
      <c r="N435" s="86"/>
    </row>
    <row r="436" spans="2:15" s="167" customFormat="1" ht="33.75" x14ac:dyDescent="0.25">
      <c r="B436" s="49" t="s">
        <v>119</v>
      </c>
      <c r="C436" s="57">
        <v>92769</v>
      </c>
      <c r="D436" s="52" t="s">
        <v>121</v>
      </c>
      <c r="E436" s="64" t="s">
        <v>62</v>
      </c>
      <c r="F436" s="105"/>
      <c r="G436" s="99"/>
      <c r="H436" s="64"/>
      <c r="I436" s="105"/>
      <c r="J436" s="99">
        <f>'BOLETIM DE MEDIÇÃO 10'!R49-'MEMORIAL DE CALCULO 10'!K436</f>
        <v>165.83199999999999</v>
      </c>
      <c r="K436" s="81">
        <f>K437</f>
        <v>12.9002</v>
      </c>
      <c r="L436" s="82">
        <f t="shared" si="0"/>
        <v>178.73220000000001</v>
      </c>
      <c r="M436" s="82">
        <f>'BOLETIM DE MEDIÇÃO 05'!G49</f>
        <v>170.5</v>
      </c>
      <c r="N436" s="86">
        <f t="shared" si="1"/>
        <v>-8.232200000000006</v>
      </c>
    </row>
    <row r="437" spans="2:15" s="167" customFormat="1" x14ac:dyDescent="0.25">
      <c r="B437" s="49"/>
      <c r="C437" s="57"/>
      <c r="D437" s="410" t="s">
        <v>969</v>
      </c>
      <c r="E437" s="64"/>
      <c r="F437" s="105">
        <v>1</v>
      </c>
      <c r="G437" s="483">
        <v>12.9002</v>
      </c>
      <c r="H437" s="484"/>
      <c r="I437" s="485"/>
      <c r="J437" s="99"/>
      <c r="K437" s="82">
        <f>F437*G437</f>
        <v>12.9002</v>
      </c>
      <c r="L437" s="82"/>
      <c r="M437" s="82"/>
      <c r="N437" s="86"/>
    </row>
    <row r="438" spans="2:15" s="167" customFormat="1" ht="33.75" x14ac:dyDescent="0.25">
      <c r="B438" s="49" t="s">
        <v>122</v>
      </c>
      <c r="C438" s="57">
        <v>92770</v>
      </c>
      <c r="D438" s="52" t="s">
        <v>124</v>
      </c>
      <c r="E438" s="64" t="s">
        <v>62</v>
      </c>
      <c r="F438" s="105"/>
      <c r="G438" s="99"/>
      <c r="H438" s="64"/>
      <c r="I438" s="105"/>
      <c r="J438" s="99">
        <f>'BOLETIM DE MEDIÇÃO 10'!R50-'MEMORIAL DE CALCULO 10'!K438</f>
        <v>259</v>
      </c>
      <c r="K438" s="81">
        <f>K439</f>
        <v>20.100899999999999</v>
      </c>
      <c r="L438" s="82">
        <f t="shared" si="0"/>
        <v>279.10090000000002</v>
      </c>
      <c r="M438" s="82">
        <f>'BOLETIM DE MEDIÇÃO 05'!G50</f>
        <v>279.10000000000002</v>
      </c>
      <c r="N438" s="86">
        <f t="shared" si="1"/>
        <v>-9.0000000000145519E-4</v>
      </c>
    </row>
    <row r="439" spans="2:15" s="167" customFormat="1" ht="18" customHeight="1" x14ac:dyDescent="0.25">
      <c r="B439" s="49"/>
      <c r="C439" s="57"/>
      <c r="D439" s="410" t="s">
        <v>969</v>
      </c>
      <c r="E439" s="64"/>
      <c r="F439" s="105">
        <v>1</v>
      </c>
      <c r="G439" s="483">
        <v>20.100899999999999</v>
      </c>
      <c r="H439" s="484"/>
      <c r="I439" s="485"/>
      <c r="J439" s="99"/>
      <c r="K439" s="82">
        <f>F439*G439</f>
        <v>20.100899999999999</v>
      </c>
      <c r="L439" s="82"/>
      <c r="M439" s="82"/>
      <c r="N439" s="86"/>
    </row>
    <row r="440" spans="2:15" s="167" customFormat="1" ht="33.75" x14ac:dyDescent="0.25">
      <c r="B440" s="49" t="s">
        <v>125</v>
      </c>
      <c r="C440" s="57">
        <v>94966</v>
      </c>
      <c r="D440" s="52" t="s">
        <v>65</v>
      </c>
      <c r="E440" s="64" t="s">
        <v>41</v>
      </c>
      <c r="F440" s="105"/>
      <c r="G440" s="99"/>
      <c r="H440" s="64"/>
      <c r="I440" s="105"/>
      <c r="J440" s="99">
        <f>'BOLETIM DE MEDIÇÃO 10'!R51-'MEMORIAL DE CALCULO 10'!K440</f>
        <v>71.628424999999979</v>
      </c>
      <c r="K440" s="81">
        <f>SUM(K441:K441)</f>
        <v>10.02003</v>
      </c>
      <c r="L440" s="82">
        <f t="shared" si="0"/>
        <v>81.648454999999984</v>
      </c>
      <c r="M440" s="82">
        <f>'BOLETIM DE MEDIÇÃO 05'!G51</f>
        <v>61.56</v>
      </c>
      <c r="N440" s="86">
        <f t="shared" si="1"/>
        <v>-20.088454999999982</v>
      </c>
    </row>
    <row r="441" spans="2:15" ht="19.149999999999999" customHeight="1" x14ac:dyDescent="0.25">
      <c r="B441" s="247"/>
      <c r="C441" s="248"/>
      <c r="D441" s="344" t="s">
        <v>1013</v>
      </c>
      <c r="E441" s="242"/>
      <c r="F441" s="246">
        <v>1</v>
      </c>
      <c r="G441" s="551">
        <v>10.02003</v>
      </c>
      <c r="H441" s="551"/>
      <c r="I441" s="552"/>
      <c r="J441" s="249"/>
      <c r="K441" s="251">
        <f t="shared" ref="K441" si="16">F441*G441</f>
        <v>10.02003</v>
      </c>
      <c r="L441" s="251"/>
      <c r="M441" s="251"/>
      <c r="N441" s="252"/>
    </row>
    <row r="442" spans="2:15" ht="22.5" x14ac:dyDescent="0.25">
      <c r="B442" s="247" t="s">
        <v>126</v>
      </c>
      <c r="C442" s="248">
        <v>103670</v>
      </c>
      <c r="D442" s="401" t="s">
        <v>71</v>
      </c>
      <c r="E442" s="242" t="s">
        <v>41</v>
      </c>
      <c r="F442" s="246"/>
      <c r="G442" s="249"/>
      <c r="H442" s="402"/>
      <c r="I442" s="246"/>
      <c r="J442" s="249">
        <f>'BOLETIM DE MEDIÇÃO 05'!O52-'MEMORIAL DE CALCULO 10'!K442</f>
        <v>9.4099000099999994</v>
      </c>
      <c r="K442" s="250">
        <f>G443</f>
        <v>10.02009999</v>
      </c>
      <c r="L442" s="251">
        <f t="shared" si="0"/>
        <v>19.43</v>
      </c>
      <c r="M442" s="251">
        <f>'BOLETIM DE MEDIÇÃO 05'!G52</f>
        <v>61.56</v>
      </c>
      <c r="N442" s="252">
        <f t="shared" si="1"/>
        <v>42.13</v>
      </c>
    </row>
    <row r="443" spans="2:15" x14ac:dyDescent="0.25">
      <c r="B443" s="247"/>
      <c r="C443" s="403"/>
      <c r="D443" s="414" t="s">
        <v>932</v>
      </c>
      <c r="E443" s="242"/>
      <c r="F443" s="243">
        <v>1</v>
      </c>
      <c r="G443" s="551">
        <v>10.02009999</v>
      </c>
      <c r="H443" s="551"/>
      <c r="I443" s="552"/>
      <c r="J443" s="249"/>
      <c r="K443" s="251">
        <f>F443*G443</f>
        <v>10.02009999</v>
      </c>
      <c r="L443" s="251"/>
      <c r="M443" s="251"/>
      <c r="N443" s="252"/>
    </row>
    <row r="444" spans="2:15" ht="33.75" x14ac:dyDescent="0.25">
      <c r="B444" s="247" t="s">
        <v>127</v>
      </c>
      <c r="C444" s="248">
        <v>92771</v>
      </c>
      <c r="D444" s="401" t="s">
        <v>129</v>
      </c>
      <c r="E444" s="242" t="s">
        <v>62</v>
      </c>
      <c r="F444" s="243"/>
      <c r="G444" s="244"/>
      <c r="H444" s="402"/>
      <c r="I444" s="246"/>
      <c r="J444" s="249">
        <f>'BOLETIM DE MEDIÇÃO 10'!R53-'MEMORIAL DE CALCULO 10'!K444</f>
        <v>312.29999999999995</v>
      </c>
      <c r="K444" s="250">
        <f>K445</f>
        <v>94.6</v>
      </c>
      <c r="L444" s="251">
        <f t="shared" si="0"/>
        <v>406.9</v>
      </c>
      <c r="M444" s="251">
        <f>'BOLETIM DE MEDIÇÃO 05'!G53</f>
        <v>312.3</v>
      </c>
      <c r="N444" s="252">
        <f t="shared" si="1"/>
        <v>-94.599999999999966</v>
      </c>
    </row>
    <row r="445" spans="2:15" ht="18" customHeight="1" x14ac:dyDescent="0.25">
      <c r="B445" s="247"/>
      <c r="C445" s="248"/>
      <c r="D445" s="411" t="s">
        <v>969</v>
      </c>
      <c r="E445" s="242"/>
      <c r="F445" s="246">
        <v>1</v>
      </c>
      <c r="G445" s="497">
        <v>94.6</v>
      </c>
      <c r="H445" s="543"/>
      <c r="I445" s="544"/>
      <c r="J445" s="249"/>
      <c r="K445" s="251">
        <f>G445</f>
        <v>94.6</v>
      </c>
      <c r="L445" s="251"/>
      <c r="M445" s="251"/>
      <c r="N445" s="252"/>
    </row>
    <row r="446" spans="2:15" ht="33.75" hidden="1" x14ac:dyDescent="0.25">
      <c r="B446" s="362" t="s">
        <v>130</v>
      </c>
      <c r="C446" s="363">
        <v>92772</v>
      </c>
      <c r="D446" s="400" t="s">
        <v>132</v>
      </c>
      <c r="E446" s="365" t="s">
        <v>62</v>
      </c>
      <c r="F446" s="366"/>
      <c r="G446" s="396"/>
      <c r="H446" s="365"/>
      <c r="I446" s="371"/>
      <c r="J446" s="367">
        <f>'BOLETIM DE MEDIÇÃO 10'!R54-'MEMORIAL DE CALCULO 10'!K446</f>
        <v>154.80000000000001</v>
      </c>
      <c r="K446" s="368"/>
      <c r="L446" s="368">
        <f t="shared" si="0"/>
        <v>154.80000000000001</v>
      </c>
      <c r="M446" s="368">
        <f>'BOLETIM DE MEDIÇÃO 05'!G54</f>
        <v>154.80000000000001</v>
      </c>
      <c r="N446" s="369">
        <f t="shared" si="1"/>
        <v>0</v>
      </c>
      <c r="O446" s="370"/>
    </row>
    <row r="447" spans="2:15" ht="18" hidden="1" customHeight="1" x14ac:dyDescent="0.25">
      <c r="B447" s="362"/>
      <c r="C447" s="363"/>
      <c r="D447" s="364" t="s">
        <v>958</v>
      </c>
      <c r="E447" s="365"/>
      <c r="F447" s="371">
        <v>1</v>
      </c>
      <c r="G447" s="531">
        <v>154.80000000000001</v>
      </c>
      <c r="H447" s="532"/>
      <c r="I447" s="533"/>
      <c r="J447" s="367"/>
      <c r="K447" s="368"/>
      <c r="L447" s="368"/>
      <c r="M447" s="368"/>
      <c r="N447" s="369"/>
      <c r="O447" s="370"/>
    </row>
    <row r="448" spans="2:15" ht="18" hidden="1" customHeight="1" x14ac:dyDescent="0.25">
      <c r="B448" s="362"/>
      <c r="C448" s="363"/>
      <c r="D448" s="364"/>
      <c r="E448" s="365"/>
      <c r="F448" s="371"/>
      <c r="G448" s="387"/>
      <c r="H448" s="387"/>
      <c r="I448" s="388"/>
      <c r="J448" s="367"/>
      <c r="K448" s="368"/>
      <c r="L448" s="368"/>
      <c r="M448" s="368"/>
      <c r="N448" s="369"/>
      <c r="O448" s="370"/>
    </row>
    <row r="449" spans="2:14" ht="18" customHeight="1" x14ac:dyDescent="0.25">
      <c r="B449" s="212">
        <v>1.5</v>
      </c>
      <c r="C449" s="213" t="s">
        <v>134</v>
      </c>
      <c r="D449" s="205"/>
      <c r="E449" s="206"/>
      <c r="F449" s="123"/>
      <c r="G449" s="373"/>
      <c r="H449" s="373"/>
      <c r="I449" s="318"/>
      <c r="J449" s="99"/>
      <c r="K449" s="82"/>
      <c r="L449" s="82"/>
      <c r="M449" s="82"/>
      <c r="N449" s="86"/>
    </row>
    <row r="450" spans="2:14" ht="46.15" customHeight="1" x14ac:dyDescent="0.25">
      <c r="B450" s="383" t="s">
        <v>135</v>
      </c>
      <c r="C450" s="384">
        <v>103356</v>
      </c>
      <c r="D450" s="385" t="s">
        <v>137</v>
      </c>
      <c r="E450" s="386" t="s">
        <v>17</v>
      </c>
      <c r="F450" s="394"/>
      <c r="G450" s="373"/>
      <c r="H450" s="373"/>
      <c r="I450" s="318"/>
      <c r="J450" s="99">
        <f>'BOLETIM DE MEDIÇÃO 10'!R56-'MEMORIAL DE CALCULO 10'!K450</f>
        <v>1196.3104999999998</v>
      </c>
      <c r="K450" s="81">
        <f>K451</f>
        <v>46.31</v>
      </c>
      <c r="L450" s="82">
        <f>J450+K450</f>
        <v>1242.6204999999998</v>
      </c>
      <c r="M450" s="82">
        <f>'BOLETIM DE MEDIÇÃO 10'!G56</f>
        <v>1242.6199999999999</v>
      </c>
      <c r="N450" s="86">
        <f>M450-L450</f>
        <v>-4.9999999987448973E-4</v>
      </c>
    </row>
    <row r="451" spans="2:14" ht="22.9" customHeight="1" x14ac:dyDescent="0.25">
      <c r="B451" s="49"/>
      <c r="C451" s="57"/>
      <c r="D451" s="144" t="s">
        <v>1015</v>
      </c>
      <c r="E451" s="64"/>
      <c r="F451" s="105">
        <v>1</v>
      </c>
      <c r="G451" s="483">
        <v>46.31</v>
      </c>
      <c r="H451" s="484"/>
      <c r="I451" s="485"/>
      <c r="J451" s="99"/>
      <c r="K451" s="82">
        <f>G451</f>
        <v>46.31</v>
      </c>
      <c r="L451" s="82"/>
      <c r="M451" s="82"/>
      <c r="N451" s="86"/>
    </row>
    <row r="452" spans="2:14" ht="14.45" customHeight="1" x14ac:dyDescent="0.25">
      <c r="B452" s="56">
        <v>1.6</v>
      </c>
      <c r="C452" s="60" t="s">
        <v>148</v>
      </c>
      <c r="D452" s="52"/>
      <c r="E452" s="64"/>
      <c r="F452" s="105"/>
      <c r="G452" s="99"/>
      <c r="H452" s="64"/>
      <c r="I452" s="105"/>
      <c r="J452" s="99">
        <f>'BOLETIM DE MEDIÇÃO 10'!R74-'MEMORIAL DE CALCULO 10'!K452</f>
        <v>0</v>
      </c>
      <c r="K452" s="82"/>
      <c r="L452" s="82"/>
      <c r="M452" s="82"/>
      <c r="N452" s="86"/>
    </row>
    <row r="453" spans="2:14" ht="56.25" x14ac:dyDescent="0.25">
      <c r="B453" s="49" t="s">
        <v>152</v>
      </c>
      <c r="C453" s="57">
        <v>87548</v>
      </c>
      <c r="D453" s="52" t="s">
        <v>154</v>
      </c>
      <c r="E453" s="64" t="s">
        <v>17</v>
      </c>
      <c r="F453" s="105"/>
      <c r="G453" s="99"/>
      <c r="H453" s="64"/>
      <c r="I453" s="105"/>
      <c r="J453" s="99">
        <f>'BOLETIM DE MEDIÇÃO 10'!R75-'MEMORIAL DE CALCULO 10'!K453</f>
        <v>-697.98</v>
      </c>
      <c r="K453" s="81">
        <f>K454</f>
        <v>697.98</v>
      </c>
      <c r="L453" s="82">
        <f t="shared" si="0"/>
        <v>0</v>
      </c>
      <c r="M453" s="82">
        <f>'BOLETIM DE MEDIÇÃO 05'!G62</f>
        <v>997.11</v>
      </c>
      <c r="N453" s="86">
        <f t="shared" si="1"/>
        <v>997.11</v>
      </c>
    </row>
    <row r="454" spans="2:14" x14ac:dyDescent="0.25">
      <c r="B454" s="49"/>
      <c r="C454" s="57"/>
      <c r="D454" s="344" t="s">
        <v>972</v>
      </c>
      <c r="E454" s="64"/>
      <c r="F454" s="105">
        <v>1</v>
      </c>
      <c r="G454" s="483">
        <v>697.98</v>
      </c>
      <c r="H454" s="484"/>
      <c r="I454" s="485"/>
      <c r="J454" s="99">
        <f>'BOLETIM DE MEDIÇÃO 10'!R76-'MEMORIAL DE CALCULO 10'!K454</f>
        <v>-697.98</v>
      </c>
      <c r="K454" s="82">
        <f>F454*G454</f>
        <v>697.98</v>
      </c>
      <c r="L454" s="82"/>
      <c r="M454" s="82"/>
      <c r="N454" s="86"/>
    </row>
    <row r="455" spans="2:14" x14ac:dyDescent="0.25">
      <c r="B455" s="49"/>
      <c r="C455" s="57"/>
      <c r="D455" s="344"/>
      <c r="E455" s="64"/>
      <c r="F455" s="105"/>
      <c r="G455" s="373"/>
      <c r="H455" s="373"/>
      <c r="I455" s="318"/>
      <c r="J455" s="99">
        <f>'BOLETIM DE MEDIÇÃO 10'!R77-'MEMORIAL DE CALCULO 10'!K455</f>
        <v>0</v>
      </c>
      <c r="K455" s="82"/>
      <c r="L455" s="82"/>
      <c r="M455" s="82"/>
      <c r="N455" s="86"/>
    </row>
    <row r="456" spans="2:14" ht="56.25" x14ac:dyDescent="0.25">
      <c r="B456" s="49" t="s">
        <v>155</v>
      </c>
      <c r="C456" s="57">
        <v>87536</v>
      </c>
      <c r="D456" s="52" t="s">
        <v>157</v>
      </c>
      <c r="E456" s="64" t="s">
        <v>17</v>
      </c>
      <c r="F456" s="105"/>
      <c r="G456" s="373"/>
      <c r="H456" s="373"/>
      <c r="I456" s="318"/>
      <c r="J456" s="99">
        <f>'BOLETIM DE MEDIÇÃO 10'!R78-'MEMORIAL DE CALCULO 10'!K456</f>
        <v>-351.87</v>
      </c>
      <c r="K456" s="81">
        <f>K457</f>
        <v>351.87</v>
      </c>
      <c r="L456" s="82">
        <f>J456+K456</f>
        <v>0</v>
      </c>
      <c r="M456" s="82">
        <f>'BOLETIM DE MEDIÇÃO 10'!G63</f>
        <v>351.87</v>
      </c>
      <c r="N456" s="86">
        <f>M456-L456</f>
        <v>351.87</v>
      </c>
    </row>
    <row r="457" spans="2:14" x14ac:dyDescent="0.25">
      <c r="B457" s="49"/>
      <c r="C457" s="57"/>
      <c r="D457" s="344" t="s">
        <v>972</v>
      </c>
      <c r="E457" s="64"/>
      <c r="F457" s="105">
        <v>1</v>
      </c>
      <c r="G457" s="483">
        <v>351.87</v>
      </c>
      <c r="H457" s="484"/>
      <c r="I457" s="485"/>
      <c r="J457" s="99">
        <f>'BOLETIM DE MEDIÇÃO 10'!R79-'MEMORIAL DE CALCULO 10'!K457</f>
        <v>-351.87</v>
      </c>
      <c r="K457" s="82">
        <f>F457*G457</f>
        <v>351.87</v>
      </c>
      <c r="L457" s="82"/>
      <c r="M457" s="82"/>
      <c r="N457" s="86"/>
    </row>
    <row r="458" spans="2:14" x14ac:dyDescent="0.25">
      <c r="B458" s="49"/>
      <c r="C458" s="57"/>
      <c r="D458" s="344"/>
      <c r="E458" s="64"/>
      <c r="F458" s="105"/>
      <c r="G458" s="373"/>
      <c r="H458" s="373"/>
      <c r="I458" s="318"/>
      <c r="J458" s="99">
        <f>'BOLETIM DE MEDIÇÃO 10'!R80-'MEMORIAL DE CALCULO 10'!K458</f>
        <v>0</v>
      </c>
      <c r="K458" s="82"/>
      <c r="L458" s="82"/>
      <c r="M458" s="82"/>
      <c r="N458" s="86"/>
    </row>
    <row r="459" spans="2:14" x14ac:dyDescent="0.25">
      <c r="B459" s="346" t="s">
        <v>208</v>
      </c>
      <c r="C459" s="347" t="s">
        <v>209</v>
      </c>
      <c r="D459" s="344"/>
      <c r="E459" s="64"/>
      <c r="F459" s="105"/>
      <c r="G459" s="373"/>
      <c r="H459" s="373"/>
      <c r="I459" s="318"/>
      <c r="J459" s="99"/>
      <c r="K459" s="82"/>
      <c r="L459" s="82"/>
      <c r="M459" s="82"/>
      <c r="N459" s="86"/>
    </row>
    <row r="460" spans="2:14" ht="45" x14ac:dyDescent="0.25">
      <c r="B460" s="203" t="s">
        <v>210</v>
      </c>
      <c r="C460" s="211">
        <v>87894</v>
      </c>
      <c r="D460" s="205" t="s">
        <v>212</v>
      </c>
      <c r="E460" s="64"/>
      <c r="F460" s="105"/>
      <c r="G460" s="373"/>
      <c r="H460" s="373"/>
      <c r="I460" s="318"/>
      <c r="J460" s="99">
        <f>'BOLETIM DE MEDIÇÃO 10'!R82-'MEMORIAL DE CALCULO 10'!K460</f>
        <v>420.44</v>
      </c>
      <c r="K460" s="81">
        <f>K461</f>
        <v>45.930999999999997</v>
      </c>
      <c r="L460" s="82">
        <f>J460+K460</f>
        <v>466.37099999999998</v>
      </c>
      <c r="M460" s="82">
        <f>'BOLETIM DE MEDIÇÃO 10'!G83</f>
        <v>466.37</v>
      </c>
      <c r="N460" s="86">
        <f>M460-L460</f>
        <v>-9.9999999997635314E-4</v>
      </c>
    </row>
    <row r="461" spans="2:14" x14ac:dyDescent="0.25">
      <c r="B461" s="49"/>
      <c r="C461" s="57"/>
      <c r="D461" s="344" t="s">
        <v>1013</v>
      </c>
      <c r="E461" s="64"/>
      <c r="F461" s="105">
        <v>1</v>
      </c>
      <c r="G461" s="483">
        <v>45.930999999999997</v>
      </c>
      <c r="H461" s="484"/>
      <c r="I461" s="485"/>
      <c r="J461" s="99"/>
      <c r="K461" s="82">
        <f>F461*G461</f>
        <v>45.930999999999997</v>
      </c>
      <c r="L461" s="82"/>
      <c r="M461" s="82"/>
      <c r="N461" s="86"/>
    </row>
    <row r="462" spans="2:14" ht="56.25" x14ac:dyDescent="0.25">
      <c r="B462" s="247" t="s">
        <v>213</v>
      </c>
      <c r="C462" s="384">
        <v>104233</v>
      </c>
      <c r="D462" s="385" t="s">
        <v>215</v>
      </c>
      <c r="E462" s="277" t="s">
        <v>17</v>
      </c>
      <c r="F462" s="105"/>
      <c r="G462" s="415"/>
      <c r="H462" s="389"/>
      <c r="I462" s="416"/>
      <c r="J462" s="99">
        <f>'BOLETIM DE MEDIÇÃO 10'!R83-'MEMORIAL DE CALCULO 10'!K462</f>
        <v>278.39999999999998</v>
      </c>
      <c r="K462" s="81">
        <f>SUM(K463:K467)</f>
        <v>187.97049999999999</v>
      </c>
      <c r="L462" s="82">
        <f t="shared" ref="L462" si="17">J462+K462</f>
        <v>466.37049999999999</v>
      </c>
      <c r="M462" s="82">
        <f>'BOLETIM DE MEDIÇÃO 10'!G83</f>
        <v>466.37</v>
      </c>
      <c r="N462" s="86">
        <f t="shared" ref="N462" si="18">M462-L462</f>
        <v>-4.9999999998817657E-4</v>
      </c>
    </row>
    <row r="463" spans="2:14" x14ac:dyDescent="0.25">
      <c r="B463" s="49"/>
      <c r="C463" s="57"/>
      <c r="D463" s="344" t="s">
        <v>1013</v>
      </c>
      <c r="E463" s="64"/>
      <c r="F463" s="105">
        <v>1</v>
      </c>
      <c r="G463" s="483">
        <v>187.97049999999999</v>
      </c>
      <c r="H463" s="484"/>
      <c r="I463" s="485"/>
      <c r="J463" s="99"/>
      <c r="K463" s="82">
        <f>G463</f>
        <v>187.97049999999999</v>
      </c>
      <c r="L463" s="82"/>
      <c r="M463" s="82"/>
      <c r="N463" s="86"/>
    </row>
    <row r="464" spans="2:14" hidden="1" x14ac:dyDescent="0.25">
      <c r="B464" s="49"/>
      <c r="C464" s="57"/>
      <c r="D464" s="319" t="s">
        <v>996</v>
      </c>
      <c r="E464" s="64"/>
      <c r="F464" s="105"/>
      <c r="G464" s="373">
        <v>2.6</v>
      </c>
      <c r="H464" s="373"/>
      <c r="I464" s="105">
        <v>2.1</v>
      </c>
      <c r="J464" s="99"/>
      <c r="K464" s="82">
        <f t="shared" ref="K464:K467" si="19">F464*G464*I464</f>
        <v>0</v>
      </c>
      <c r="L464" s="82"/>
      <c r="M464" s="82"/>
      <c r="N464" s="86"/>
    </row>
    <row r="465" spans="2:14" hidden="1" x14ac:dyDescent="0.25">
      <c r="B465" s="49"/>
      <c r="C465" s="57"/>
      <c r="D465" s="319" t="s">
        <v>997</v>
      </c>
      <c r="E465" s="64"/>
      <c r="F465" s="105"/>
      <c r="G465" s="373">
        <v>0.8</v>
      </c>
      <c r="H465" s="373"/>
      <c r="I465" s="105">
        <v>2.1</v>
      </c>
      <c r="J465" s="99"/>
      <c r="K465" s="82">
        <f t="shared" si="19"/>
        <v>0</v>
      </c>
      <c r="L465" s="82"/>
      <c r="M465" s="82"/>
      <c r="N465" s="86"/>
    </row>
    <row r="466" spans="2:14" hidden="1" x14ac:dyDescent="0.25">
      <c r="B466" s="49"/>
      <c r="C466" s="57"/>
      <c r="D466" s="319" t="s">
        <v>998</v>
      </c>
      <c r="E466" s="64"/>
      <c r="F466" s="105"/>
      <c r="G466" s="373">
        <v>1.5</v>
      </c>
      <c r="H466" s="373"/>
      <c r="I466" s="105">
        <v>1</v>
      </c>
      <c r="J466" s="99"/>
      <c r="K466" s="82">
        <f t="shared" si="19"/>
        <v>0</v>
      </c>
      <c r="L466" s="82"/>
      <c r="M466" s="82"/>
      <c r="N466" s="86"/>
    </row>
    <row r="467" spans="2:14" hidden="1" x14ac:dyDescent="0.25">
      <c r="B467" s="49"/>
      <c r="C467" s="57"/>
      <c r="D467" s="319" t="s">
        <v>999</v>
      </c>
      <c r="E467" s="64"/>
      <c r="F467" s="105"/>
      <c r="G467" s="373">
        <v>1</v>
      </c>
      <c r="H467" s="373"/>
      <c r="I467" s="105">
        <v>0.5</v>
      </c>
      <c r="J467" s="99"/>
      <c r="K467" s="82">
        <f t="shared" si="19"/>
        <v>0</v>
      </c>
      <c r="L467" s="82"/>
      <c r="M467" s="82"/>
      <c r="N467" s="86"/>
    </row>
    <row r="468" spans="2:14" ht="14.45" hidden="1" customHeight="1" x14ac:dyDescent="0.25">
      <c r="B468" s="65">
        <v>1.1000000000000001</v>
      </c>
      <c r="C468" s="65" t="s">
        <v>229</v>
      </c>
      <c r="D468" s="344"/>
      <c r="E468" s="44"/>
      <c r="F468" s="130"/>
      <c r="G468" s="121"/>
      <c r="H468" s="70"/>
      <c r="I468" s="105"/>
      <c r="J468" s="99"/>
      <c r="K468" s="82">
        <f t="shared" ref="K468" si="20">(F468*G468*I468)</f>
        <v>0</v>
      </c>
      <c r="L468" s="82"/>
      <c r="M468" s="82"/>
      <c r="N468" s="86"/>
    </row>
    <row r="469" spans="2:14" ht="33.75" hidden="1" x14ac:dyDescent="0.25">
      <c r="B469" s="383" t="s">
        <v>284</v>
      </c>
      <c r="C469" s="384">
        <v>91834</v>
      </c>
      <c r="D469" s="390" t="s">
        <v>286</v>
      </c>
      <c r="E469" s="245" t="s">
        <v>37</v>
      </c>
      <c r="F469" s="312">
        <v>1</v>
      </c>
      <c r="G469" s="445">
        <v>200</v>
      </c>
      <c r="H469" s="446"/>
      <c r="I469" s="447"/>
      <c r="J469" s="99">
        <f>'BOLETIM DE MEDIÇÃO 10'!R108-'MEMORIAL DE CALCULO 10'!K469</f>
        <v>150</v>
      </c>
      <c r="K469" s="81">
        <f>G469</f>
        <v>200</v>
      </c>
      <c r="L469" s="82">
        <f>J469+K469</f>
        <v>350</v>
      </c>
      <c r="M469" s="82">
        <f>'BOLETIM DE MEDIÇÃO 10'!G108</f>
        <v>830.48</v>
      </c>
      <c r="N469" s="86">
        <f>M469-L469</f>
        <v>480.48</v>
      </c>
    </row>
    <row r="470" spans="2:14" hidden="1" x14ac:dyDescent="0.25">
      <c r="B470" s="383"/>
      <c r="C470" s="384"/>
      <c r="D470" s="392" t="s">
        <v>1001</v>
      </c>
      <c r="E470" s="245"/>
      <c r="F470" s="312"/>
      <c r="G470" s="382"/>
      <c r="H470" s="391"/>
      <c r="I470" s="318"/>
      <c r="J470" s="99"/>
      <c r="K470" s="81"/>
      <c r="L470" s="82"/>
      <c r="M470" s="82"/>
      <c r="N470" s="86"/>
    </row>
    <row r="471" spans="2:14" ht="33.75" hidden="1" x14ac:dyDescent="0.25">
      <c r="B471" s="383" t="s">
        <v>287</v>
      </c>
      <c r="C471" s="384">
        <v>91868</v>
      </c>
      <c r="D471" s="385" t="s">
        <v>289</v>
      </c>
      <c r="E471" s="245" t="s">
        <v>37</v>
      </c>
      <c r="F471" s="312">
        <v>1</v>
      </c>
      <c r="G471" s="445">
        <v>55.97</v>
      </c>
      <c r="H471" s="446"/>
      <c r="I471" s="447"/>
      <c r="J471" s="99">
        <f>'BOLETIM DE MEDIÇÃO 10'!R109-'MEMORIAL DE CALCULO 10'!K471</f>
        <v>0</v>
      </c>
      <c r="K471" s="81">
        <f>F471*G471</f>
        <v>55.97</v>
      </c>
      <c r="L471" s="82">
        <f t="shared" ref="L471" si="21">J471+K471</f>
        <v>55.97</v>
      </c>
      <c r="M471" s="82">
        <f>'BOLETIM DE MEDIÇÃO 10'!G109</f>
        <v>55.97</v>
      </c>
      <c r="N471" s="86">
        <f t="shared" ref="N471:N473" si="22">M471-L471</f>
        <v>0</v>
      </c>
    </row>
    <row r="472" spans="2:14" hidden="1" x14ac:dyDescent="0.25">
      <c r="B472" s="383"/>
      <c r="C472" s="384"/>
      <c r="D472" s="392" t="s">
        <v>1001</v>
      </c>
      <c r="E472" s="245"/>
      <c r="F472" s="312"/>
      <c r="G472" s="382"/>
      <c r="H472" s="382"/>
      <c r="I472" s="316"/>
      <c r="J472" s="99"/>
      <c r="K472" s="81"/>
      <c r="L472" s="82"/>
      <c r="M472" s="82"/>
      <c r="N472" s="86"/>
    </row>
    <row r="473" spans="2:14" ht="33.75" hidden="1" x14ac:dyDescent="0.25">
      <c r="B473" s="383" t="s">
        <v>290</v>
      </c>
      <c r="C473" s="384">
        <v>91867</v>
      </c>
      <c r="D473" s="385" t="s">
        <v>292</v>
      </c>
      <c r="E473" s="245" t="s">
        <v>37</v>
      </c>
      <c r="F473" s="312">
        <v>1</v>
      </c>
      <c r="G473" s="445">
        <v>36.19</v>
      </c>
      <c r="H473" s="446"/>
      <c r="I473" s="447"/>
      <c r="J473" s="99">
        <f>'BOLETIM DE MEDIÇÃO 10'!R110-'MEMORIAL DE CALCULO 10'!K473</f>
        <v>0</v>
      </c>
      <c r="K473" s="81">
        <f>G473</f>
        <v>36.19</v>
      </c>
      <c r="L473" s="82">
        <f>J473+K473</f>
        <v>36.19</v>
      </c>
      <c r="M473" s="82">
        <f>'BOLETIM DE MEDIÇÃO 10'!G110</f>
        <v>36.19</v>
      </c>
      <c r="N473" s="86">
        <f t="shared" si="22"/>
        <v>0</v>
      </c>
    </row>
    <row r="474" spans="2:14" hidden="1" x14ac:dyDescent="0.25">
      <c r="B474" s="383"/>
      <c r="C474" s="384"/>
      <c r="D474" s="392" t="s">
        <v>1001</v>
      </c>
      <c r="E474" s="245"/>
      <c r="F474" s="312"/>
      <c r="G474" s="121"/>
      <c r="H474" s="70"/>
      <c r="I474" s="105"/>
      <c r="J474" s="99"/>
      <c r="K474" s="82"/>
      <c r="L474" s="82"/>
      <c r="M474" s="82"/>
      <c r="N474" s="86"/>
    </row>
    <row r="475" spans="2:14" hidden="1" x14ac:dyDescent="0.25">
      <c r="B475" s="346" t="s">
        <v>312</v>
      </c>
      <c r="C475" s="348" t="s">
        <v>313</v>
      </c>
      <c r="D475" s="53"/>
      <c r="E475" s="69"/>
      <c r="F475" s="312"/>
      <c r="G475" s="121"/>
      <c r="H475" s="70"/>
      <c r="I475" s="105"/>
      <c r="J475" s="99"/>
      <c r="K475" s="82"/>
      <c r="L475" s="82"/>
      <c r="M475" s="82"/>
      <c r="N475" s="86"/>
    </row>
    <row r="476" spans="2:14" ht="22.5" hidden="1" x14ac:dyDescent="0.25">
      <c r="B476" s="50" t="s">
        <v>314</v>
      </c>
      <c r="C476" s="66">
        <v>96620</v>
      </c>
      <c r="D476" s="53" t="s">
        <v>316</v>
      </c>
      <c r="E476" s="217" t="s">
        <v>41</v>
      </c>
      <c r="F476" s="312"/>
      <c r="G476" s="121"/>
      <c r="H476" s="70"/>
      <c r="I476" s="105"/>
      <c r="J476" s="99">
        <f>'BOLETIM DE MEDIÇÃO 10'!R119-'MEMORIAL DE CALCULO 10'!K476</f>
        <v>10.199999999999999</v>
      </c>
      <c r="K476" s="81">
        <f>K477</f>
        <v>21.53</v>
      </c>
      <c r="L476" s="82">
        <f>J476+K476</f>
        <v>31.73</v>
      </c>
      <c r="M476" s="82">
        <f>'BOLETIM DE MEDIÇÃO 10'!G119</f>
        <v>35.340000000000003</v>
      </c>
      <c r="N476" s="86">
        <f>M476-L476</f>
        <v>3.610000000000003</v>
      </c>
    </row>
    <row r="477" spans="2:14" hidden="1" x14ac:dyDescent="0.25">
      <c r="B477" s="50"/>
      <c r="C477" s="66"/>
      <c r="D477" s="187" t="s">
        <v>994</v>
      </c>
      <c r="E477" s="69"/>
      <c r="F477" s="312"/>
      <c r="G477" s="445">
        <v>21.53</v>
      </c>
      <c r="H477" s="446"/>
      <c r="I477" s="447"/>
      <c r="J477" s="99"/>
      <c r="K477" s="82">
        <f>G477</f>
        <v>21.53</v>
      </c>
      <c r="L477" s="82"/>
      <c r="M477" s="82"/>
      <c r="N477" s="86"/>
    </row>
    <row r="478" spans="2:14" ht="67.5" hidden="1" x14ac:dyDescent="0.25">
      <c r="B478" s="383" t="s">
        <v>317</v>
      </c>
      <c r="C478" s="384">
        <v>94439</v>
      </c>
      <c r="D478" s="385" t="s">
        <v>319</v>
      </c>
      <c r="E478" s="277" t="s">
        <v>17</v>
      </c>
      <c r="F478" s="312"/>
      <c r="G478" s="121"/>
      <c r="H478" s="70"/>
      <c r="I478" s="105"/>
      <c r="J478" s="99">
        <f>'BOLETIM DE MEDIÇÃO 10'!R120</f>
        <v>116.27</v>
      </c>
      <c r="K478" s="81">
        <f>SUM(K479:K483)</f>
        <v>116.27</v>
      </c>
      <c r="L478" s="82">
        <f t="shared" ref="L478" si="23">J478+K478</f>
        <v>232.54</v>
      </c>
      <c r="M478" s="82">
        <f>'BOLETIM DE MEDIÇÃO 10'!G121</f>
        <v>634.5</v>
      </c>
      <c r="N478" s="86">
        <f>M478-L478</f>
        <v>401.96000000000004</v>
      </c>
    </row>
    <row r="479" spans="2:14" hidden="1" x14ac:dyDescent="0.25">
      <c r="B479" s="50"/>
      <c r="C479" s="66"/>
      <c r="D479" s="319" t="s">
        <v>846</v>
      </c>
      <c r="E479" s="69"/>
      <c r="F479" s="312">
        <v>1</v>
      </c>
      <c r="G479" s="445">
        <v>27</v>
      </c>
      <c r="H479" s="446"/>
      <c r="I479" s="447"/>
      <c r="J479" s="99"/>
      <c r="K479" s="82">
        <f>F479*G479</f>
        <v>27</v>
      </c>
      <c r="L479" s="82"/>
      <c r="M479" s="82"/>
      <c r="N479" s="86"/>
    </row>
    <row r="480" spans="2:14" hidden="1" x14ac:dyDescent="0.25">
      <c r="B480" s="50"/>
      <c r="C480" s="66"/>
      <c r="D480" s="319" t="s">
        <v>842</v>
      </c>
      <c r="E480" s="69"/>
      <c r="F480" s="312">
        <v>1</v>
      </c>
      <c r="G480" s="445">
        <v>26</v>
      </c>
      <c r="H480" s="446"/>
      <c r="I480" s="447"/>
      <c r="J480" s="99"/>
      <c r="K480" s="82">
        <f t="shared" ref="K480:K483" si="24">F480*G480</f>
        <v>26</v>
      </c>
      <c r="L480" s="82"/>
      <c r="M480" s="82"/>
      <c r="N480" s="86"/>
    </row>
    <row r="481" spans="2:14" hidden="1" x14ac:dyDescent="0.25">
      <c r="B481" s="50"/>
      <c r="C481" s="66"/>
      <c r="D481" s="319" t="s">
        <v>856</v>
      </c>
      <c r="E481" s="69"/>
      <c r="F481" s="312">
        <v>1</v>
      </c>
      <c r="G481" s="445">
        <v>30</v>
      </c>
      <c r="H481" s="446"/>
      <c r="I481" s="447"/>
      <c r="J481" s="99"/>
      <c r="K481" s="82">
        <f t="shared" si="24"/>
        <v>30</v>
      </c>
      <c r="L481" s="82"/>
      <c r="M481" s="82"/>
      <c r="N481" s="86"/>
    </row>
    <row r="482" spans="2:14" hidden="1" x14ac:dyDescent="0.25">
      <c r="B482" s="50"/>
      <c r="C482" s="66"/>
      <c r="D482" s="319" t="s">
        <v>981</v>
      </c>
      <c r="E482" s="69"/>
      <c r="F482" s="312">
        <v>1</v>
      </c>
      <c r="G482" s="445">
        <v>30</v>
      </c>
      <c r="H482" s="446"/>
      <c r="I482" s="447"/>
      <c r="J482" s="99"/>
      <c r="K482" s="82">
        <f t="shared" si="24"/>
        <v>30</v>
      </c>
      <c r="L482" s="82"/>
      <c r="M482" s="82"/>
      <c r="N482" s="86"/>
    </row>
    <row r="483" spans="2:14" hidden="1" x14ac:dyDescent="0.25">
      <c r="B483" s="50"/>
      <c r="C483" s="66"/>
      <c r="D483" s="319" t="s">
        <v>861</v>
      </c>
      <c r="E483" s="69"/>
      <c r="F483" s="312">
        <v>1</v>
      </c>
      <c r="G483" s="445">
        <v>3.27</v>
      </c>
      <c r="H483" s="446"/>
      <c r="I483" s="447"/>
      <c r="J483" s="99"/>
      <c r="K483" s="82">
        <f t="shared" si="24"/>
        <v>3.27</v>
      </c>
      <c r="L483" s="82"/>
      <c r="M483" s="82"/>
      <c r="N483" s="86"/>
    </row>
    <row r="484" spans="2:14" hidden="1" x14ac:dyDescent="0.25">
      <c r="B484" s="212">
        <v>1.1299999999999999</v>
      </c>
      <c r="C484" s="553" t="s">
        <v>368</v>
      </c>
      <c r="D484" s="554"/>
      <c r="E484" s="69"/>
      <c r="F484" s="312"/>
      <c r="G484" s="121"/>
      <c r="H484" s="70"/>
      <c r="I484" s="105"/>
      <c r="J484" s="99"/>
      <c r="K484" s="82"/>
      <c r="L484" s="82"/>
      <c r="M484" s="82"/>
      <c r="N484" s="86"/>
    </row>
    <row r="485" spans="2:14" ht="56.25" hidden="1" x14ac:dyDescent="0.25">
      <c r="B485" s="203" t="s">
        <v>369</v>
      </c>
      <c r="C485" s="211">
        <v>91785</v>
      </c>
      <c r="D485" s="205" t="s">
        <v>371</v>
      </c>
      <c r="E485" s="217" t="s">
        <v>37</v>
      </c>
      <c r="F485" s="312"/>
      <c r="G485" s="121"/>
      <c r="H485" s="70"/>
      <c r="I485" s="105"/>
      <c r="J485" s="99">
        <f>'BOLETIM DE MEDIÇÃO 10'!R138-'MEMORIAL DE CALCULO 10'!K485</f>
        <v>0</v>
      </c>
      <c r="K485" s="81">
        <f>K486</f>
        <v>98.77</v>
      </c>
      <c r="L485" s="82">
        <f>J485+K485</f>
        <v>98.77</v>
      </c>
      <c r="M485" s="206">
        <v>98.77</v>
      </c>
      <c r="N485" s="86">
        <f t="shared" ref="N485:N542" si="25">M485-L485</f>
        <v>0</v>
      </c>
    </row>
    <row r="486" spans="2:14" hidden="1" x14ac:dyDescent="0.25">
      <c r="B486" s="203"/>
      <c r="C486" s="211"/>
      <c r="D486" s="376" t="s">
        <v>1004</v>
      </c>
      <c r="E486" s="217"/>
      <c r="F486" s="312">
        <v>1</v>
      </c>
      <c r="G486" s="445">
        <f>98.77</f>
        <v>98.77</v>
      </c>
      <c r="H486" s="446"/>
      <c r="I486" s="447"/>
      <c r="J486" s="99"/>
      <c r="K486" s="82">
        <f>G486</f>
        <v>98.77</v>
      </c>
      <c r="L486" s="82"/>
      <c r="M486" s="206"/>
      <c r="N486" s="86">
        <f t="shared" si="25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5"/>
        <v>0</v>
      </c>
    </row>
    <row r="488" spans="2:14" ht="56.25" hidden="1" x14ac:dyDescent="0.25">
      <c r="B488" s="203" t="s">
        <v>372</v>
      </c>
      <c r="C488" s="211">
        <v>91784</v>
      </c>
      <c r="D488" s="205" t="s">
        <v>374</v>
      </c>
      <c r="E488" s="217" t="s">
        <v>37</v>
      </c>
      <c r="F488" s="312"/>
      <c r="G488" s="121"/>
      <c r="H488" s="70"/>
      <c r="I488" s="105"/>
      <c r="J488" s="99">
        <f>'BOLETIM DE MEDIÇÃO 10'!R139-'MEMORIAL DE CALCULO 10'!K488</f>
        <v>0</v>
      </c>
      <c r="K488" s="81">
        <f>K489</f>
        <v>62.17</v>
      </c>
      <c r="L488" s="82">
        <f t="shared" ref="L488:L547" si="26">J488+K488</f>
        <v>62.17</v>
      </c>
      <c r="M488" s="206">
        <v>62.17</v>
      </c>
      <c r="N488" s="86">
        <f t="shared" si="25"/>
        <v>0</v>
      </c>
    </row>
    <row r="489" spans="2:14" hidden="1" x14ac:dyDescent="0.25">
      <c r="B489" s="203"/>
      <c r="C489" s="211"/>
      <c r="D489" s="376" t="s">
        <v>1004</v>
      </c>
      <c r="E489" s="217"/>
      <c r="F489" s="312">
        <v>1</v>
      </c>
      <c r="G489" s="445">
        <f>62.17</f>
        <v>62.17</v>
      </c>
      <c r="H489" s="446"/>
      <c r="I489" s="447"/>
      <c r="J489" s="99"/>
      <c r="K489" s="82">
        <f>G489</f>
        <v>62.17</v>
      </c>
      <c r="L489" s="82"/>
      <c r="M489" s="206"/>
      <c r="N489" s="86">
        <f t="shared" si="25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5"/>
        <v>0</v>
      </c>
    </row>
    <row r="491" spans="2:14" ht="56.25" hidden="1" x14ac:dyDescent="0.25">
      <c r="B491" s="203" t="s">
        <v>375</v>
      </c>
      <c r="C491" s="211">
        <v>91786</v>
      </c>
      <c r="D491" s="205" t="s">
        <v>377</v>
      </c>
      <c r="E491" s="217" t="s">
        <v>37</v>
      </c>
      <c r="F491" s="312"/>
      <c r="G491" s="121"/>
      <c r="H491" s="70"/>
      <c r="I491" s="105"/>
      <c r="J491" s="99">
        <f>'BOLETIM DE MEDIÇÃO 10'!R140-'MEMORIAL DE CALCULO 10'!K491</f>
        <v>-7.4249999999999998</v>
      </c>
      <c r="K491" s="81">
        <f>K492</f>
        <v>7.4249999999999998</v>
      </c>
      <c r="L491" s="82">
        <f t="shared" si="26"/>
        <v>0</v>
      </c>
      <c r="M491" s="206">
        <v>24.75</v>
      </c>
      <c r="N491" s="86">
        <f t="shared" si="25"/>
        <v>24.75</v>
      </c>
    </row>
    <row r="492" spans="2:14" hidden="1" x14ac:dyDescent="0.25">
      <c r="B492" s="203"/>
      <c r="C492" s="211"/>
      <c r="D492" s="376" t="s">
        <v>984</v>
      </c>
      <c r="E492" s="217"/>
      <c r="F492" s="312">
        <v>1</v>
      </c>
      <c r="G492" s="445">
        <f>0.3*24.75</f>
        <v>7.4249999999999998</v>
      </c>
      <c r="H492" s="446"/>
      <c r="I492" s="447"/>
      <c r="J492" s="99"/>
      <c r="K492" s="82">
        <f>G492</f>
        <v>7.4249999999999998</v>
      </c>
      <c r="L492" s="82"/>
      <c r="M492" s="206"/>
      <c r="N492" s="86">
        <f t="shared" si="25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5"/>
        <v>0</v>
      </c>
    </row>
    <row r="494" spans="2:14" ht="56.25" hidden="1" x14ac:dyDescent="0.25">
      <c r="B494" s="203" t="s">
        <v>378</v>
      </c>
      <c r="C494" s="211">
        <v>91787</v>
      </c>
      <c r="D494" s="205" t="s">
        <v>380</v>
      </c>
      <c r="E494" s="217" t="s">
        <v>37</v>
      </c>
      <c r="F494" s="312"/>
      <c r="G494" s="121"/>
      <c r="H494" s="70"/>
      <c r="I494" s="105"/>
      <c r="J494" s="99">
        <f>'BOLETIM DE MEDIÇÃO 10'!R141-'MEMORIAL DE CALCULO 10'!K494</f>
        <v>-7.7759999999999998</v>
      </c>
      <c r="K494" s="81">
        <f>K495</f>
        <v>7.7759999999999998</v>
      </c>
      <c r="L494" s="82">
        <f t="shared" si="26"/>
        <v>0</v>
      </c>
      <c r="M494" s="206">
        <v>25.92</v>
      </c>
      <c r="N494" s="86">
        <f t="shared" si="25"/>
        <v>25.92</v>
      </c>
    </row>
    <row r="495" spans="2:14" hidden="1" x14ac:dyDescent="0.25">
      <c r="B495" s="203"/>
      <c r="C495" s="211"/>
      <c r="D495" s="376" t="s">
        <v>984</v>
      </c>
      <c r="E495" s="217"/>
      <c r="F495" s="312">
        <v>1</v>
      </c>
      <c r="G495" s="445">
        <f>0.3*25.92</f>
        <v>7.7759999999999998</v>
      </c>
      <c r="H495" s="446"/>
      <c r="I495" s="447"/>
      <c r="J495" s="99"/>
      <c r="K495" s="82">
        <f>G495</f>
        <v>7.7759999999999998</v>
      </c>
      <c r="L495" s="82"/>
      <c r="M495" s="206"/>
      <c r="N495" s="86">
        <f t="shared" si="25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5"/>
        <v>0</v>
      </c>
    </row>
    <row r="497" spans="2:14" ht="33.75" hidden="1" x14ac:dyDescent="0.25">
      <c r="B497" s="203" t="s">
        <v>381</v>
      </c>
      <c r="C497" s="211">
        <v>89987</v>
      </c>
      <c r="D497" s="205" t="s">
        <v>383</v>
      </c>
      <c r="E497" s="217" t="s">
        <v>166</v>
      </c>
      <c r="F497" s="312"/>
      <c r="G497" s="121"/>
      <c r="H497" s="70"/>
      <c r="I497" s="105"/>
      <c r="J497" s="99">
        <f>'BOLETIM DE MEDIÇÃO 10'!R142-'MEMORIAL DE CALCULO 10'!K497</f>
        <v>-3</v>
      </c>
      <c r="K497" s="81">
        <f>K498</f>
        <v>3</v>
      </c>
      <c r="L497" s="82">
        <f t="shared" si="26"/>
        <v>0</v>
      </c>
      <c r="M497" s="206">
        <v>10</v>
      </c>
      <c r="N497" s="86">
        <f t="shared" si="25"/>
        <v>10</v>
      </c>
    </row>
    <row r="498" spans="2:14" hidden="1" x14ac:dyDescent="0.25">
      <c r="B498" s="203"/>
      <c r="C498" s="211"/>
      <c r="D498" s="376" t="s">
        <v>984</v>
      </c>
      <c r="E498" s="217"/>
      <c r="F498" s="312">
        <v>1</v>
      </c>
      <c r="G498" s="445">
        <f>0.3*10</f>
        <v>3</v>
      </c>
      <c r="H498" s="446"/>
      <c r="I498" s="447"/>
      <c r="J498" s="99"/>
      <c r="K498" s="82">
        <f>G498</f>
        <v>3</v>
      </c>
      <c r="L498" s="82"/>
      <c r="M498" s="206"/>
      <c r="N498" s="86">
        <f t="shared" si="25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25"/>
        <v>0</v>
      </c>
    </row>
    <row r="500" spans="2:14" ht="22.5" hidden="1" x14ac:dyDescent="0.25">
      <c r="B500" s="203" t="s">
        <v>384</v>
      </c>
      <c r="C500" s="211">
        <v>94490</v>
      </c>
      <c r="D500" s="205" t="s">
        <v>386</v>
      </c>
      <c r="E500" s="217" t="s">
        <v>166</v>
      </c>
      <c r="F500" s="312"/>
      <c r="G500" s="121"/>
      <c r="H500" s="70"/>
      <c r="I500" s="105"/>
      <c r="J500" s="99">
        <f>'BOLETIM DE MEDIÇÃO 10'!R143-'MEMORIAL DE CALCULO 10'!K500</f>
        <v>-1</v>
      </c>
      <c r="K500" s="81">
        <f>K501</f>
        <v>1</v>
      </c>
      <c r="L500" s="82">
        <f t="shared" si="26"/>
        <v>0</v>
      </c>
      <c r="M500" s="206">
        <v>2</v>
      </c>
      <c r="N500" s="86">
        <f t="shared" si="25"/>
        <v>2</v>
      </c>
    </row>
    <row r="501" spans="2:14" hidden="1" x14ac:dyDescent="0.25">
      <c r="B501" s="203"/>
      <c r="C501" s="211"/>
      <c r="D501" s="376" t="s">
        <v>983</v>
      </c>
      <c r="E501" s="217"/>
      <c r="F501" s="312">
        <v>1</v>
      </c>
      <c r="G501" s="445">
        <v>1</v>
      </c>
      <c r="H501" s="446"/>
      <c r="I501" s="447"/>
      <c r="J501" s="99"/>
      <c r="K501" s="82">
        <v>1</v>
      </c>
      <c r="L501" s="82"/>
      <c r="M501" s="206"/>
      <c r="N501" s="86">
        <f t="shared" si="25"/>
        <v>0</v>
      </c>
    </row>
    <row r="502" spans="2:14" hidden="1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>
        <f t="shared" si="25"/>
        <v>0</v>
      </c>
    </row>
    <row r="503" spans="2:14" ht="33.75" hidden="1" x14ac:dyDescent="0.25">
      <c r="B503" s="203" t="s">
        <v>387</v>
      </c>
      <c r="C503" s="211">
        <v>89985</v>
      </c>
      <c r="D503" s="205" t="s">
        <v>389</v>
      </c>
      <c r="E503" s="217" t="s">
        <v>166</v>
      </c>
      <c r="F503" s="312"/>
      <c r="G503" s="121"/>
      <c r="H503" s="70"/>
      <c r="I503" s="105"/>
      <c r="J503" s="99">
        <f>'BOLETIM DE MEDIÇÃO 10'!R144-'MEMORIAL DE CALCULO 10'!K503</f>
        <v>-3</v>
      </c>
      <c r="K503" s="81">
        <f>K504</f>
        <v>3</v>
      </c>
      <c r="L503" s="82">
        <f t="shared" si="26"/>
        <v>0</v>
      </c>
      <c r="M503" s="206">
        <v>6</v>
      </c>
      <c r="N503" s="86">
        <f t="shared" si="25"/>
        <v>6</v>
      </c>
    </row>
    <row r="504" spans="2:14" hidden="1" x14ac:dyDescent="0.25">
      <c r="B504" s="203"/>
      <c r="C504" s="211"/>
      <c r="D504" s="376" t="s">
        <v>983</v>
      </c>
      <c r="E504" s="217"/>
      <c r="F504" s="312">
        <v>1</v>
      </c>
      <c r="G504" s="445">
        <v>3</v>
      </c>
      <c r="H504" s="446"/>
      <c r="I504" s="447"/>
      <c r="J504" s="99"/>
      <c r="K504" s="82">
        <f>G504</f>
        <v>3</v>
      </c>
      <c r="L504" s="82"/>
      <c r="M504" s="206"/>
      <c r="N504" s="86">
        <f t="shared" si="25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5"/>
        <v>0</v>
      </c>
    </row>
    <row r="506" spans="2:14" ht="33.75" hidden="1" x14ac:dyDescent="0.25">
      <c r="B506" s="203" t="s">
        <v>390</v>
      </c>
      <c r="C506" s="211">
        <v>102613</v>
      </c>
      <c r="D506" s="205" t="s">
        <v>392</v>
      </c>
      <c r="E506" s="217" t="s">
        <v>166</v>
      </c>
      <c r="F506" s="312"/>
      <c r="G506" s="121"/>
      <c r="H506" s="70"/>
      <c r="I506" s="105"/>
      <c r="J506" s="99">
        <f>'BOLETIM DE MEDIÇÃO 10'!R145-'MEMORIAL DE CALCULO 10'!K506</f>
        <v>0</v>
      </c>
      <c r="K506" s="82"/>
      <c r="L506" s="82">
        <f t="shared" si="26"/>
        <v>0</v>
      </c>
      <c r="M506" s="206">
        <v>2</v>
      </c>
      <c r="N506" s="86">
        <f t="shared" si="25"/>
        <v>2</v>
      </c>
    </row>
    <row r="507" spans="2:14" hidden="1" x14ac:dyDescent="0.25">
      <c r="B507" s="203"/>
      <c r="C507" s="211"/>
      <c r="D507" s="205"/>
      <c r="E507" s="217"/>
      <c r="F507" s="312"/>
      <c r="G507" s="121"/>
      <c r="H507" s="70"/>
      <c r="I507" s="105"/>
      <c r="J507" s="99"/>
      <c r="K507" s="82"/>
      <c r="L507" s="82"/>
      <c r="M507" s="206"/>
      <c r="N507" s="86">
        <f t="shared" si="25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25"/>
        <v>0</v>
      </c>
    </row>
    <row r="509" spans="2:14" ht="22.5" hidden="1" x14ac:dyDescent="0.25">
      <c r="B509" s="203" t="s">
        <v>393</v>
      </c>
      <c r="C509" s="211">
        <v>102609</v>
      </c>
      <c r="D509" s="205" t="s">
        <v>395</v>
      </c>
      <c r="E509" s="217" t="s">
        <v>166</v>
      </c>
      <c r="F509" s="312"/>
      <c r="G509" s="121"/>
      <c r="H509" s="70"/>
      <c r="I509" s="105"/>
      <c r="J509" s="99">
        <f>'BOLETIM DE MEDIÇÃO 10'!R146-'MEMORIAL DE CALCULO 10'!K509</f>
        <v>0</v>
      </c>
      <c r="K509" s="82"/>
      <c r="L509" s="82">
        <f t="shared" si="26"/>
        <v>0</v>
      </c>
      <c r="M509" s="206">
        <v>2</v>
      </c>
      <c r="N509" s="86">
        <f t="shared" si="25"/>
        <v>2</v>
      </c>
    </row>
    <row r="510" spans="2:14" hidden="1" x14ac:dyDescent="0.25">
      <c r="B510" s="203"/>
      <c r="C510" s="211"/>
      <c r="D510" s="205"/>
      <c r="E510" s="217"/>
      <c r="F510" s="312"/>
      <c r="G510" s="121"/>
      <c r="H510" s="70"/>
      <c r="I510" s="105"/>
      <c r="J510" s="99"/>
      <c r="K510" s="82"/>
      <c r="L510" s="82"/>
      <c r="M510" s="206"/>
      <c r="N510" s="86">
        <f t="shared" si="25"/>
        <v>0</v>
      </c>
    </row>
    <row r="511" spans="2:14" hidden="1" x14ac:dyDescent="0.25">
      <c r="B511" s="203"/>
      <c r="C511" s="211"/>
      <c r="D511" s="205"/>
      <c r="E511" s="217"/>
      <c r="F511" s="312"/>
      <c r="G511" s="121"/>
      <c r="H511" s="70"/>
      <c r="I511" s="105"/>
      <c r="J511" s="99"/>
      <c r="K511" s="82"/>
      <c r="L511" s="82"/>
      <c r="M511" s="206"/>
      <c r="N511" s="86">
        <f t="shared" si="25"/>
        <v>0</v>
      </c>
    </row>
    <row r="512" spans="2:14" ht="22.5" hidden="1" x14ac:dyDescent="0.25">
      <c r="B512" s="203" t="s">
        <v>396</v>
      </c>
      <c r="C512" s="211">
        <v>94796</v>
      </c>
      <c r="D512" s="205" t="s">
        <v>398</v>
      </c>
      <c r="E512" s="217" t="s">
        <v>166</v>
      </c>
      <c r="F512" s="312"/>
      <c r="G512" s="121"/>
      <c r="H512" s="70"/>
      <c r="I512" s="105"/>
      <c r="J512" s="99">
        <f>'BOLETIM DE MEDIÇÃO 10'!R147-'MEMORIAL DE CALCULO 10'!K512</f>
        <v>0</v>
      </c>
      <c r="K512" s="82"/>
      <c r="L512" s="82">
        <f t="shared" si="26"/>
        <v>0</v>
      </c>
      <c r="M512" s="206">
        <v>4</v>
      </c>
      <c r="N512" s="86">
        <f t="shared" si="25"/>
        <v>4</v>
      </c>
    </row>
    <row r="513" spans="2:14" hidden="1" x14ac:dyDescent="0.25">
      <c r="B513" s="203"/>
      <c r="C513" s="211"/>
      <c r="D513" s="205"/>
      <c r="E513" s="217"/>
      <c r="F513" s="312"/>
      <c r="G513" s="121"/>
      <c r="H513" s="70"/>
      <c r="I513" s="105"/>
      <c r="J513" s="99"/>
      <c r="K513" s="82"/>
      <c r="L513" s="82"/>
      <c r="M513" s="206"/>
      <c r="N513" s="86">
        <f t="shared" si="25"/>
        <v>0</v>
      </c>
    </row>
    <row r="514" spans="2:14" hidden="1" x14ac:dyDescent="0.25">
      <c r="B514" s="203"/>
      <c r="C514" s="211"/>
      <c r="D514" s="205"/>
      <c r="E514" s="217"/>
      <c r="F514" s="312"/>
      <c r="G514" s="121"/>
      <c r="H514" s="70"/>
      <c r="I514" s="105"/>
      <c r="J514" s="99"/>
      <c r="K514" s="82"/>
      <c r="L514" s="82"/>
      <c r="M514" s="206"/>
      <c r="N514" s="86">
        <f t="shared" si="25"/>
        <v>0</v>
      </c>
    </row>
    <row r="515" spans="2:14" ht="22.5" hidden="1" x14ac:dyDescent="0.25">
      <c r="B515" s="203" t="s">
        <v>399</v>
      </c>
      <c r="C515" s="211">
        <v>94491</v>
      </c>
      <c r="D515" s="205" t="s">
        <v>401</v>
      </c>
      <c r="E515" s="217" t="s">
        <v>166</v>
      </c>
      <c r="F515" s="312"/>
      <c r="G515" s="121"/>
      <c r="H515" s="70"/>
      <c r="I515" s="105"/>
      <c r="J515" s="99">
        <f>'BOLETIM DE MEDIÇÃO 10'!R148-'MEMORIAL DE CALCULO 10'!K515</f>
        <v>0</v>
      </c>
      <c r="K515" s="82"/>
      <c r="L515" s="82">
        <f t="shared" si="26"/>
        <v>0</v>
      </c>
      <c r="M515" s="206">
        <v>4</v>
      </c>
      <c r="N515" s="86">
        <f t="shared" si="25"/>
        <v>4</v>
      </c>
    </row>
    <row r="516" spans="2:14" hidden="1" x14ac:dyDescent="0.25">
      <c r="B516" s="203"/>
      <c r="C516" s="211"/>
      <c r="D516" s="205"/>
      <c r="E516" s="217"/>
      <c r="F516" s="312"/>
      <c r="G516" s="121"/>
      <c r="H516" s="70"/>
      <c r="I516" s="105"/>
      <c r="J516" s="99"/>
      <c r="K516" s="82"/>
      <c r="L516" s="82"/>
      <c r="M516" s="206"/>
      <c r="N516" s="86">
        <f t="shared" si="25"/>
        <v>0</v>
      </c>
    </row>
    <row r="517" spans="2:14" hidden="1" x14ac:dyDescent="0.25">
      <c r="B517" s="203"/>
      <c r="C517" s="211"/>
      <c r="D517" s="205"/>
      <c r="E517" s="217"/>
      <c r="F517" s="312"/>
      <c r="G517" s="121"/>
      <c r="H517" s="70"/>
      <c r="I517" s="105"/>
      <c r="J517" s="99"/>
      <c r="K517" s="82"/>
      <c r="L517" s="82"/>
      <c r="M517" s="206"/>
      <c r="N517" s="86">
        <f t="shared" si="25"/>
        <v>0</v>
      </c>
    </row>
    <row r="518" spans="2:14" ht="22.5" hidden="1" x14ac:dyDescent="0.25">
      <c r="B518" s="203" t="s">
        <v>402</v>
      </c>
      <c r="C518" s="211">
        <v>94492</v>
      </c>
      <c r="D518" s="205" t="s">
        <v>404</v>
      </c>
      <c r="E518" s="217" t="s">
        <v>166</v>
      </c>
      <c r="F518" s="312"/>
      <c r="G518" s="121"/>
      <c r="H518" s="70"/>
      <c r="I518" s="105"/>
      <c r="J518" s="99">
        <f>'BOLETIM DE MEDIÇÃO 10'!R149-'MEMORIAL DE CALCULO 10'!K518</f>
        <v>0</v>
      </c>
      <c r="K518" s="82"/>
      <c r="L518" s="82">
        <f t="shared" si="26"/>
        <v>0</v>
      </c>
      <c r="M518" s="206">
        <v>2</v>
      </c>
      <c r="N518" s="86">
        <f t="shared" si="25"/>
        <v>2</v>
      </c>
    </row>
    <row r="519" spans="2:14" hidden="1" x14ac:dyDescent="0.25">
      <c r="B519" s="203"/>
      <c r="C519" s="211"/>
      <c r="D519" s="205"/>
      <c r="E519" s="217"/>
      <c r="F519" s="312"/>
      <c r="G519" s="121"/>
      <c r="H519" s="70"/>
      <c r="I519" s="105"/>
      <c r="J519" s="99"/>
      <c r="K519" s="82"/>
      <c r="L519" s="82"/>
      <c r="M519" s="206"/>
      <c r="N519" s="86">
        <f t="shared" si="25"/>
        <v>0</v>
      </c>
    </row>
    <row r="520" spans="2:14" hidden="1" x14ac:dyDescent="0.25">
      <c r="B520" s="203"/>
      <c r="C520" s="211"/>
      <c r="D520" s="205"/>
      <c r="E520" s="217"/>
      <c r="F520" s="312"/>
      <c r="G520" s="121"/>
      <c r="H520" s="70"/>
      <c r="I520" s="105"/>
      <c r="J520" s="99"/>
      <c r="K520" s="82"/>
      <c r="L520" s="82"/>
      <c r="M520" s="206"/>
      <c r="N520" s="86">
        <f t="shared" si="25"/>
        <v>0</v>
      </c>
    </row>
    <row r="521" spans="2:14" ht="22.5" hidden="1" x14ac:dyDescent="0.25">
      <c r="B521" s="203" t="s">
        <v>405</v>
      </c>
      <c r="C521" s="211">
        <v>95675</v>
      </c>
      <c r="D521" s="205" t="s">
        <v>407</v>
      </c>
      <c r="E521" s="217" t="s">
        <v>166</v>
      </c>
      <c r="F521" s="312"/>
      <c r="G521" s="121"/>
      <c r="H521" s="70"/>
      <c r="I521" s="105"/>
      <c r="J521" s="99">
        <f>'BOLETIM DE MEDIÇÃO 10'!R150-'MEMORIAL DE CALCULO 10'!K521</f>
        <v>0</v>
      </c>
      <c r="K521" s="82"/>
      <c r="L521" s="82">
        <f t="shared" si="26"/>
        <v>0</v>
      </c>
      <c r="M521" s="206">
        <v>1</v>
      </c>
      <c r="N521" s="86">
        <f t="shared" si="25"/>
        <v>1</v>
      </c>
    </row>
    <row r="522" spans="2:14" hidden="1" x14ac:dyDescent="0.25">
      <c r="B522" s="203"/>
      <c r="C522" s="211"/>
      <c r="D522" s="205"/>
      <c r="E522" s="217"/>
      <c r="F522" s="312"/>
      <c r="G522" s="121"/>
      <c r="H522" s="70"/>
      <c r="I522" s="105"/>
      <c r="J522" s="99"/>
      <c r="K522" s="82"/>
      <c r="L522" s="82"/>
      <c r="M522" s="206"/>
      <c r="N522" s="86">
        <f t="shared" si="25"/>
        <v>0</v>
      </c>
    </row>
    <row r="523" spans="2:14" hidden="1" x14ac:dyDescent="0.25">
      <c r="B523" s="203"/>
      <c r="C523" s="211"/>
      <c r="D523" s="205"/>
      <c r="E523" s="217"/>
      <c r="F523" s="312"/>
      <c r="G523" s="121"/>
      <c r="H523" s="70"/>
      <c r="I523" s="105"/>
      <c r="J523" s="99"/>
      <c r="K523" s="82"/>
      <c r="L523" s="82"/>
      <c r="M523" s="206"/>
      <c r="N523" s="86">
        <f t="shared" si="25"/>
        <v>0</v>
      </c>
    </row>
    <row r="524" spans="2:14" ht="45" hidden="1" x14ac:dyDescent="0.25">
      <c r="B524" s="203" t="s">
        <v>408</v>
      </c>
      <c r="C524" s="211">
        <v>97902</v>
      </c>
      <c r="D524" s="205" t="s">
        <v>410</v>
      </c>
      <c r="E524" s="217" t="s">
        <v>166</v>
      </c>
      <c r="F524" s="312"/>
      <c r="G524" s="121"/>
      <c r="H524" s="70"/>
      <c r="I524" s="105"/>
      <c r="J524" s="99">
        <f>'BOLETIM DE MEDIÇÃO 10'!R151-'MEMORIAL DE CALCULO 10'!K524</f>
        <v>0</v>
      </c>
      <c r="K524" s="82"/>
      <c r="L524" s="82">
        <f t="shared" si="26"/>
        <v>0</v>
      </c>
      <c r="M524" s="206">
        <v>7</v>
      </c>
      <c r="N524" s="86">
        <f t="shared" si="25"/>
        <v>7</v>
      </c>
    </row>
    <row r="525" spans="2:14" hidden="1" x14ac:dyDescent="0.25">
      <c r="B525" s="203"/>
      <c r="C525" s="211"/>
      <c r="D525" s="205"/>
      <c r="E525" s="217"/>
      <c r="F525" s="312"/>
      <c r="G525" s="121"/>
      <c r="H525" s="70"/>
      <c r="I525" s="105"/>
      <c r="J525" s="99"/>
      <c r="K525" s="82"/>
      <c r="L525" s="82"/>
      <c r="M525" s="206"/>
      <c r="N525" s="86">
        <f t="shared" si="25"/>
        <v>0</v>
      </c>
    </row>
    <row r="526" spans="2:14" hidden="1" x14ac:dyDescent="0.25">
      <c r="B526" s="203"/>
      <c r="C526" s="211"/>
      <c r="D526" s="205"/>
      <c r="E526" s="217"/>
      <c r="F526" s="312"/>
      <c r="G526" s="121"/>
      <c r="H526" s="70"/>
      <c r="I526" s="105"/>
      <c r="J526" s="99"/>
      <c r="K526" s="82"/>
      <c r="L526" s="82"/>
      <c r="M526" s="206"/>
      <c r="N526" s="86">
        <f t="shared" si="25"/>
        <v>0</v>
      </c>
    </row>
    <row r="527" spans="2:14" ht="45" hidden="1" x14ac:dyDescent="0.25">
      <c r="B527" s="203" t="s">
        <v>411</v>
      </c>
      <c r="C527" s="211">
        <v>99258</v>
      </c>
      <c r="D527" s="205" t="s">
        <v>413</v>
      </c>
      <c r="E527" s="217" t="s">
        <v>166</v>
      </c>
      <c r="F527" s="312"/>
      <c r="G527" s="121"/>
      <c r="H527" s="70"/>
      <c r="I527" s="105"/>
      <c r="J527" s="99">
        <f>'BOLETIM DE MEDIÇÃO 10'!R152-'MEMORIAL DE CALCULO 10'!K527</f>
        <v>0</v>
      </c>
      <c r="K527" s="82"/>
      <c r="L527" s="82">
        <f t="shared" si="26"/>
        <v>0</v>
      </c>
      <c r="M527" s="206">
        <v>1</v>
      </c>
      <c r="N527" s="86">
        <f t="shared" si="25"/>
        <v>1</v>
      </c>
    </row>
    <row r="528" spans="2:14" hidden="1" x14ac:dyDescent="0.25">
      <c r="B528" s="203"/>
      <c r="C528" s="211"/>
      <c r="D528" s="205"/>
      <c r="E528" s="217"/>
      <c r="F528" s="312"/>
      <c r="G528" s="121"/>
      <c r="H528" s="70"/>
      <c r="I528" s="105"/>
      <c r="J528" s="99"/>
      <c r="K528" s="82"/>
      <c r="L528" s="82"/>
      <c r="M528" s="206"/>
      <c r="N528" s="86">
        <f t="shared" si="25"/>
        <v>0</v>
      </c>
    </row>
    <row r="529" spans="2:14" hidden="1" x14ac:dyDescent="0.25">
      <c r="B529" s="203"/>
      <c r="C529" s="211"/>
      <c r="D529" s="205"/>
      <c r="E529" s="217"/>
      <c r="F529" s="312"/>
      <c r="G529" s="121"/>
      <c r="H529" s="70"/>
      <c r="I529" s="105"/>
      <c r="J529" s="99"/>
      <c r="K529" s="82"/>
      <c r="L529" s="82"/>
      <c r="M529" s="206"/>
      <c r="N529" s="86">
        <f t="shared" si="25"/>
        <v>0</v>
      </c>
    </row>
    <row r="530" spans="2:14" ht="33.75" hidden="1" x14ac:dyDescent="0.25">
      <c r="B530" s="203" t="s">
        <v>414</v>
      </c>
      <c r="C530" s="211">
        <v>89482</v>
      </c>
      <c r="D530" s="205" t="s">
        <v>416</v>
      </c>
      <c r="E530" s="217" t="s">
        <v>166</v>
      </c>
      <c r="F530" s="312"/>
      <c r="G530" s="121"/>
      <c r="H530" s="70"/>
      <c r="I530" s="105"/>
      <c r="J530" s="99">
        <f>'BOLETIM DE MEDIÇÃO 10'!R153-'MEMORIAL DE CALCULO 10'!K530</f>
        <v>0</v>
      </c>
      <c r="K530" s="82"/>
      <c r="L530" s="82">
        <f t="shared" si="26"/>
        <v>0</v>
      </c>
      <c r="M530" s="206">
        <v>10</v>
      </c>
      <c r="N530" s="86">
        <f t="shared" si="25"/>
        <v>10</v>
      </c>
    </row>
    <row r="531" spans="2:14" hidden="1" x14ac:dyDescent="0.25">
      <c r="B531" s="203"/>
      <c r="C531" s="211"/>
      <c r="D531" s="205"/>
      <c r="E531" s="217"/>
      <c r="F531" s="312"/>
      <c r="G531" s="121"/>
      <c r="H531" s="70"/>
      <c r="I531" s="105"/>
      <c r="J531" s="99"/>
      <c r="K531" s="82"/>
      <c r="L531" s="82"/>
      <c r="M531" s="206"/>
      <c r="N531" s="86">
        <f t="shared" si="25"/>
        <v>0</v>
      </c>
    </row>
    <row r="532" spans="2:14" hidden="1" x14ac:dyDescent="0.25">
      <c r="B532" s="203"/>
      <c r="C532" s="211"/>
      <c r="D532" s="205"/>
      <c r="E532" s="217"/>
      <c r="F532" s="312"/>
      <c r="G532" s="121"/>
      <c r="H532" s="70"/>
      <c r="I532" s="105"/>
      <c r="J532" s="99"/>
      <c r="K532" s="82"/>
      <c r="L532" s="82"/>
      <c r="M532" s="206"/>
      <c r="N532" s="86">
        <f t="shared" si="25"/>
        <v>0</v>
      </c>
    </row>
    <row r="533" spans="2:14" ht="56.25" hidden="1" x14ac:dyDescent="0.25">
      <c r="B533" s="203" t="s">
        <v>417</v>
      </c>
      <c r="C533" s="211">
        <v>91792</v>
      </c>
      <c r="D533" s="205" t="s">
        <v>419</v>
      </c>
      <c r="E533" s="217" t="s">
        <v>37</v>
      </c>
      <c r="F533" s="312"/>
      <c r="G533" s="121"/>
      <c r="H533" s="70"/>
      <c r="I533" s="105"/>
      <c r="J533" s="99">
        <f>'BOLETIM DE MEDIÇÃO 10'!R154-'MEMORIAL DE CALCULO 10'!K533</f>
        <v>0</v>
      </c>
      <c r="K533" s="81">
        <f>K534</f>
        <v>38.85</v>
      </c>
      <c r="L533" s="82">
        <f t="shared" si="26"/>
        <v>38.85</v>
      </c>
      <c r="M533" s="206">
        <v>38.85</v>
      </c>
      <c r="N533" s="86">
        <f t="shared" si="25"/>
        <v>0</v>
      </c>
    </row>
    <row r="534" spans="2:14" hidden="1" x14ac:dyDescent="0.25">
      <c r="B534" s="203"/>
      <c r="C534" s="211"/>
      <c r="D534" s="376" t="s">
        <v>1004</v>
      </c>
      <c r="E534" s="217"/>
      <c r="F534" s="312">
        <v>1</v>
      </c>
      <c r="G534" s="445">
        <v>38.85</v>
      </c>
      <c r="H534" s="446"/>
      <c r="I534" s="447"/>
      <c r="J534" s="99"/>
      <c r="K534" s="82">
        <f>G534</f>
        <v>38.85</v>
      </c>
      <c r="L534" s="82"/>
      <c r="M534" s="206"/>
      <c r="N534" s="86"/>
    </row>
    <row r="535" spans="2:14" hidden="1" x14ac:dyDescent="0.25">
      <c r="B535" s="203"/>
      <c r="C535" s="211"/>
      <c r="D535" s="205"/>
      <c r="E535" s="217"/>
      <c r="F535" s="312"/>
      <c r="G535" s="121"/>
      <c r="H535" s="70"/>
      <c r="I535" s="105"/>
      <c r="J535" s="99"/>
      <c r="K535" s="82"/>
      <c r="L535" s="82"/>
      <c r="M535" s="206"/>
      <c r="N535" s="86"/>
    </row>
    <row r="536" spans="2:14" ht="56.25" hidden="1" x14ac:dyDescent="0.25">
      <c r="B536" s="203" t="s">
        <v>420</v>
      </c>
      <c r="C536" s="211">
        <v>91793</v>
      </c>
      <c r="D536" s="205" t="s">
        <v>422</v>
      </c>
      <c r="E536" s="217" t="s">
        <v>37</v>
      </c>
      <c r="F536" s="312"/>
      <c r="G536" s="121"/>
      <c r="H536" s="70"/>
      <c r="I536" s="105"/>
      <c r="J536" s="99">
        <f>'BOLETIM DE MEDIÇÃO 10'!R155-'MEMORIAL DE CALCULO 10'!K536</f>
        <v>0</v>
      </c>
      <c r="K536" s="81">
        <f>K537</f>
        <v>46.51</v>
      </c>
      <c r="L536" s="82">
        <f t="shared" si="26"/>
        <v>46.51</v>
      </c>
      <c r="M536" s="206">
        <v>46.51</v>
      </c>
      <c r="N536" s="86">
        <f t="shared" si="25"/>
        <v>0</v>
      </c>
    </row>
    <row r="537" spans="2:14" hidden="1" x14ac:dyDescent="0.25">
      <c r="B537" s="203"/>
      <c r="C537" s="211"/>
      <c r="D537" s="376" t="s">
        <v>1004</v>
      </c>
      <c r="E537" s="217"/>
      <c r="F537" s="312">
        <v>1</v>
      </c>
      <c r="G537" s="445">
        <v>46.51</v>
      </c>
      <c r="H537" s="446"/>
      <c r="I537" s="447"/>
      <c r="J537" s="99"/>
      <c r="K537" s="82">
        <f>G537</f>
        <v>46.51</v>
      </c>
      <c r="L537" s="82"/>
      <c r="M537" s="206"/>
      <c r="N537" s="86"/>
    </row>
    <row r="538" spans="2:14" hidden="1" x14ac:dyDescent="0.25">
      <c r="B538" s="203"/>
      <c r="C538" s="211"/>
      <c r="D538" s="205"/>
      <c r="E538" s="217"/>
      <c r="F538" s="312"/>
      <c r="G538" s="121"/>
      <c r="H538" s="70"/>
      <c r="I538" s="105"/>
      <c r="J538" s="99"/>
      <c r="K538" s="82"/>
      <c r="L538" s="82"/>
      <c r="M538" s="206"/>
      <c r="N538" s="86"/>
    </row>
    <row r="539" spans="2:14" ht="45" hidden="1" x14ac:dyDescent="0.25">
      <c r="B539" s="203" t="s">
        <v>423</v>
      </c>
      <c r="C539" s="211">
        <v>98107</v>
      </c>
      <c r="D539" s="205" t="s">
        <v>425</v>
      </c>
      <c r="E539" s="217" t="s">
        <v>166</v>
      </c>
      <c r="F539" s="312"/>
      <c r="G539" s="121"/>
      <c r="H539" s="70"/>
      <c r="I539" s="105"/>
      <c r="J539" s="99">
        <f>'BOLETIM DE MEDIÇÃO 10'!R156-'MEMORIAL DE CALCULO 10'!K539</f>
        <v>0</v>
      </c>
      <c r="K539" s="82"/>
      <c r="L539" s="82">
        <f t="shared" si="26"/>
        <v>0</v>
      </c>
      <c r="M539" s="206">
        <v>1</v>
      </c>
      <c r="N539" s="86">
        <f t="shared" si="25"/>
        <v>1</v>
      </c>
    </row>
    <row r="540" spans="2:14" hidden="1" x14ac:dyDescent="0.25">
      <c r="B540" s="203"/>
      <c r="C540" s="211"/>
      <c r="D540" s="205"/>
      <c r="E540" s="217"/>
      <c r="F540" s="312"/>
      <c r="G540" s="121"/>
      <c r="H540" s="70"/>
      <c r="I540" s="105"/>
      <c r="J540" s="99"/>
      <c r="K540" s="82"/>
      <c r="L540" s="82"/>
      <c r="M540" s="206"/>
      <c r="N540" s="86">
        <f t="shared" si="25"/>
        <v>0</v>
      </c>
    </row>
    <row r="541" spans="2:14" hidden="1" x14ac:dyDescent="0.25">
      <c r="B541" s="203"/>
      <c r="C541" s="211"/>
      <c r="D541" s="205"/>
      <c r="E541" s="217"/>
      <c r="F541" s="312"/>
      <c r="G541" s="121"/>
      <c r="H541" s="70"/>
      <c r="I541" s="105"/>
      <c r="J541" s="99"/>
      <c r="K541" s="82"/>
      <c r="L541" s="82"/>
      <c r="M541" s="206"/>
      <c r="N541" s="86">
        <f t="shared" si="25"/>
        <v>0</v>
      </c>
    </row>
    <row r="542" spans="2:14" ht="56.25" hidden="1" x14ac:dyDescent="0.25">
      <c r="B542" s="203" t="s">
        <v>426</v>
      </c>
      <c r="C542" s="211">
        <v>91795</v>
      </c>
      <c r="D542" s="205" t="s">
        <v>428</v>
      </c>
      <c r="E542" s="217" t="s">
        <v>37</v>
      </c>
      <c r="F542" s="312"/>
      <c r="G542" s="121"/>
      <c r="H542" s="70"/>
      <c r="I542" s="105"/>
      <c r="J542" s="99">
        <f>'BOLETIM DE MEDIÇÃO 10'!R157-'MEMORIAL DE CALCULO 10'!K542</f>
        <v>6</v>
      </c>
      <c r="K542" s="81">
        <f>K543</f>
        <v>66.385000000000005</v>
      </c>
      <c r="L542" s="82">
        <f t="shared" si="26"/>
        <v>72.385000000000005</v>
      </c>
      <c r="M542" s="206">
        <v>132.77000000000001</v>
      </c>
      <c r="N542" s="86">
        <f t="shared" si="25"/>
        <v>60.385000000000005</v>
      </c>
    </row>
    <row r="543" spans="2:14" hidden="1" x14ac:dyDescent="0.25">
      <c r="B543" s="203"/>
      <c r="C543" s="211"/>
      <c r="D543" s="376" t="s">
        <v>983</v>
      </c>
      <c r="E543" s="217"/>
      <c r="F543" s="312">
        <v>1</v>
      </c>
      <c r="G543" s="445">
        <f>0.5*132.77</f>
        <v>66.385000000000005</v>
      </c>
      <c r="H543" s="446"/>
      <c r="I543" s="447"/>
      <c r="J543" s="99"/>
      <c r="K543" s="82">
        <f>G543</f>
        <v>66.385000000000005</v>
      </c>
      <c r="L543" s="82"/>
      <c r="M543" s="206"/>
      <c r="N543" s="86"/>
    </row>
    <row r="544" spans="2:14" ht="45" hidden="1" x14ac:dyDescent="0.25">
      <c r="B544" s="203" t="s">
        <v>429</v>
      </c>
      <c r="C544" s="211">
        <v>99251</v>
      </c>
      <c r="D544" s="215" t="s">
        <v>431</v>
      </c>
      <c r="E544" s="217" t="s">
        <v>166</v>
      </c>
      <c r="F544" s="312"/>
      <c r="G544" s="121"/>
      <c r="H544" s="70"/>
      <c r="I544" s="105"/>
      <c r="J544" s="99">
        <f>'BOLETIM DE MEDIÇÃO 10'!R158-'MEMORIAL DE CALCULO 10'!K544</f>
        <v>0</v>
      </c>
      <c r="K544" s="82"/>
      <c r="L544" s="82">
        <f t="shared" si="26"/>
        <v>0</v>
      </c>
      <c r="M544" s="206">
        <v>2</v>
      </c>
      <c r="N544" s="86"/>
    </row>
    <row r="545" spans="2:14" hidden="1" x14ac:dyDescent="0.25">
      <c r="B545" s="203"/>
      <c r="C545" s="211"/>
      <c r="D545" s="215"/>
      <c r="E545" s="217"/>
      <c r="F545" s="312"/>
      <c r="G545" s="121"/>
      <c r="H545" s="70"/>
      <c r="I545" s="105"/>
      <c r="J545" s="99"/>
      <c r="K545" s="82"/>
      <c r="L545" s="82"/>
      <c r="M545" s="206"/>
      <c r="N545" s="86"/>
    </row>
    <row r="546" spans="2:14" hidden="1" x14ac:dyDescent="0.25">
      <c r="B546" s="203"/>
      <c r="C546" s="211"/>
      <c r="D546" s="215"/>
      <c r="E546" s="217"/>
      <c r="F546" s="312"/>
      <c r="G546" s="121"/>
      <c r="H546" s="70"/>
      <c r="I546" s="105"/>
      <c r="J546" s="99"/>
      <c r="K546" s="82"/>
      <c r="L546" s="82"/>
      <c r="M546" s="206"/>
      <c r="N546" s="86"/>
    </row>
    <row r="547" spans="2:14" ht="56.25" hidden="1" x14ac:dyDescent="0.25">
      <c r="B547" s="203" t="s">
        <v>432</v>
      </c>
      <c r="C547" s="211">
        <v>91790</v>
      </c>
      <c r="D547" s="215" t="s">
        <v>434</v>
      </c>
      <c r="E547" s="217" t="s">
        <v>37</v>
      </c>
      <c r="F547" s="312"/>
      <c r="G547" s="121"/>
      <c r="H547" s="70"/>
      <c r="I547" s="105"/>
      <c r="J547" s="99">
        <f>'BOLETIM DE MEDIÇÃO 10'!R159-'MEMORIAL DE CALCULO 10'!K547</f>
        <v>-12.902999999999999</v>
      </c>
      <c r="K547" s="81">
        <f>K548</f>
        <v>12.902999999999999</v>
      </c>
      <c r="L547" s="82">
        <f t="shared" si="26"/>
        <v>0</v>
      </c>
      <c r="M547" s="206">
        <v>43.01</v>
      </c>
      <c r="N547" s="86"/>
    </row>
    <row r="548" spans="2:14" hidden="1" x14ac:dyDescent="0.25">
      <c r="B548" s="50"/>
      <c r="C548" s="66"/>
      <c r="D548" s="376" t="s">
        <v>984</v>
      </c>
      <c r="E548" s="69"/>
      <c r="F548" s="312">
        <v>1</v>
      </c>
      <c r="G548" s="445">
        <f>0.3*43.01</f>
        <v>12.902999999999999</v>
      </c>
      <c r="H548" s="446"/>
      <c r="I548" s="447"/>
      <c r="J548" s="99"/>
      <c r="K548" s="82">
        <f>G548</f>
        <v>12.902999999999999</v>
      </c>
      <c r="L548" s="82"/>
      <c r="M548" s="82"/>
      <c r="N548" s="86"/>
    </row>
    <row r="549" spans="2:14" hidden="1" x14ac:dyDescent="0.25">
      <c r="B549" s="50"/>
      <c r="C549" s="66"/>
      <c r="D549" s="53"/>
      <c r="E549" s="69"/>
      <c r="F549" s="312"/>
      <c r="G549" s="121"/>
      <c r="H549" s="70"/>
      <c r="I549" s="105"/>
      <c r="J549" s="99"/>
      <c r="K549" s="82"/>
      <c r="L549" s="82"/>
      <c r="M549" s="82"/>
      <c r="N549" s="86"/>
    </row>
    <row r="550" spans="2:14" hidden="1" x14ac:dyDescent="0.25">
      <c r="B550" s="50"/>
      <c r="C550" s="66"/>
      <c r="D550" s="53"/>
      <c r="E550" s="69"/>
      <c r="F550" s="312"/>
      <c r="G550" s="121"/>
      <c r="H550" s="70"/>
      <c r="I550" s="105"/>
      <c r="J550" s="99"/>
      <c r="K550" s="82"/>
      <c r="L550" s="82"/>
      <c r="M550" s="82"/>
      <c r="N550" s="86"/>
    </row>
    <row r="551" spans="2:14" hidden="1" x14ac:dyDescent="0.25">
      <c r="B551" s="50"/>
      <c r="C551" s="66"/>
      <c r="D551" s="53"/>
      <c r="E551" s="69"/>
      <c r="F551" s="312"/>
      <c r="G551" s="121"/>
      <c r="H551" s="70"/>
      <c r="I551" s="105"/>
      <c r="J551" s="99"/>
      <c r="K551" s="82"/>
      <c r="L551" s="82"/>
      <c r="M551" s="82"/>
      <c r="N551" s="86"/>
    </row>
    <row r="552" spans="2:14" hidden="1" x14ac:dyDescent="0.25">
      <c r="B552" s="50"/>
      <c r="C552" s="66"/>
      <c r="D552" s="53"/>
      <c r="E552" s="69"/>
      <c r="F552" s="312"/>
      <c r="G552" s="121"/>
      <c r="H552" s="70"/>
      <c r="I552" s="105"/>
      <c r="J552" s="99"/>
      <c r="K552" s="82"/>
      <c r="L552" s="82"/>
      <c r="M552" s="82"/>
      <c r="N552" s="86"/>
    </row>
    <row r="553" spans="2:14" hidden="1" x14ac:dyDescent="0.25">
      <c r="B553" s="50"/>
      <c r="C553" s="66"/>
      <c r="D553" s="53"/>
      <c r="E553" s="69"/>
      <c r="F553" s="312"/>
      <c r="G553" s="121"/>
      <c r="H553" s="70"/>
      <c r="I553" s="105"/>
      <c r="J553" s="99"/>
      <c r="K553" s="82"/>
      <c r="L553" s="82"/>
      <c r="M553" s="82"/>
      <c r="N553" s="86"/>
    </row>
    <row r="554" spans="2:14" hidden="1" x14ac:dyDescent="0.25">
      <c r="B554" s="50"/>
      <c r="C554" s="66"/>
      <c r="D554" s="53"/>
      <c r="E554" s="69"/>
      <c r="F554" s="312"/>
      <c r="G554" s="121"/>
      <c r="H554" s="70"/>
      <c r="I554" s="105"/>
      <c r="J554" s="99"/>
      <c r="K554" s="82"/>
      <c r="L554" s="82"/>
      <c r="M554" s="82"/>
      <c r="N554" s="86"/>
    </row>
    <row r="555" spans="2:14" hidden="1" x14ac:dyDescent="0.25">
      <c r="B555" s="50"/>
      <c r="C555" s="66"/>
      <c r="D555" s="53"/>
      <c r="E555" s="69"/>
      <c r="F555" s="312"/>
      <c r="G555" s="121"/>
      <c r="H555" s="70"/>
      <c r="I555" s="105"/>
      <c r="J555" s="99"/>
      <c r="K555" s="82"/>
      <c r="L555" s="82"/>
      <c r="M555" s="82"/>
      <c r="N555" s="86"/>
    </row>
    <row r="556" spans="2:14" hidden="1" x14ac:dyDescent="0.25">
      <c r="B556" s="50"/>
      <c r="C556" s="66"/>
      <c r="D556" s="53"/>
      <c r="E556" s="69"/>
      <c r="F556" s="312"/>
      <c r="G556" s="121"/>
      <c r="H556" s="70"/>
      <c r="I556" s="105"/>
      <c r="J556" s="99"/>
      <c r="K556" s="82"/>
      <c r="L556" s="82"/>
      <c r="M556" s="82"/>
      <c r="N556" s="86"/>
    </row>
    <row r="557" spans="2:14" hidden="1" x14ac:dyDescent="0.25">
      <c r="B557" s="50"/>
      <c r="C557" s="66"/>
      <c r="D557" s="53"/>
      <c r="E557" s="69"/>
      <c r="F557" s="312"/>
      <c r="G557" s="121"/>
      <c r="H557" s="70"/>
      <c r="I557" s="105"/>
      <c r="J557" s="99"/>
      <c r="K557" s="82"/>
      <c r="L557" s="82"/>
      <c r="M557" s="82"/>
      <c r="N557" s="86"/>
    </row>
    <row r="558" spans="2:14" hidden="1" x14ac:dyDescent="0.25">
      <c r="B558" s="50"/>
      <c r="C558" s="66"/>
      <c r="D558" s="53"/>
      <c r="E558" s="69"/>
      <c r="F558" s="312"/>
      <c r="G558" s="121"/>
      <c r="H558" s="70"/>
      <c r="I558" s="105"/>
      <c r="J558" s="99"/>
      <c r="K558" s="82"/>
      <c r="L558" s="82"/>
      <c r="M558" s="82"/>
      <c r="N558" s="86"/>
    </row>
    <row r="559" spans="2:14" hidden="1" x14ac:dyDescent="0.25">
      <c r="B559" s="50"/>
      <c r="C559" s="66"/>
      <c r="D559" s="53"/>
      <c r="E559" s="69"/>
      <c r="F559" s="312"/>
      <c r="G559" s="121"/>
      <c r="H559" s="70"/>
      <c r="I559" s="105"/>
      <c r="J559" s="99"/>
      <c r="K559" s="82"/>
      <c r="L559" s="82"/>
      <c r="M559" s="82"/>
      <c r="N559" s="86"/>
    </row>
    <row r="560" spans="2:14" hidden="1" x14ac:dyDescent="0.25">
      <c r="B560" s="50"/>
      <c r="C560" s="66"/>
      <c r="D560" s="53"/>
      <c r="E560" s="69"/>
      <c r="F560" s="312"/>
      <c r="G560" s="121"/>
      <c r="H560" s="70"/>
      <c r="I560" s="105"/>
      <c r="J560" s="99"/>
      <c r="K560" s="82"/>
      <c r="L560" s="82"/>
      <c r="M560" s="82"/>
      <c r="N560" s="86"/>
    </row>
    <row r="561" spans="2:14" hidden="1" x14ac:dyDescent="0.25">
      <c r="B561" s="50"/>
      <c r="C561" s="66"/>
      <c r="D561" s="53"/>
      <c r="E561" s="69"/>
      <c r="F561" s="312"/>
      <c r="G561" s="121"/>
      <c r="H561" s="70"/>
      <c r="I561" s="105"/>
      <c r="J561" s="99"/>
      <c r="K561" s="82"/>
      <c r="L561" s="82"/>
      <c r="M561" s="82"/>
      <c r="N561" s="86"/>
    </row>
    <row r="562" spans="2:14" hidden="1" x14ac:dyDescent="0.25">
      <c r="B562" s="50"/>
      <c r="C562" s="66"/>
      <c r="D562" s="53"/>
      <c r="E562" s="69"/>
      <c r="F562" s="312"/>
      <c r="G562" s="121"/>
      <c r="H562" s="70"/>
      <c r="I562" s="105"/>
      <c r="J562" s="99"/>
      <c r="K562" s="82"/>
      <c r="L562" s="82"/>
      <c r="M562" s="82"/>
      <c r="N562" s="86"/>
    </row>
    <row r="563" spans="2:14" hidden="1" x14ac:dyDescent="0.25">
      <c r="B563" s="50"/>
      <c r="C563" s="66"/>
      <c r="D563" s="53"/>
      <c r="E563" s="69"/>
      <c r="F563" s="312"/>
      <c r="G563" s="121"/>
      <c r="H563" s="70"/>
      <c r="I563" s="105"/>
      <c r="J563" s="99"/>
      <c r="K563" s="82"/>
      <c r="L563" s="82"/>
      <c r="M563" s="82"/>
      <c r="N563" s="86"/>
    </row>
    <row r="564" spans="2:14" hidden="1" x14ac:dyDescent="0.25">
      <c r="B564" s="50"/>
      <c r="C564" s="66"/>
      <c r="D564" s="53"/>
      <c r="E564" s="69"/>
      <c r="F564" s="312"/>
      <c r="G564" s="121"/>
      <c r="H564" s="70"/>
      <c r="I564" s="105"/>
      <c r="J564" s="99"/>
      <c r="K564" s="82"/>
      <c r="L564" s="82"/>
      <c r="M564" s="82"/>
      <c r="N564" s="86"/>
    </row>
    <row r="565" spans="2:14" hidden="1" x14ac:dyDescent="0.25">
      <c r="B565" s="50"/>
      <c r="C565" s="66"/>
      <c r="D565" s="53"/>
      <c r="E565" s="69"/>
      <c r="F565" s="312"/>
      <c r="G565" s="121"/>
      <c r="H565" s="70"/>
      <c r="I565" s="105"/>
      <c r="J565" s="99"/>
      <c r="K565" s="82"/>
      <c r="L565" s="82"/>
      <c r="M565" s="82"/>
      <c r="N565" s="86"/>
    </row>
    <row r="566" spans="2:14" hidden="1" x14ac:dyDescent="0.25">
      <c r="B566" s="50"/>
      <c r="C566" s="66"/>
      <c r="D566" s="53"/>
      <c r="E566" s="69"/>
      <c r="F566" s="312"/>
      <c r="G566" s="121"/>
      <c r="H566" s="70"/>
      <c r="I566" s="105"/>
      <c r="J566" s="99"/>
      <c r="K566" s="82"/>
      <c r="L566" s="82"/>
      <c r="M566" s="82"/>
      <c r="N566" s="86"/>
    </row>
    <row r="567" spans="2:14" hidden="1" x14ac:dyDescent="0.25">
      <c r="B567" s="50"/>
      <c r="C567" s="66"/>
      <c r="D567" s="53"/>
      <c r="E567" s="69"/>
      <c r="F567" s="312"/>
      <c r="G567" s="121"/>
      <c r="H567" s="70"/>
      <c r="I567" s="105"/>
      <c r="J567" s="99"/>
      <c r="K567" s="82"/>
      <c r="L567" s="82"/>
      <c r="M567" s="82"/>
      <c r="N567" s="86"/>
    </row>
    <row r="568" spans="2:14" hidden="1" x14ac:dyDescent="0.25">
      <c r="B568" s="50"/>
      <c r="C568" s="66"/>
      <c r="D568" s="53"/>
      <c r="E568" s="69"/>
      <c r="F568" s="312"/>
      <c r="G568" s="121"/>
      <c r="H568" s="70"/>
      <c r="I568" s="105"/>
      <c r="J568" s="99"/>
      <c r="K568" s="82"/>
      <c r="L568" s="82"/>
      <c r="M568" s="82"/>
      <c r="N568" s="86"/>
    </row>
    <row r="569" spans="2:14" hidden="1" x14ac:dyDescent="0.25">
      <c r="B569" s="50"/>
      <c r="C569" s="66"/>
      <c r="D569" s="53"/>
      <c r="E569" s="69"/>
      <c r="F569" s="312"/>
      <c r="G569" s="121"/>
      <c r="H569" s="70"/>
      <c r="I569" s="105"/>
      <c r="J569" s="99"/>
      <c r="K569" s="82"/>
      <c r="L569" s="82"/>
      <c r="M569" s="82"/>
      <c r="N569" s="86"/>
    </row>
    <row r="570" spans="2:14" hidden="1" x14ac:dyDescent="0.25">
      <c r="B570" s="50"/>
      <c r="C570" s="66"/>
      <c r="D570" s="53"/>
      <c r="E570" s="69"/>
      <c r="F570" s="312"/>
      <c r="G570" s="121"/>
      <c r="H570" s="70"/>
      <c r="I570" s="105"/>
      <c r="J570" s="99"/>
      <c r="K570" s="82"/>
      <c r="L570" s="82"/>
      <c r="M570" s="82"/>
      <c r="N570" s="86"/>
    </row>
    <row r="571" spans="2:14" hidden="1" x14ac:dyDescent="0.25">
      <c r="B571" s="50"/>
      <c r="C571" s="66"/>
      <c r="D571" s="53"/>
      <c r="E571" s="69"/>
      <c r="F571" s="312"/>
      <c r="G571" s="121"/>
      <c r="H571" s="70"/>
      <c r="I571" s="105"/>
      <c r="J571" s="99"/>
      <c r="K571" s="82"/>
      <c r="L571" s="82"/>
      <c r="M571" s="82"/>
      <c r="N571" s="86"/>
    </row>
    <row r="572" spans="2:14" hidden="1" x14ac:dyDescent="0.25">
      <c r="B572" s="50"/>
      <c r="C572" s="66"/>
      <c r="D572" s="53"/>
      <c r="E572" s="69"/>
      <c r="F572" s="312"/>
      <c r="G572" s="121"/>
      <c r="H572" s="70"/>
      <c r="I572" s="105"/>
      <c r="J572" s="99"/>
      <c r="K572" s="82"/>
      <c r="L572" s="82"/>
      <c r="M572" s="82"/>
      <c r="N572" s="86"/>
    </row>
    <row r="573" spans="2:14" hidden="1" x14ac:dyDescent="0.25">
      <c r="B573" s="50"/>
      <c r="C573" s="66"/>
      <c r="D573" s="53"/>
      <c r="E573" s="69"/>
      <c r="F573" s="312"/>
      <c r="G573" s="121"/>
      <c r="H573" s="70"/>
      <c r="I573" s="105"/>
      <c r="J573" s="99"/>
      <c r="K573" s="82"/>
      <c r="L573" s="82"/>
      <c r="M573" s="82"/>
      <c r="N573" s="86"/>
    </row>
    <row r="574" spans="2:14" hidden="1" x14ac:dyDescent="0.25">
      <c r="B574" s="50"/>
      <c r="C574" s="66"/>
      <c r="D574" s="53"/>
      <c r="E574" s="69"/>
      <c r="F574" s="312"/>
      <c r="G574" s="121"/>
      <c r="H574" s="70"/>
      <c r="I574" s="105"/>
      <c r="J574" s="99"/>
      <c r="K574" s="82"/>
      <c r="L574" s="82"/>
      <c r="M574" s="82"/>
      <c r="N574" s="86"/>
    </row>
    <row r="575" spans="2:14" hidden="1" x14ac:dyDescent="0.25">
      <c r="B575" s="50"/>
      <c r="C575" s="66"/>
      <c r="D575" s="53"/>
      <c r="E575" s="69"/>
      <c r="F575" s="312"/>
      <c r="G575" s="121"/>
      <c r="H575" s="70"/>
      <c r="I575" s="105"/>
      <c r="J575" s="99"/>
      <c r="K575" s="82"/>
      <c r="L575" s="82"/>
      <c r="M575" s="82"/>
      <c r="N575" s="86"/>
    </row>
    <row r="576" spans="2:14" hidden="1" x14ac:dyDescent="0.25">
      <c r="B576" s="50"/>
      <c r="C576" s="66"/>
      <c r="D576" s="53"/>
      <c r="E576" s="69"/>
      <c r="F576" s="312"/>
      <c r="G576" s="121"/>
      <c r="H576" s="70"/>
      <c r="I576" s="105"/>
      <c r="J576" s="99"/>
      <c r="K576" s="82"/>
      <c r="L576" s="82"/>
      <c r="M576" s="82"/>
      <c r="N576" s="86"/>
    </row>
    <row r="577" spans="1:14" hidden="1" x14ac:dyDescent="0.25">
      <c r="B577" s="50"/>
      <c r="C577" s="66"/>
      <c r="D577" s="53"/>
      <c r="E577" s="69"/>
      <c r="F577" s="312"/>
      <c r="G577" s="121"/>
      <c r="H577" s="70"/>
      <c r="I577" s="105"/>
      <c r="J577" s="99"/>
      <c r="K577" s="82"/>
      <c r="L577" s="82"/>
      <c r="M577" s="82"/>
      <c r="N577" s="86"/>
    </row>
    <row r="578" spans="1:14" ht="14.45" hidden="1" customHeight="1" x14ac:dyDescent="0.25">
      <c r="B578" s="51">
        <v>1.1499999999999999</v>
      </c>
      <c r="C578" s="65" t="s">
        <v>474</v>
      </c>
      <c r="D578" s="53"/>
      <c r="E578" s="44"/>
      <c r="F578" s="130"/>
      <c r="G578" s="446"/>
      <c r="H578" s="446"/>
      <c r="I578" s="447"/>
      <c r="J578" s="99"/>
      <c r="K578" s="81"/>
      <c r="L578" s="82"/>
      <c r="M578" s="82"/>
      <c r="N578" s="86"/>
    </row>
    <row r="579" spans="1:14" ht="56.25" hidden="1" x14ac:dyDescent="0.25">
      <c r="A579" s="79"/>
      <c r="B579" s="50" t="s">
        <v>495</v>
      </c>
      <c r="C579" s="66">
        <v>87548</v>
      </c>
      <c r="D579" s="53" t="s">
        <v>154</v>
      </c>
      <c r="E579" s="44" t="s">
        <v>17</v>
      </c>
      <c r="F579" s="259"/>
      <c r="G579" s="121"/>
      <c r="H579" s="70"/>
      <c r="I579" s="105"/>
      <c r="J579" s="99">
        <f>'BOLETIM DE MEDIÇÃO 05'!O190-'MEMORIAL DE CALCULO 10'!K579</f>
        <v>6.2000000000011823E-2</v>
      </c>
      <c r="K579" s="350">
        <f>K580</f>
        <v>405.60400000000004</v>
      </c>
      <c r="L579" s="82">
        <f t="shared" ref="L579" si="27">J579+K579</f>
        <v>405.66600000000005</v>
      </c>
      <c r="M579" s="82">
        <f>'BOLETIM DE MEDIÇÃO 05'!G190</f>
        <v>811.27</v>
      </c>
      <c r="N579" s="86">
        <f t="shared" ref="N579" si="28">M579-L579</f>
        <v>405.60399999999993</v>
      </c>
    </row>
    <row r="580" spans="1:14" hidden="1" x14ac:dyDescent="0.25">
      <c r="A580" s="79"/>
      <c r="B580" s="50"/>
      <c r="C580" s="66"/>
      <c r="D580" s="344" t="s">
        <v>960</v>
      </c>
      <c r="E580" s="44"/>
      <c r="F580" s="130">
        <v>2</v>
      </c>
      <c r="G580" s="445">
        <f>65.42</f>
        <v>65.42</v>
      </c>
      <c r="H580" s="448"/>
      <c r="I580" s="105">
        <v>3.1</v>
      </c>
      <c r="J580" s="99"/>
      <c r="K580" s="350">
        <f>F580*G580*I580</f>
        <v>405.60400000000004</v>
      </c>
      <c r="L580" s="82"/>
      <c r="M580" s="82"/>
      <c r="N580" s="86"/>
    </row>
    <row r="581" spans="1:14" ht="14.45" hidden="1" customHeight="1" x14ac:dyDescent="0.25">
      <c r="A581" s="79"/>
      <c r="B581" s="266"/>
      <c r="C581" s="266"/>
      <c r="D581" s="255"/>
      <c r="E581" s="238"/>
      <c r="F581" s="261"/>
      <c r="G581" s="272"/>
      <c r="H581" s="273"/>
      <c r="I581" s="274"/>
      <c r="J581" s="255"/>
      <c r="K581" s="238"/>
      <c r="L581" s="238"/>
      <c r="M581" s="238"/>
      <c r="N581" s="258"/>
    </row>
    <row r="584" spans="1:14" ht="69.599999999999994" hidden="1" customHeight="1" x14ac:dyDescent="0.25">
      <c r="D584" s="278" t="s">
        <v>832</v>
      </c>
      <c r="E584" s="277" t="s">
        <v>41</v>
      </c>
      <c r="F584" s="279"/>
      <c r="G584" s="523" t="s">
        <v>836</v>
      </c>
      <c r="H584" s="524"/>
      <c r="I584" s="525"/>
      <c r="J584" s="279"/>
      <c r="K584" s="280">
        <f>SUM(K587:K591)</f>
        <v>16.472439999999999</v>
      </c>
      <c r="M584" s="282"/>
    </row>
    <row r="585" spans="1:14" ht="14.45" hidden="1" customHeight="1" x14ac:dyDescent="0.25">
      <c r="D585" s="239"/>
      <c r="E585" s="239"/>
      <c r="F585" s="239"/>
      <c r="G585" s="239"/>
      <c r="H585" s="239"/>
      <c r="I585" s="239"/>
      <c r="J585" s="239"/>
      <c r="K585" s="239"/>
    </row>
    <row r="586" spans="1:14" ht="36.6" hidden="1" customHeight="1" x14ac:dyDescent="0.25">
      <c r="D586" s="281"/>
      <c r="E586" s="239"/>
      <c r="F586" s="275" t="s">
        <v>556</v>
      </c>
      <c r="G586" s="276" t="s">
        <v>833</v>
      </c>
      <c r="H586" s="276" t="s">
        <v>834</v>
      </c>
      <c r="I586" s="276" t="s">
        <v>835</v>
      </c>
      <c r="J586" s="239"/>
      <c r="K586" s="239"/>
    </row>
    <row r="587" spans="1:14" ht="14.45" hidden="1" customHeight="1" x14ac:dyDescent="0.25">
      <c r="D587" s="288" t="s">
        <v>879</v>
      </c>
      <c r="E587" s="239"/>
      <c r="F587" s="245">
        <v>1</v>
      </c>
      <c r="G587" s="245">
        <v>12.5</v>
      </c>
      <c r="H587" s="245">
        <v>0.1</v>
      </c>
      <c r="I587" s="245">
        <v>0.36</v>
      </c>
      <c r="J587" s="277"/>
      <c r="K587" s="245">
        <f>((I587+H587/2)*G587)*0.2</f>
        <v>1.0250000000000001</v>
      </c>
    </row>
    <row r="588" spans="1:14" ht="20.45" hidden="1" customHeight="1" x14ac:dyDescent="0.25">
      <c r="D588" s="288" t="s">
        <v>876</v>
      </c>
      <c r="E588" s="239"/>
      <c r="F588" s="245">
        <v>1</v>
      </c>
      <c r="G588" s="245">
        <v>11.67</v>
      </c>
      <c r="H588" s="245">
        <v>0.36</v>
      </c>
      <c r="I588" s="245">
        <v>0.53</v>
      </c>
      <c r="J588" s="277"/>
      <c r="K588" s="245">
        <f t="shared" ref="K588:K591" si="29">((I588+H588/2)*G588)*0.2</f>
        <v>1.6571400000000001</v>
      </c>
    </row>
    <row r="589" spans="1:14" ht="20.45" hidden="1" customHeight="1" x14ac:dyDescent="0.25">
      <c r="D589" s="288" t="s">
        <v>880</v>
      </c>
      <c r="E589" s="239"/>
      <c r="F589" s="245">
        <v>1</v>
      </c>
      <c r="G589" s="245">
        <v>27.1</v>
      </c>
      <c r="H589" s="245">
        <v>0.53</v>
      </c>
      <c r="I589" s="245">
        <v>0.74</v>
      </c>
      <c r="J589" s="277"/>
      <c r="K589" s="245">
        <f t="shared" si="29"/>
        <v>5.4470999999999998</v>
      </c>
    </row>
    <row r="590" spans="1:14" ht="30.6" hidden="1" customHeight="1" x14ac:dyDescent="0.25">
      <c r="D590" s="288" t="s">
        <v>881</v>
      </c>
      <c r="E590" s="239"/>
      <c r="F590" s="245">
        <v>1</v>
      </c>
      <c r="G590" s="245">
        <v>33.9</v>
      </c>
      <c r="H590" s="245">
        <v>0.74</v>
      </c>
      <c r="I590" s="245">
        <v>0.61</v>
      </c>
      <c r="J590" s="277"/>
      <c r="K590" s="245">
        <f t="shared" si="29"/>
        <v>6.644400000000001</v>
      </c>
    </row>
    <row r="591" spans="1:14" ht="20.45" hidden="1" customHeight="1" x14ac:dyDescent="0.25">
      <c r="D591" s="288" t="s">
        <v>882</v>
      </c>
      <c r="E591" s="239"/>
      <c r="F591" s="245">
        <v>1</v>
      </c>
      <c r="G591" s="245">
        <v>12.4</v>
      </c>
      <c r="H591" s="245">
        <v>0.61</v>
      </c>
      <c r="I591" s="245">
        <v>0.38</v>
      </c>
      <c r="J591" s="277"/>
      <c r="K591" s="245">
        <f t="shared" si="29"/>
        <v>1.6988000000000003</v>
      </c>
    </row>
    <row r="594" spans="7:7" x14ac:dyDescent="0.25">
      <c r="G594" s="330"/>
    </row>
  </sheetData>
  <mergeCells count="263"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16:I316"/>
    <mergeCell ref="G336:H336"/>
    <mergeCell ref="G337:H337"/>
    <mergeCell ref="G338:H338"/>
    <mergeCell ref="G339:H339"/>
    <mergeCell ref="G340:H340"/>
    <mergeCell ref="G341:I341"/>
    <mergeCell ref="G330:H330"/>
    <mergeCell ref="G331:H331"/>
    <mergeCell ref="G332:H332"/>
    <mergeCell ref="G333:H333"/>
    <mergeCell ref="G334:H334"/>
    <mergeCell ref="G335:H335"/>
    <mergeCell ref="G382:H382"/>
    <mergeCell ref="G383:H383"/>
    <mergeCell ref="G384:H384"/>
    <mergeCell ref="G537:I537"/>
    <mergeCell ref="G543:I543"/>
    <mergeCell ref="G548:I548"/>
    <mergeCell ref="G578:I578"/>
    <mergeCell ref="G580:H580"/>
    <mergeCell ref="G584:I584"/>
    <mergeCell ref="G492:I492"/>
    <mergeCell ref="G495:I495"/>
    <mergeCell ref="G498:I498"/>
    <mergeCell ref="G501:I501"/>
    <mergeCell ref="G504:I504"/>
    <mergeCell ref="G534:I534"/>
    <mergeCell ref="G481:I481"/>
    <mergeCell ref="G482:I482"/>
    <mergeCell ref="G483:I483"/>
    <mergeCell ref="C484:D484"/>
    <mergeCell ref="G486:I486"/>
    <mergeCell ref="G489:I489"/>
    <mergeCell ref="G469:I469"/>
    <mergeCell ref="G471:I471"/>
    <mergeCell ref="G473:I473"/>
    <mergeCell ref="G477:I477"/>
    <mergeCell ref="G479:I479"/>
    <mergeCell ref="G480:I480"/>
    <mergeCell ref="G447:I447"/>
    <mergeCell ref="G451:I451"/>
    <mergeCell ref="G454:I454"/>
    <mergeCell ref="G457:I457"/>
    <mergeCell ref="G461:I461"/>
    <mergeCell ref="G463:I463"/>
    <mergeCell ref="G435:I435"/>
    <mergeCell ref="G437:I437"/>
    <mergeCell ref="G439:I439"/>
    <mergeCell ref="G441:I441"/>
    <mergeCell ref="G443:I443"/>
    <mergeCell ref="G445:I445"/>
    <mergeCell ref="G423:I423"/>
    <mergeCell ref="G425:I425"/>
    <mergeCell ref="G427:I427"/>
    <mergeCell ref="G429:I429"/>
    <mergeCell ref="G431:I431"/>
    <mergeCell ref="G433:I433"/>
    <mergeCell ref="G392:H392"/>
    <mergeCell ref="G412:H412"/>
    <mergeCell ref="G417:I417"/>
    <mergeCell ref="G419:I419"/>
    <mergeCell ref="G420:I420"/>
    <mergeCell ref="G422:I422"/>
    <mergeCell ref="G394:H394"/>
    <mergeCell ref="G395:H395"/>
    <mergeCell ref="G396:H396"/>
    <mergeCell ref="G397:H397"/>
    <mergeCell ref="G404:I404"/>
    <mergeCell ref="G398:H398"/>
    <mergeCell ref="G399:H399"/>
    <mergeCell ref="G400:H400"/>
    <mergeCell ref="G401:H401"/>
    <mergeCell ref="G403:I403"/>
    <mergeCell ref="G393:H393"/>
    <mergeCell ref="G385:H385"/>
    <mergeCell ref="G374:H374"/>
    <mergeCell ref="G375:H375"/>
    <mergeCell ref="G376:H376"/>
    <mergeCell ref="G377:H377"/>
    <mergeCell ref="G378:H378"/>
    <mergeCell ref="G379:H379"/>
    <mergeCell ref="G371:H371"/>
    <mergeCell ref="G372:H372"/>
    <mergeCell ref="G373:H373"/>
    <mergeCell ref="G354:I354"/>
    <mergeCell ref="G355:I355"/>
    <mergeCell ref="G348:H348"/>
    <mergeCell ref="G349:H349"/>
    <mergeCell ref="G350:H350"/>
    <mergeCell ref="G351:H351"/>
    <mergeCell ref="G352:I352"/>
    <mergeCell ref="G353:I353"/>
    <mergeCell ref="G343:I343"/>
    <mergeCell ref="G344:H344"/>
    <mergeCell ref="G345:H345"/>
    <mergeCell ref="G346:H346"/>
    <mergeCell ref="G347:H347"/>
    <mergeCell ref="G315:I315"/>
    <mergeCell ref="G326:H326"/>
    <mergeCell ref="G327:H327"/>
    <mergeCell ref="G328:H328"/>
    <mergeCell ref="G329:H329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I306"/>
    <mergeCell ref="G307:H307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0:I270"/>
    <mergeCell ref="G273:I273"/>
    <mergeCell ref="G274:I274"/>
    <mergeCell ref="G275:H275"/>
    <mergeCell ref="G276:H276"/>
    <mergeCell ref="G277:H277"/>
    <mergeCell ref="G271:I271"/>
    <mergeCell ref="G272:I272"/>
    <mergeCell ref="G264:I264"/>
    <mergeCell ref="G265:I265"/>
    <mergeCell ref="G269:I269"/>
    <mergeCell ref="G256:I256"/>
    <mergeCell ref="G257:I257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16:I216"/>
    <mergeCell ref="G217:I217"/>
    <mergeCell ref="G226:H226"/>
    <mergeCell ref="G227:H227"/>
    <mergeCell ref="G228:H228"/>
    <mergeCell ref="G229:H229"/>
    <mergeCell ref="G230:H230"/>
    <mergeCell ref="G231:H231"/>
    <mergeCell ref="G225:H225"/>
    <mergeCell ref="G208:I208"/>
    <mergeCell ref="G104:H104"/>
    <mergeCell ref="G105:H105"/>
    <mergeCell ref="G106:H106"/>
    <mergeCell ref="G107:H107"/>
    <mergeCell ref="G108:I108"/>
    <mergeCell ref="G207:I207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272-7841-404C-8516-01C20D14AC84}">
  <sheetPr>
    <pageSetUpPr fitToPage="1"/>
  </sheetPr>
  <dimension ref="A1:U562"/>
  <sheetViews>
    <sheetView zoomScale="91" zoomScaleNormal="205" workbookViewId="0">
      <selection activeCell="A401" sqref="A401:XFD401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60" t="s">
        <v>1014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479">
        <f>'BOLETIM DE MEDIÇÃO 10'!P8</f>
        <v>588422.86710544967</v>
      </c>
      <c r="I8" s="480"/>
      <c r="J8" s="481" t="s">
        <v>1006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09)'!K14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09)'!K15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09)'!K16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09)'!K17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09)'!K19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09)'!K21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09)'!K24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09)'!K25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09)'!K154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09)'!K163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09)'!K172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09)'!K257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09)'!K302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8">((0.15+0.3)*2*1)</f>
        <v>0.89999999999999991</v>
      </c>
      <c r="H378" s="48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09)'!K381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s="167" customFormat="1" ht="48.6" customHeight="1" x14ac:dyDescent="0.25">
      <c r="B384" s="203" t="s">
        <v>92</v>
      </c>
      <c r="C384" s="211">
        <v>92443</v>
      </c>
      <c r="D384" s="205" t="s">
        <v>94</v>
      </c>
      <c r="E384" s="206" t="s">
        <v>17</v>
      </c>
      <c r="F384" s="94">
        <v>1</v>
      </c>
      <c r="G384" s="104"/>
      <c r="H384" s="92"/>
      <c r="I384" s="105"/>
      <c r="J384" s="99">
        <f>'BOLETIM DE MEDIÇÃO 10'!R40-K384</f>
        <v>402.14</v>
      </c>
      <c r="K384" s="81">
        <f>G385</f>
        <v>8.8404000000000007</v>
      </c>
      <c r="L384" s="82">
        <f>J384+K384</f>
        <v>410.98039999999997</v>
      </c>
      <c r="M384" s="82">
        <f>'BOLETIM DE MEDIÇÃO 10'!G40</f>
        <v>410.98</v>
      </c>
      <c r="N384" s="86">
        <f>M384-L384</f>
        <v>-3.999999999564352E-4</v>
      </c>
    </row>
    <row r="385" spans="2:14" ht="14.45" customHeight="1" x14ac:dyDescent="0.25">
      <c r="B385" s="56"/>
      <c r="C385" s="60"/>
      <c r="D385" s="412" t="s">
        <v>1008</v>
      </c>
      <c r="E385" s="64"/>
      <c r="F385" s="94">
        <v>1</v>
      </c>
      <c r="G385" s="483">
        <v>8.8404000000000007</v>
      </c>
      <c r="H385" s="484"/>
      <c r="I385" s="485"/>
      <c r="J385" s="99"/>
      <c r="K385" s="82"/>
      <c r="L385" s="82"/>
      <c r="M385" s="82"/>
      <c r="N385" s="86"/>
    </row>
    <row r="386" spans="2:14" ht="40.15" customHeight="1" x14ac:dyDescent="0.25">
      <c r="B386" s="247" t="s">
        <v>95</v>
      </c>
      <c r="C386" s="248">
        <v>92480</v>
      </c>
      <c r="D386" s="401" t="s">
        <v>97</v>
      </c>
      <c r="E386" s="242" t="s">
        <v>17</v>
      </c>
      <c r="F386" s="243"/>
      <c r="G386" s="244"/>
      <c r="H386" s="402"/>
      <c r="I386" s="246"/>
      <c r="J386" s="249">
        <f>'BOLETIM DE MEDIÇÃO 10'!R41-'MEMORIAL DE CALCULO 09)'!K386</f>
        <v>331.92200000000003</v>
      </c>
      <c r="K386" s="250">
        <f>K387+K388</f>
        <v>107.89619999999999</v>
      </c>
      <c r="L386" s="251">
        <f t="shared" si="0"/>
        <v>439.81820000000005</v>
      </c>
      <c r="M386" s="251">
        <f>'BOLETIM DE MEDIÇÃO 05'!G41</f>
        <v>435.33</v>
      </c>
      <c r="N386" s="252">
        <f t="shared" si="1"/>
        <v>-4.488200000000063</v>
      </c>
    </row>
    <row r="387" spans="2:14" ht="18" customHeight="1" x14ac:dyDescent="0.25">
      <c r="B387" s="247"/>
      <c r="C387" s="403"/>
      <c r="D387" s="411" t="s">
        <v>1010</v>
      </c>
      <c r="E387" s="242"/>
      <c r="F387" s="243">
        <v>1</v>
      </c>
      <c r="G387" s="497">
        <v>92.376199999999997</v>
      </c>
      <c r="H387" s="555"/>
      <c r="I387" s="544"/>
      <c r="J387" s="249"/>
      <c r="K387" s="251">
        <f>G387</f>
        <v>92.376199999999997</v>
      </c>
      <c r="L387" s="251"/>
      <c r="M387" s="251"/>
      <c r="N387" s="252"/>
    </row>
    <row r="388" spans="2:14" ht="18" customHeight="1" x14ac:dyDescent="0.25">
      <c r="B388" s="247"/>
      <c r="C388" s="403"/>
      <c r="D388" s="411" t="s">
        <v>1009</v>
      </c>
      <c r="E388" s="242"/>
      <c r="F388" s="243">
        <v>1</v>
      </c>
      <c r="G388" s="497">
        <v>15.52</v>
      </c>
      <c r="H388" s="543"/>
      <c r="I388" s="544"/>
      <c r="J388" s="249"/>
      <c r="K388" s="251">
        <f>G388</f>
        <v>15.52</v>
      </c>
      <c r="L388" s="251"/>
      <c r="M388" s="251"/>
      <c r="N388" s="252"/>
    </row>
    <row r="389" spans="2:14" ht="24.6" customHeight="1" x14ac:dyDescent="0.25">
      <c r="B389" s="247" t="s">
        <v>98</v>
      </c>
      <c r="C389" s="248">
        <v>92267</v>
      </c>
      <c r="D389" s="401" t="s">
        <v>100</v>
      </c>
      <c r="E389" s="242"/>
      <c r="F389" s="243"/>
      <c r="G389" s="393"/>
      <c r="H389" s="242"/>
      <c r="I389" s="405"/>
      <c r="J389" s="249">
        <f>'BOLETIM DE MEDIÇÃO 10'!R42-'MEMORIAL DE CALCULO 09)'!K389</f>
        <v>72.858649999999997</v>
      </c>
      <c r="K389" s="250">
        <f>K390+K391</f>
        <v>57.966300000000004</v>
      </c>
      <c r="L389" s="251">
        <f>J389+K389</f>
        <v>130.82495</v>
      </c>
      <c r="M389" s="251">
        <f>'BOLETIM DE MEDIÇÃO 10'!G42</f>
        <v>130.82</v>
      </c>
      <c r="N389" s="252">
        <f>M389-L389</f>
        <v>-4.9500000000080036E-3</v>
      </c>
    </row>
    <row r="390" spans="2:14" ht="18" customHeight="1" x14ac:dyDescent="0.25">
      <c r="B390" s="247"/>
      <c r="C390" s="403"/>
      <c r="D390" s="411" t="s">
        <v>1011</v>
      </c>
      <c r="E390" s="242"/>
      <c r="F390" s="243">
        <v>1</v>
      </c>
      <c r="G390" s="497">
        <f>0.4*88.64</f>
        <v>35.456000000000003</v>
      </c>
      <c r="H390" s="556"/>
      <c r="I390" s="544"/>
      <c r="J390" s="249"/>
      <c r="K390" s="251">
        <f>G390</f>
        <v>35.456000000000003</v>
      </c>
      <c r="L390" s="251"/>
      <c r="M390" s="251"/>
      <c r="N390" s="252"/>
    </row>
    <row r="391" spans="2:14" ht="18" customHeight="1" x14ac:dyDescent="0.25">
      <c r="B391" s="247"/>
      <c r="C391" s="403"/>
      <c r="D391" s="411" t="s">
        <v>1012</v>
      </c>
      <c r="E391" s="242"/>
      <c r="F391" s="243">
        <v>1</v>
      </c>
      <c r="G391" s="497">
        <v>22.510300000000001</v>
      </c>
      <c r="H391" s="543"/>
      <c r="I391" s="544"/>
      <c r="J391" s="249"/>
      <c r="K391" s="251">
        <f>G391</f>
        <v>22.510300000000001</v>
      </c>
      <c r="L391" s="251"/>
      <c r="M391" s="251"/>
      <c r="N391" s="252"/>
    </row>
    <row r="392" spans="2:14" s="167" customFormat="1" ht="30.6" customHeight="1" x14ac:dyDescent="0.25">
      <c r="B392" s="49" t="s">
        <v>101</v>
      </c>
      <c r="C392" s="57">
        <v>92759</v>
      </c>
      <c r="D392" s="52" t="s">
        <v>103</v>
      </c>
      <c r="E392" s="64" t="s">
        <v>62</v>
      </c>
      <c r="F392" s="94"/>
      <c r="G392" s="104"/>
      <c r="H392" s="64"/>
      <c r="I392" s="105"/>
      <c r="J392" s="99">
        <f>'BOLETIM DE MEDIÇÃO 10'!R43-K392</f>
        <v>905.6037799999998</v>
      </c>
      <c r="K392" s="81">
        <f>K393</f>
        <v>130.6009</v>
      </c>
      <c r="L392" s="82">
        <f t="shared" si="0"/>
        <v>1036.2046799999998</v>
      </c>
      <c r="M392" s="82">
        <f>'BOLETIM DE MEDIÇÃO 05'!G43</f>
        <v>1027.8</v>
      </c>
      <c r="N392" s="86">
        <f t="shared" si="1"/>
        <v>-8.4046799999998711</v>
      </c>
    </row>
    <row r="393" spans="2:14" s="167" customFormat="1" ht="19.899999999999999" customHeight="1" x14ac:dyDescent="0.25">
      <c r="B393" s="49"/>
      <c r="C393" s="57"/>
      <c r="D393" s="344" t="s">
        <v>1013</v>
      </c>
      <c r="E393" s="64"/>
      <c r="F393" s="94">
        <v>1</v>
      </c>
      <c r="G393" s="483">
        <v>130.6009</v>
      </c>
      <c r="H393" s="484"/>
      <c r="I393" s="485"/>
      <c r="J393" s="99"/>
      <c r="K393" s="82">
        <f>F393*G393</f>
        <v>130.6009</v>
      </c>
      <c r="L393" s="82"/>
      <c r="M393" s="82"/>
      <c r="N393" s="86"/>
    </row>
    <row r="394" spans="2:14" s="167" customFormat="1" ht="33.6" hidden="1" customHeight="1" x14ac:dyDescent="0.25">
      <c r="B394" s="49" t="s">
        <v>104</v>
      </c>
      <c r="C394" s="57">
        <v>92760</v>
      </c>
      <c r="D394" s="52" t="s">
        <v>106</v>
      </c>
      <c r="E394" s="64" t="s">
        <v>62</v>
      </c>
      <c r="F394" s="94"/>
      <c r="G394" s="104"/>
      <c r="H394" s="64"/>
      <c r="I394" s="105"/>
      <c r="J394" s="99">
        <f>'BOLETIM DE MEDIÇÃO 05'!O44-'MEMORIAL DE CALCULO 09)'!K394</f>
        <v>7.82</v>
      </c>
      <c r="K394" s="82">
        <f>K395</f>
        <v>15.64</v>
      </c>
      <c r="L394" s="82">
        <f t="shared" ref="L394" si="19">J394+K394</f>
        <v>23.46</v>
      </c>
      <c r="M394" s="82">
        <f>'BOLETIM DE MEDIÇÃO 05'!G44</f>
        <v>39.1</v>
      </c>
      <c r="N394" s="86">
        <f t="shared" ref="N394" si="20">M394-L394</f>
        <v>15.64</v>
      </c>
    </row>
    <row r="395" spans="2:14" s="167" customFormat="1" ht="22.9" hidden="1" customHeight="1" x14ac:dyDescent="0.25">
      <c r="B395" s="49"/>
      <c r="C395" s="57"/>
      <c r="D395" s="294" t="s">
        <v>964</v>
      </c>
      <c r="E395" s="64"/>
      <c r="F395" s="94">
        <v>1</v>
      </c>
      <c r="G395" s="445">
        <f>0.4*39.1</f>
        <v>15.64</v>
      </c>
      <c r="H395" s="446"/>
      <c r="I395" s="447"/>
      <c r="J395" s="99"/>
      <c r="K395" s="82">
        <f>F395*G395</f>
        <v>15.64</v>
      </c>
      <c r="L395" s="82"/>
      <c r="M395" s="82"/>
      <c r="N395" s="86"/>
    </row>
    <row r="396" spans="2:14" s="167" customFormat="1" ht="30.6" customHeight="1" x14ac:dyDescent="0.25">
      <c r="B396" s="49" t="s">
        <v>107</v>
      </c>
      <c r="C396" s="57">
        <v>92761</v>
      </c>
      <c r="D396" s="52" t="s">
        <v>109</v>
      </c>
      <c r="E396" s="64" t="s">
        <v>62</v>
      </c>
      <c r="F396" s="94"/>
      <c r="G396" s="104"/>
      <c r="H396" s="64"/>
      <c r="I396" s="105"/>
      <c r="J396" s="99">
        <f>'BOLETIM DE MEDIÇÃO 10'!R45-K396</f>
        <v>852.63999999999987</v>
      </c>
      <c r="K396" s="81">
        <f>K397</f>
        <v>168.64</v>
      </c>
      <c r="L396" s="82">
        <f t="shared" si="0"/>
        <v>1021.2799999999999</v>
      </c>
      <c r="M396" s="82">
        <f>'BOLETIM DE MEDIÇÃO 05'!G45</f>
        <v>1000</v>
      </c>
      <c r="N396" s="86">
        <f t="shared" si="1"/>
        <v>-21.279999999999859</v>
      </c>
    </row>
    <row r="397" spans="2:14" s="167" customFormat="1" ht="22.9" customHeight="1" x14ac:dyDescent="0.25">
      <c r="B397" s="49"/>
      <c r="C397" s="57"/>
      <c r="D397" s="344" t="s">
        <v>1013</v>
      </c>
      <c r="E397" s="64"/>
      <c r="F397" s="94">
        <v>1</v>
      </c>
      <c r="G397" s="483">
        <v>168.64</v>
      </c>
      <c r="H397" s="484"/>
      <c r="I397" s="485"/>
      <c r="J397" s="99"/>
      <c r="K397" s="82">
        <f>F397*G397</f>
        <v>168.64</v>
      </c>
      <c r="L397" s="82"/>
      <c r="M397" s="82"/>
      <c r="N397" s="86"/>
    </row>
    <row r="398" spans="2:14" s="167" customFormat="1" ht="30.6" customHeight="1" x14ac:dyDescent="0.25">
      <c r="B398" s="49" t="s">
        <v>110</v>
      </c>
      <c r="C398" s="57">
        <v>92762</v>
      </c>
      <c r="D398" s="52" t="s">
        <v>112</v>
      </c>
      <c r="E398" s="64" t="s">
        <v>62</v>
      </c>
      <c r="F398" s="94"/>
      <c r="G398" s="104"/>
      <c r="H398" s="64"/>
      <c r="I398" s="105"/>
      <c r="J398" s="99">
        <f>'BOLETIM DE MEDIÇÃO 10'!R46-K398</f>
        <v>1303.8771200000001</v>
      </c>
      <c r="K398" s="81">
        <f>K399</f>
        <v>11.700799999999999</v>
      </c>
      <c r="L398" s="82">
        <f t="shared" si="0"/>
        <v>1315.5779200000002</v>
      </c>
      <c r="M398" s="82">
        <f>'BOLETIM DE MEDIÇÃO 05'!G46</f>
        <v>1306.0999999999999</v>
      </c>
      <c r="N398" s="86">
        <f t="shared" si="1"/>
        <v>-9.4779200000002675</v>
      </c>
    </row>
    <row r="399" spans="2:14" s="167" customFormat="1" ht="19.899999999999999" customHeight="1" x14ac:dyDescent="0.25">
      <c r="B399" s="49"/>
      <c r="C399" s="57"/>
      <c r="D399" s="344" t="s">
        <v>1013</v>
      </c>
      <c r="E399" s="64"/>
      <c r="F399" s="105">
        <v>1</v>
      </c>
      <c r="G399" s="483">
        <v>11.700799999999999</v>
      </c>
      <c r="H399" s="484"/>
      <c r="I399" s="485"/>
      <c r="J399" s="99"/>
      <c r="K399" s="82">
        <f>F399*G399</f>
        <v>11.700799999999999</v>
      </c>
      <c r="L399" s="82"/>
      <c r="M399" s="82"/>
      <c r="N399" s="86"/>
    </row>
    <row r="400" spans="2:14" s="167" customFormat="1" ht="19.899999999999999" customHeight="1" x14ac:dyDescent="0.25">
      <c r="B400" s="203" t="s">
        <v>113</v>
      </c>
      <c r="C400" s="211">
        <v>92763</v>
      </c>
      <c r="D400" s="205" t="s">
        <v>115</v>
      </c>
      <c r="E400" s="206" t="s">
        <v>62</v>
      </c>
      <c r="F400" s="105"/>
      <c r="G400" s="373"/>
      <c r="H400" s="373"/>
      <c r="I400" s="318"/>
      <c r="J400" s="99">
        <f>'BOLETIM DE MEDIÇÃO 10'!R47-K400</f>
        <v>161.6</v>
      </c>
      <c r="K400" s="81">
        <f>K401</f>
        <v>6.6020000000000003</v>
      </c>
      <c r="L400" s="82">
        <f>J400+K400</f>
        <v>168.202</v>
      </c>
      <c r="M400" s="82">
        <f>'BOLETIM DE MEDIÇÃO 10'!G47</f>
        <v>168.2</v>
      </c>
      <c r="N400" s="86">
        <f t="shared" si="1"/>
        <v>-2.0000000000095497E-3</v>
      </c>
    </row>
    <row r="401" spans="2:15" s="167" customFormat="1" ht="19.899999999999999" customHeight="1" x14ac:dyDescent="0.25">
      <c r="B401" s="203"/>
      <c r="C401" s="211"/>
      <c r="D401" s="205" t="s">
        <v>1008</v>
      </c>
      <c r="E401" s="206"/>
      <c r="F401" s="105">
        <v>1</v>
      </c>
      <c r="G401" s="483">
        <v>6.6020000000000003</v>
      </c>
      <c r="H401" s="484"/>
      <c r="I401" s="485"/>
      <c r="J401" s="99"/>
      <c r="K401" s="82">
        <f>G401</f>
        <v>6.6020000000000003</v>
      </c>
      <c r="L401" s="82"/>
      <c r="M401" s="82"/>
      <c r="N401" s="86"/>
    </row>
    <row r="402" spans="2:15" s="167" customFormat="1" ht="33.75" x14ac:dyDescent="0.25">
      <c r="B402" s="49" t="s">
        <v>116</v>
      </c>
      <c r="C402" s="57">
        <v>92768</v>
      </c>
      <c r="D402" s="52" t="s">
        <v>118</v>
      </c>
      <c r="E402" s="64" t="s">
        <v>62</v>
      </c>
      <c r="F402" s="105"/>
      <c r="G402" s="99"/>
      <c r="H402" s="64"/>
      <c r="I402" s="105"/>
      <c r="J402" s="99">
        <f>'BOLETIM DE MEDIÇÃO 10'!R48-'MEMORIAL DE CALCULO 09)'!K402</f>
        <v>177.17999999999998</v>
      </c>
      <c r="K402" s="81">
        <f>K403</f>
        <v>28.2</v>
      </c>
      <c r="L402" s="82">
        <f t="shared" si="0"/>
        <v>205.37999999999997</v>
      </c>
      <c r="M402" s="82">
        <f>'BOLETIM DE MEDIÇÃO 05'!G48</f>
        <v>158.69999999999999</v>
      </c>
      <c r="N402" s="86">
        <f t="shared" si="1"/>
        <v>-46.679999999999978</v>
      </c>
    </row>
    <row r="403" spans="2:15" s="167" customFormat="1" x14ac:dyDescent="0.25">
      <c r="B403" s="49"/>
      <c r="C403" s="57"/>
      <c r="D403" s="410" t="s">
        <v>969</v>
      </c>
      <c r="E403" s="64"/>
      <c r="F403" s="105">
        <v>1</v>
      </c>
      <c r="G403" s="483">
        <v>28.2</v>
      </c>
      <c r="H403" s="484"/>
      <c r="I403" s="485"/>
      <c r="J403" s="99"/>
      <c r="K403" s="82">
        <f>F403*G403</f>
        <v>28.2</v>
      </c>
      <c r="L403" s="82"/>
      <c r="M403" s="82"/>
      <c r="N403" s="86"/>
    </row>
    <row r="404" spans="2:15" s="167" customFormat="1" ht="33.75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10'!R49-'MEMORIAL DE CALCULO 09)'!K404</f>
        <v>165.83199999999999</v>
      </c>
      <c r="K404" s="81">
        <f>K405</f>
        <v>12.9002</v>
      </c>
      <c r="L404" s="82">
        <f t="shared" si="0"/>
        <v>178.73220000000001</v>
      </c>
      <c r="M404" s="82">
        <f>'BOLETIM DE MEDIÇÃO 05'!G49</f>
        <v>170.5</v>
      </c>
      <c r="N404" s="86">
        <f t="shared" si="1"/>
        <v>-8.232200000000006</v>
      </c>
    </row>
    <row r="405" spans="2:15" s="167" customFormat="1" x14ac:dyDescent="0.25">
      <c r="B405" s="49"/>
      <c r="C405" s="57"/>
      <c r="D405" s="410" t="s">
        <v>969</v>
      </c>
      <c r="E405" s="64"/>
      <c r="F405" s="105">
        <v>1</v>
      </c>
      <c r="G405" s="483">
        <v>12.9002</v>
      </c>
      <c r="H405" s="484"/>
      <c r="I405" s="485"/>
      <c r="J405" s="99"/>
      <c r="K405" s="82">
        <f>F405*G405</f>
        <v>12.9002</v>
      </c>
      <c r="L405" s="82"/>
      <c r="M405" s="82"/>
      <c r="N405" s="86"/>
    </row>
    <row r="406" spans="2:15" s="167" customFormat="1" ht="33.75" x14ac:dyDescent="0.25">
      <c r="B406" s="49" t="s">
        <v>122</v>
      </c>
      <c r="C406" s="57">
        <v>92770</v>
      </c>
      <c r="D406" s="52" t="s">
        <v>124</v>
      </c>
      <c r="E406" s="64" t="s">
        <v>62</v>
      </c>
      <c r="F406" s="105"/>
      <c r="G406" s="99"/>
      <c r="H406" s="64"/>
      <c r="I406" s="105"/>
      <c r="J406" s="99">
        <f>'BOLETIM DE MEDIÇÃO 10'!R50-'MEMORIAL DE CALCULO 09)'!K406</f>
        <v>259</v>
      </c>
      <c r="K406" s="81">
        <f>K407</f>
        <v>20.100899999999999</v>
      </c>
      <c r="L406" s="82">
        <f t="shared" si="0"/>
        <v>279.10090000000002</v>
      </c>
      <c r="M406" s="82">
        <f>'BOLETIM DE MEDIÇÃO 05'!G50</f>
        <v>279.10000000000002</v>
      </c>
      <c r="N406" s="86">
        <f t="shared" si="1"/>
        <v>-9.0000000000145519E-4</v>
      </c>
    </row>
    <row r="407" spans="2:15" s="167" customFormat="1" ht="18" customHeight="1" x14ac:dyDescent="0.25">
      <c r="B407" s="49"/>
      <c r="C407" s="57"/>
      <c r="D407" s="410" t="s">
        <v>969</v>
      </c>
      <c r="E407" s="64"/>
      <c r="F407" s="105">
        <v>1</v>
      </c>
      <c r="G407" s="483">
        <v>20.100899999999999</v>
      </c>
      <c r="H407" s="484"/>
      <c r="I407" s="485"/>
      <c r="J407" s="99"/>
      <c r="K407" s="82">
        <f>F407*G407</f>
        <v>20.100899999999999</v>
      </c>
      <c r="L407" s="82"/>
      <c r="M407" s="82"/>
      <c r="N407" s="86"/>
    </row>
    <row r="408" spans="2:15" s="167" customFormat="1" ht="33.75" x14ac:dyDescent="0.25">
      <c r="B408" s="49" t="s">
        <v>125</v>
      </c>
      <c r="C408" s="57">
        <v>94966</v>
      </c>
      <c r="D408" s="52" t="s">
        <v>65</v>
      </c>
      <c r="E408" s="64" t="s">
        <v>41</v>
      </c>
      <c r="F408" s="105"/>
      <c r="G408" s="99"/>
      <c r="H408" s="64"/>
      <c r="I408" s="105"/>
      <c r="J408" s="99">
        <f>'BOLETIM DE MEDIÇÃO 10'!R51-'MEMORIAL DE CALCULO 09)'!K408</f>
        <v>71.628424999999979</v>
      </c>
      <c r="K408" s="81">
        <f>SUM(K409:K409)</f>
        <v>10.02003</v>
      </c>
      <c r="L408" s="82">
        <f t="shared" si="0"/>
        <v>81.648454999999984</v>
      </c>
      <c r="M408" s="82">
        <f>'BOLETIM DE MEDIÇÃO 05'!G51</f>
        <v>61.56</v>
      </c>
      <c r="N408" s="86">
        <f t="shared" si="1"/>
        <v>-20.088454999999982</v>
      </c>
    </row>
    <row r="409" spans="2:15" ht="19.149999999999999" customHeight="1" x14ac:dyDescent="0.25">
      <c r="B409" s="247"/>
      <c r="C409" s="248"/>
      <c r="D409" s="344" t="s">
        <v>1013</v>
      </c>
      <c r="E409" s="242"/>
      <c r="F409" s="246">
        <v>1</v>
      </c>
      <c r="G409" s="551">
        <v>10.02003</v>
      </c>
      <c r="H409" s="551"/>
      <c r="I409" s="552"/>
      <c r="J409" s="249"/>
      <c r="K409" s="251">
        <f t="shared" ref="K409" si="21">F409*G409</f>
        <v>10.02003</v>
      </c>
      <c r="L409" s="251"/>
      <c r="M409" s="251"/>
      <c r="N409" s="252"/>
    </row>
    <row r="410" spans="2:15" ht="22.5" x14ac:dyDescent="0.25">
      <c r="B410" s="247" t="s">
        <v>126</v>
      </c>
      <c r="C410" s="248">
        <v>103670</v>
      </c>
      <c r="D410" s="401" t="s">
        <v>71</v>
      </c>
      <c r="E410" s="242" t="s">
        <v>41</v>
      </c>
      <c r="F410" s="246"/>
      <c r="G410" s="249"/>
      <c r="H410" s="402"/>
      <c r="I410" s="246"/>
      <c r="J410" s="249">
        <f>'BOLETIM DE MEDIÇÃO 05'!O52-'MEMORIAL DE CALCULO 09)'!K410</f>
        <v>9.4099000099999994</v>
      </c>
      <c r="K410" s="250">
        <f>G411</f>
        <v>10.02009999</v>
      </c>
      <c r="L410" s="251">
        <f t="shared" si="0"/>
        <v>19.43</v>
      </c>
      <c r="M410" s="251">
        <f>'BOLETIM DE MEDIÇÃO 05'!G52</f>
        <v>61.56</v>
      </c>
      <c r="N410" s="252">
        <f t="shared" si="1"/>
        <v>42.13</v>
      </c>
    </row>
    <row r="411" spans="2:15" x14ac:dyDescent="0.25">
      <c r="B411" s="247"/>
      <c r="C411" s="403"/>
      <c r="D411" s="414" t="s">
        <v>932</v>
      </c>
      <c r="E411" s="242"/>
      <c r="F411" s="243">
        <v>1</v>
      </c>
      <c r="G411" s="551">
        <v>10.02009999</v>
      </c>
      <c r="H411" s="551"/>
      <c r="I411" s="552"/>
      <c r="J411" s="249"/>
      <c r="K411" s="251">
        <f>F411*G411</f>
        <v>10.02009999</v>
      </c>
      <c r="L411" s="251"/>
      <c r="M411" s="251"/>
      <c r="N411" s="252"/>
    </row>
    <row r="412" spans="2:15" ht="33.75" x14ac:dyDescent="0.25">
      <c r="B412" s="247" t="s">
        <v>127</v>
      </c>
      <c r="C412" s="248">
        <v>92771</v>
      </c>
      <c r="D412" s="401" t="s">
        <v>129</v>
      </c>
      <c r="E412" s="242" t="s">
        <v>62</v>
      </c>
      <c r="F412" s="243"/>
      <c r="G412" s="244"/>
      <c r="H412" s="402"/>
      <c r="I412" s="246"/>
      <c r="J412" s="249">
        <f>'BOLETIM DE MEDIÇÃO 10'!R53-'MEMORIAL DE CALCULO 09)'!K412</f>
        <v>312.29999999999995</v>
      </c>
      <c r="K412" s="250">
        <f>K413</f>
        <v>94.6</v>
      </c>
      <c r="L412" s="251">
        <f t="shared" si="0"/>
        <v>406.9</v>
      </c>
      <c r="M412" s="251">
        <f>'BOLETIM DE MEDIÇÃO 05'!G53</f>
        <v>312.3</v>
      </c>
      <c r="N412" s="252">
        <f t="shared" si="1"/>
        <v>-94.599999999999966</v>
      </c>
    </row>
    <row r="413" spans="2:15" ht="18" customHeight="1" x14ac:dyDescent="0.25">
      <c r="B413" s="247"/>
      <c r="C413" s="248"/>
      <c r="D413" s="411" t="s">
        <v>969</v>
      </c>
      <c r="E413" s="242"/>
      <c r="F413" s="246">
        <v>1</v>
      </c>
      <c r="G413" s="497">
        <v>94.6</v>
      </c>
      <c r="H413" s="543"/>
      <c r="I413" s="544"/>
      <c r="J413" s="249"/>
      <c r="K413" s="251">
        <f>G413</f>
        <v>94.6</v>
      </c>
      <c r="L413" s="251"/>
      <c r="M413" s="251"/>
      <c r="N413" s="252"/>
    </row>
    <row r="414" spans="2:15" ht="33.75" hidden="1" x14ac:dyDescent="0.25">
      <c r="B414" s="362" t="s">
        <v>130</v>
      </c>
      <c r="C414" s="363">
        <v>92772</v>
      </c>
      <c r="D414" s="400" t="s">
        <v>132</v>
      </c>
      <c r="E414" s="365" t="s">
        <v>62</v>
      </c>
      <c r="F414" s="366"/>
      <c r="G414" s="396"/>
      <c r="H414" s="365"/>
      <c r="I414" s="371"/>
      <c r="J414" s="367">
        <f>'BOLETIM DE MEDIÇÃO 10'!R54-'MEMORIAL DE CALCULO 09)'!K414</f>
        <v>154.80000000000001</v>
      </c>
      <c r="K414" s="368"/>
      <c r="L414" s="368">
        <f t="shared" si="0"/>
        <v>154.80000000000001</v>
      </c>
      <c r="M414" s="368">
        <f>'BOLETIM DE MEDIÇÃO 05'!G54</f>
        <v>154.80000000000001</v>
      </c>
      <c r="N414" s="369">
        <f t="shared" si="1"/>
        <v>0</v>
      </c>
      <c r="O414" s="370"/>
    </row>
    <row r="415" spans="2:15" ht="18" hidden="1" customHeight="1" x14ac:dyDescent="0.25">
      <c r="B415" s="362"/>
      <c r="C415" s="363"/>
      <c r="D415" s="364" t="s">
        <v>958</v>
      </c>
      <c r="E415" s="365"/>
      <c r="F415" s="371">
        <v>1</v>
      </c>
      <c r="G415" s="531">
        <v>154.80000000000001</v>
      </c>
      <c r="H415" s="532"/>
      <c r="I415" s="533"/>
      <c r="J415" s="367"/>
      <c r="K415" s="368"/>
      <c r="L415" s="368"/>
      <c r="M415" s="368"/>
      <c r="N415" s="369"/>
      <c r="O415" s="370"/>
    </row>
    <row r="416" spans="2:15" ht="18" hidden="1" customHeight="1" x14ac:dyDescent="0.25">
      <c r="B416" s="362"/>
      <c r="C416" s="363"/>
      <c r="D416" s="364"/>
      <c r="E416" s="365"/>
      <c r="F416" s="371"/>
      <c r="G416" s="387"/>
      <c r="H416" s="387"/>
      <c r="I416" s="388"/>
      <c r="J416" s="367"/>
      <c r="K416" s="368"/>
      <c r="L416" s="368"/>
      <c r="M416" s="368"/>
      <c r="N416" s="369"/>
      <c r="O416" s="370"/>
    </row>
    <row r="417" spans="2:14" ht="18" customHeight="1" x14ac:dyDescent="0.25">
      <c r="B417" s="212">
        <v>1.5</v>
      </c>
      <c r="C417" s="213" t="s">
        <v>134</v>
      </c>
      <c r="D417" s="205"/>
      <c r="E417" s="206"/>
      <c r="F417" s="123"/>
      <c r="G417" s="373"/>
      <c r="H417" s="373"/>
      <c r="I417" s="318"/>
      <c r="J417" s="99"/>
      <c r="K417" s="82"/>
      <c r="L417" s="82"/>
      <c r="M417" s="82"/>
      <c r="N417" s="86"/>
    </row>
    <row r="418" spans="2:14" ht="46.15" customHeight="1" x14ac:dyDescent="0.25">
      <c r="B418" s="383" t="s">
        <v>135</v>
      </c>
      <c r="C418" s="384">
        <v>103356</v>
      </c>
      <c r="D418" s="385" t="s">
        <v>137</v>
      </c>
      <c r="E418" s="386" t="s">
        <v>17</v>
      </c>
      <c r="F418" s="394"/>
      <c r="G418" s="373"/>
      <c r="H418" s="373"/>
      <c r="I418" s="318"/>
      <c r="J418" s="99">
        <f>'BOLETIM DE MEDIÇÃO 10'!R56-'MEMORIAL DE CALCULO 09)'!K418</f>
        <v>1196.3104999999998</v>
      </c>
      <c r="K418" s="81">
        <f>K419</f>
        <v>46.31</v>
      </c>
      <c r="L418" s="82">
        <f>J418+K418</f>
        <v>1242.6204999999998</v>
      </c>
      <c r="M418" s="82">
        <f>'BOLETIM DE MEDIÇÃO 10'!G56</f>
        <v>1242.6199999999999</v>
      </c>
      <c r="N418" s="86">
        <f>M418-L418</f>
        <v>-4.9999999987448973E-4</v>
      </c>
    </row>
    <row r="419" spans="2:14" ht="22.9" customHeight="1" x14ac:dyDescent="0.25">
      <c r="B419" s="49"/>
      <c r="C419" s="57"/>
      <c r="D419" s="144" t="s">
        <v>1015</v>
      </c>
      <c r="E419" s="64"/>
      <c r="F419" s="105">
        <v>1</v>
      </c>
      <c r="G419" s="483">
        <v>46.31</v>
      </c>
      <c r="H419" s="484"/>
      <c r="I419" s="485"/>
      <c r="J419" s="99"/>
      <c r="K419" s="82">
        <f>G419</f>
        <v>46.31</v>
      </c>
      <c r="L419" s="82"/>
      <c r="M419" s="82"/>
      <c r="N419" s="86"/>
    </row>
    <row r="420" spans="2:14" ht="14.45" customHeight="1" x14ac:dyDescent="0.25">
      <c r="B420" s="56">
        <v>1.6</v>
      </c>
      <c r="C420" s="60" t="s">
        <v>148</v>
      </c>
      <c r="D420" s="52"/>
      <c r="E420" s="64"/>
      <c r="F420" s="105"/>
      <c r="G420" s="99"/>
      <c r="H420" s="64"/>
      <c r="I420" s="105"/>
      <c r="J420" s="99">
        <f>'BOLETIM DE MEDIÇÃO 10'!R74-'MEMORIAL DE CALCULO 09)'!K420</f>
        <v>0</v>
      </c>
      <c r="K420" s="82"/>
      <c r="L420" s="82"/>
      <c r="M420" s="82"/>
      <c r="N420" s="86"/>
    </row>
    <row r="421" spans="2:14" ht="56.25" x14ac:dyDescent="0.25">
      <c r="B421" s="49" t="s">
        <v>152</v>
      </c>
      <c r="C421" s="57">
        <v>87548</v>
      </c>
      <c r="D421" s="52" t="s">
        <v>154</v>
      </c>
      <c r="E421" s="64" t="s">
        <v>17</v>
      </c>
      <c r="F421" s="105"/>
      <c r="G421" s="99"/>
      <c r="H421" s="64"/>
      <c r="I421" s="105"/>
      <c r="J421" s="99">
        <f>'BOLETIM DE MEDIÇÃO 10'!R75-'MEMORIAL DE CALCULO 09)'!K421</f>
        <v>-697.98</v>
      </c>
      <c r="K421" s="81">
        <f>K422</f>
        <v>697.98</v>
      </c>
      <c r="L421" s="82">
        <f t="shared" si="0"/>
        <v>0</v>
      </c>
      <c r="M421" s="82">
        <f>'BOLETIM DE MEDIÇÃO 05'!G62</f>
        <v>997.11</v>
      </c>
      <c r="N421" s="86">
        <f t="shared" si="1"/>
        <v>997.11</v>
      </c>
    </row>
    <row r="422" spans="2:14" x14ac:dyDescent="0.25">
      <c r="B422" s="49"/>
      <c r="C422" s="57"/>
      <c r="D422" s="344" t="s">
        <v>972</v>
      </c>
      <c r="E422" s="64"/>
      <c r="F422" s="105">
        <v>1</v>
      </c>
      <c r="G422" s="483">
        <v>697.98</v>
      </c>
      <c r="H422" s="484"/>
      <c r="I422" s="485"/>
      <c r="J422" s="99">
        <f>'BOLETIM DE MEDIÇÃO 10'!R76-'MEMORIAL DE CALCULO 09)'!K422</f>
        <v>-697.98</v>
      </c>
      <c r="K422" s="82">
        <f>F422*G422</f>
        <v>697.98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3"/>
      <c r="H423" s="373"/>
      <c r="I423" s="318"/>
      <c r="J423" s="99">
        <f>'BOLETIM DE MEDIÇÃO 10'!R77-'MEMORIAL DE CALCULO 09)'!K423</f>
        <v>0</v>
      </c>
      <c r="K423" s="82"/>
      <c r="L423" s="82"/>
      <c r="M423" s="82"/>
      <c r="N423" s="86"/>
    </row>
    <row r="424" spans="2:14" ht="56.25" x14ac:dyDescent="0.25">
      <c r="B424" s="49" t="s">
        <v>155</v>
      </c>
      <c r="C424" s="57">
        <v>87536</v>
      </c>
      <c r="D424" s="52" t="s">
        <v>157</v>
      </c>
      <c r="E424" s="64" t="s">
        <v>17</v>
      </c>
      <c r="F424" s="105"/>
      <c r="G424" s="373"/>
      <c r="H424" s="373"/>
      <c r="I424" s="318"/>
      <c r="J424" s="99">
        <f>'BOLETIM DE MEDIÇÃO 10'!R78-'MEMORIAL DE CALCULO 09)'!K424</f>
        <v>-351.87</v>
      </c>
      <c r="K424" s="81">
        <f>K425</f>
        <v>351.87</v>
      </c>
      <c r="L424" s="82">
        <f>J424+K424</f>
        <v>0</v>
      </c>
      <c r="M424" s="82">
        <f>'BOLETIM DE MEDIÇÃO 10'!G63</f>
        <v>351.87</v>
      </c>
      <c r="N424" s="86">
        <f>M424-L424</f>
        <v>351.87</v>
      </c>
    </row>
    <row r="425" spans="2:14" x14ac:dyDescent="0.25">
      <c r="B425" s="49"/>
      <c r="C425" s="57"/>
      <c r="D425" s="344" t="s">
        <v>972</v>
      </c>
      <c r="E425" s="64"/>
      <c r="F425" s="105">
        <v>1</v>
      </c>
      <c r="G425" s="483">
        <v>351.87</v>
      </c>
      <c r="H425" s="484"/>
      <c r="I425" s="485"/>
      <c r="J425" s="99">
        <f>'BOLETIM DE MEDIÇÃO 10'!R79-'MEMORIAL DE CALCULO 09)'!K425</f>
        <v>-351.87</v>
      </c>
      <c r="K425" s="82">
        <f>F425*G425</f>
        <v>351.87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3"/>
      <c r="H426" s="373"/>
      <c r="I426" s="318"/>
      <c r="J426" s="99">
        <f>'BOLETIM DE MEDIÇÃO 10'!R80-'MEMORIAL DE CALCULO 09)'!K426</f>
        <v>0</v>
      </c>
      <c r="K426" s="82"/>
      <c r="L426" s="82"/>
      <c r="M426" s="82"/>
      <c r="N426" s="86"/>
    </row>
    <row r="427" spans="2:14" x14ac:dyDescent="0.25">
      <c r="B427" s="346" t="s">
        <v>208</v>
      </c>
      <c r="C427" s="347" t="s">
        <v>209</v>
      </c>
      <c r="D427" s="344"/>
      <c r="E427" s="64"/>
      <c r="F427" s="105"/>
      <c r="G427" s="373"/>
      <c r="H427" s="373"/>
      <c r="I427" s="318"/>
      <c r="J427" s="99"/>
      <c r="K427" s="82"/>
      <c r="L427" s="82"/>
      <c r="M427" s="82"/>
      <c r="N427" s="86"/>
    </row>
    <row r="428" spans="2:14" ht="45" x14ac:dyDescent="0.25">
      <c r="B428" s="203" t="s">
        <v>210</v>
      </c>
      <c r="C428" s="211">
        <v>87894</v>
      </c>
      <c r="D428" s="205" t="s">
        <v>212</v>
      </c>
      <c r="E428" s="64"/>
      <c r="F428" s="105"/>
      <c r="G428" s="373"/>
      <c r="H428" s="373"/>
      <c r="I428" s="318"/>
      <c r="J428" s="99">
        <f>'BOLETIM DE MEDIÇÃO 10'!R82-'MEMORIAL DE CALCULO 09)'!K428</f>
        <v>420.44</v>
      </c>
      <c r="K428" s="81">
        <f>K429</f>
        <v>45.930999999999997</v>
      </c>
      <c r="L428" s="82">
        <f>J428+K428</f>
        <v>466.37099999999998</v>
      </c>
      <c r="M428" s="82">
        <f>'BOLETIM DE MEDIÇÃO 10'!G83</f>
        <v>466.37</v>
      </c>
      <c r="N428" s="86">
        <f>M428-L428</f>
        <v>-9.9999999997635314E-4</v>
      </c>
    </row>
    <row r="429" spans="2:14" x14ac:dyDescent="0.25">
      <c r="B429" s="49"/>
      <c r="C429" s="57"/>
      <c r="D429" s="344" t="s">
        <v>1013</v>
      </c>
      <c r="E429" s="64"/>
      <c r="F429" s="105">
        <v>1</v>
      </c>
      <c r="G429" s="483">
        <v>45.930999999999997</v>
      </c>
      <c r="H429" s="484"/>
      <c r="I429" s="485"/>
      <c r="J429" s="99"/>
      <c r="K429" s="82">
        <f>F429*G429</f>
        <v>45.930999999999997</v>
      </c>
      <c r="L429" s="82"/>
      <c r="M429" s="82"/>
      <c r="N429" s="86"/>
    </row>
    <row r="430" spans="2:14" ht="56.25" x14ac:dyDescent="0.25">
      <c r="B430" s="247" t="s">
        <v>213</v>
      </c>
      <c r="C430" s="384">
        <v>104233</v>
      </c>
      <c r="D430" s="385" t="s">
        <v>215</v>
      </c>
      <c r="E430" s="277" t="s">
        <v>17</v>
      </c>
      <c r="F430" s="105"/>
      <c r="G430" s="415"/>
      <c r="H430" s="389"/>
      <c r="I430" s="416"/>
      <c r="J430" s="99">
        <f>'BOLETIM DE MEDIÇÃO 10'!R83-'MEMORIAL DE CALCULO 09)'!K430</f>
        <v>278.39999999999998</v>
      </c>
      <c r="K430" s="81">
        <f>SUM(K431:K435)</f>
        <v>187.97049999999999</v>
      </c>
      <c r="L430" s="82">
        <f t="shared" ref="L430" si="22">J430+K430</f>
        <v>466.37049999999999</v>
      </c>
      <c r="M430" s="82">
        <f>'BOLETIM DE MEDIÇÃO 10'!G83</f>
        <v>466.37</v>
      </c>
      <c r="N430" s="86">
        <f t="shared" ref="N430" si="23">M430-L430</f>
        <v>-4.9999999998817657E-4</v>
      </c>
    </row>
    <row r="431" spans="2:14" x14ac:dyDescent="0.25">
      <c r="B431" s="49"/>
      <c r="C431" s="57"/>
      <c r="D431" s="344" t="s">
        <v>1013</v>
      </c>
      <c r="E431" s="64"/>
      <c r="F431" s="105">
        <v>1</v>
      </c>
      <c r="G431" s="483">
        <v>187.97049999999999</v>
      </c>
      <c r="H431" s="484"/>
      <c r="I431" s="485"/>
      <c r="J431" s="99"/>
      <c r="K431" s="82">
        <f>G431</f>
        <v>187.97049999999999</v>
      </c>
      <c r="L431" s="82"/>
      <c r="M431" s="82"/>
      <c r="N431" s="86"/>
    </row>
    <row r="432" spans="2:14" hidden="1" x14ac:dyDescent="0.25">
      <c r="B432" s="49"/>
      <c r="C432" s="57"/>
      <c r="D432" s="319" t="s">
        <v>996</v>
      </c>
      <c r="E432" s="64"/>
      <c r="F432" s="105"/>
      <c r="G432" s="373">
        <v>2.6</v>
      </c>
      <c r="H432" s="373"/>
      <c r="I432" s="105">
        <v>2.1</v>
      </c>
      <c r="J432" s="99"/>
      <c r="K432" s="82">
        <f t="shared" ref="K432:K435" si="24">F432*G432*I432</f>
        <v>0</v>
      </c>
      <c r="L432" s="82"/>
      <c r="M432" s="82"/>
      <c r="N432" s="86"/>
    </row>
    <row r="433" spans="2:14" hidden="1" x14ac:dyDescent="0.25">
      <c r="B433" s="49"/>
      <c r="C433" s="57"/>
      <c r="D433" s="319" t="s">
        <v>997</v>
      </c>
      <c r="E433" s="64"/>
      <c r="F433" s="105"/>
      <c r="G433" s="373">
        <v>0.8</v>
      </c>
      <c r="H433" s="373"/>
      <c r="I433" s="105">
        <v>2.1</v>
      </c>
      <c r="J433" s="99"/>
      <c r="K433" s="82">
        <f t="shared" si="24"/>
        <v>0</v>
      </c>
      <c r="L433" s="82"/>
      <c r="M433" s="82"/>
      <c r="N433" s="86"/>
    </row>
    <row r="434" spans="2:14" hidden="1" x14ac:dyDescent="0.25">
      <c r="B434" s="49"/>
      <c r="C434" s="57"/>
      <c r="D434" s="319" t="s">
        <v>998</v>
      </c>
      <c r="E434" s="64"/>
      <c r="F434" s="105"/>
      <c r="G434" s="373">
        <v>1.5</v>
      </c>
      <c r="H434" s="373"/>
      <c r="I434" s="105">
        <v>1</v>
      </c>
      <c r="J434" s="99"/>
      <c r="K434" s="82">
        <f t="shared" si="24"/>
        <v>0</v>
      </c>
      <c r="L434" s="82"/>
      <c r="M434" s="82"/>
      <c r="N434" s="86"/>
    </row>
    <row r="435" spans="2:14" hidden="1" x14ac:dyDescent="0.25">
      <c r="B435" s="49"/>
      <c r="C435" s="57"/>
      <c r="D435" s="319" t="s">
        <v>999</v>
      </c>
      <c r="E435" s="64"/>
      <c r="F435" s="105"/>
      <c r="G435" s="373">
        <v>1</v>
      </c>
      <c r="H435" s="373"/>
      <c r="I435" s="105">
        <v>0.5</v>
      </c>
      <c r="J435" s="99"/>
      <c r="K435" s="82">
        <f t="shared" si="24"/>
        <v>0</v>
      </c>
      <c r="L435" s="82"/>
      <c r="M435" s="82"/>
      <c r="N435" s="86"/>
    </row>
    <row r="436" spans="2:14" ht="14.45" hidden="1" customHeight="1" x14ac:dyDescent="0.25">
      <c r="B436" s="65">
        <v>1.1000000000000001</v>
      </c>
      <c r="C436" s="65" t="s">
        <v>229</v>
      </c>
      <c r="D436" s="344"/>
      <c r="E436" s="44"/>
      <c r="F436" s="130"/>
      <c r="G436" s="121"/>
      <c r="H436" s="70"/>
      <c r="I436" s="105"/>
      <c r="J436" s="99"/>
      <c r="K436" s="82">
        <f t="shared" ref="K436" si="25">(F436*G436*I436)</f>
        <v>0</v>
      </c>
      <c r="L436" s="82"/>
      <c r="M436" s="82"/>
      <c r="N436" s="86"/>
    </row>
    <row r="437" spans="2:14" ht="33.75" hidden="1" x14ac:dyDescent="0.25">
      <c r="B437" s="383" t="s">
        <v>284</v>
      </c>
      <c r="C437" s="384">
        <v>91834</v>
      </c>
      <c r="D437" s="390" t="s">
        <v>286</v>
      </c>
      <c r="E437" s="245" t="s">
        <v>37</v>
      </c>
      <c r="F437" s="312">
        <v>1</v>
      </c>
      <c r="G437" s="445">
        <v>200</v>
      </c>
      <c r="H437" s="446"/>
      <c r="I437" s="447"/>
      <c r="J437" s="99">
        <f>'BOLETIM DE MEDIÇÃO 10'!R108-'MEMORIAL DE CALCULO 09)'!K437</f>
        <v>150</v>
      </c>
      <c r="K437" s="81">
        <f>G437</f>
        <v>200</v>
      </c>
      <c r="L437" s="82">
        <f>J437+K437</f>
        <v>350</v>
      </c>
      <c r="M437" s="82">
        <f>'BOLETIM DE MEDIÇÃO 10'!G108</f>
        <v>830.48</v>
      </c>
      <c r="N437" s="86">
        <f>M437-L437</f>
        <v>480.48</v>
      </c>
    </row>
    <row r="438" spans="2:14" hidden="1" x14ac:dyDescent="0.25">
      <c r="B438" s="383"/>
      <c r="C438" s="384"/>
      <c r="D438" s="392" t="s">
        <v>1001</v>
      </c>
      <c r="E438" s="245"/>
      <c r="F438" s="312"/>
      <c r="G438" s="382"/>
      <c r="H438" s="391"/>
      <c r="I438" s="318"/>
      <c r="J438" s="99"/>
      <c r="K438" s="81"/>
      <c r="L438" s="82"/>
      <c r="M438" s="82"/>
      <c r="N438" s="86"/>
    </row>
    <row r="439" spans="2:14" ht="33.75" hidden="1" x14ac:dyDescent="0.25">
      <c r="B439" s="383" t="s">
        <v>287</v>
      </c>
      <c r="C439" s="384">
        <v>91868</v>
      </c>
      <c r="D439" s="385" t="s">
        <v>289</v>
      </c>
      <c r="E439" s="245" t="s">
        <v>37</v>
      </c>
      <c r="F439" s="312">
        <v>1</v>
      </c>
      <c r="G439" s="445">
        <v>55.97</v>
      </c>
      <c r="H439" s="446"/>
      <c r="I439" s="447"/>
      <c r="J439" s="99">
        <f>'BOLETIM DE MEDIÇÃO 10'!R109-'MEMORIAL DE CALCULO 09)'!K439</f>
        <v>0</v>
      </c>
      <c r="K439" s="81">
        <f>F439*G439</f>
        <v>55.97</v>
      </c>
      <c r="L439" s="82">
        <f t="shared" ref="L439" si="26">J439+K439</f>
        <v>55.97</v>
      </c>
      <c r="M439" s="82">
        <f>'BOLETIM DE MEDIÇÃO 10'!G109</f>
        <v>55.97</v>
      </c>
      <c r="N439" s="86">
        <f t="shared" ref="N439:N441" si="27">M439-L439</f>
        <v>0</v>
      </c>
    </row>
    <row r="440" spans="2:14" hidden="1" x14ac:dyDescent="0.25">
      <c r="B440" s="383"/>
      <c r="C440" s="384"/>
      <c r="D440" s="392" t="s">
        <v>1001</v>
      </c>
      <c r="E440" s="245"/>
      <c r="F440" s="312"/>
      <c r="G440" s="382"/>
      <c r="H440" s="382"/>
      <c r="I440" s="316"/>
      <c r="J440" s="99"/>
      <c r="K440" s="81"/>
      <c r="L440" s="82"/>
      <c r="M440" s="82"/>
      <c r="N440" s="86"/>
    </row>
    <row r="441" spans="2:14" ht="33.75" hidden="1" x14ac:dyDescent="0.25">
      <c r="B441" s="383" t="s">
        <v>290</v>
      </c>
      <c r="C441" s="384">
        <v>91867</v>
      </c>
      <c r="D441" s="385" t="s">
        <v>292</v>
      </c>
      <c r="E441" s="245" t="s">
        <v>37</v>
      </c>
      <c r="F441" s="312">
        <v>1</v>
      </c>
      <c r="G441" s="445">
        <v>36.19</v>
      </c>
      <c r="H441" s="446"/>
      <c r="I441" s="447"/>
      <c r="J441" s="99">
        <f>'BOLETIM DE MEDIÇÃO 10'!R110-'MEMORIAL DE CALCULO 09)'!K441</f>
        <v>0</v>
      </c>
      <c r="K441" s="81">
        <f>G441</f>
        <v>36.19</v>
      </c>
      <c r="L441" s="82">
        <f>J441+K441</f>
        <v>36.19</v>
      </c>
      <c r="M441" s="82">
        <f>'BOLETIM DE MEDIÇÃO 10'!G110</f>
        <v>36.19</v>
      </c>
      <c r="N441" s="86">
        <f t="shared" si="27"/>
        <v>0</v>
      </c>
    </row>
    <row r="442" spans="2:14" hidden="1" x14ac:dyDescent="0.25">
      <c r="B442" s="383"/>
      <c r="C442" s="384"/>
      <c r="D442" s="392" t="s">
        <v>1001</v>
      </c>
      <c r="E442" s="245"/>
      <c r="F442" s="312"/>
      <c r="G442" s="121"/>
      <c r="H442" s="70"/>
      <c r="I442" s="105"/>
      <c r="J442" s="99"/>
      <c r="K442" s="82"/>
      <c r="L442" s="82"/>
      <c r="M442" s="82"/>
      <c r="N442" s="86"/>
    </row>
    <row r="443" spans="2:14" hidden="1" x14ac:dyDescent="0.25">
      <c r="B443" s="346" t="s">
        <v>312</v>
      </c>
      <c r="C443" s="348" t="s">
        <v>313</v>
      </c>
      <c r="D443" s="53"/>
      <c r="E443" s="69"/>
      <c r="F443" s="312"/>
      <c r="G443" s="121"/>
      <c r="H443" s="70"/>
      <c r="I443" s="105"/>
      <c r="J443" s="99"/>
      <c r="K443" s="82"/>
      <c r="L443" s="82"/>
      <c r="M443" s="82"/>
      <c r="N443" s="86"/>
    </row>
    <row r="444" spans="2:14" ht="22.5" hidden="1" x14ac:dyDescent="0.25">
      <c r="B444" s="50" t="s">
        <v>314</v>
      </c>
      <c r="C444" s="66">
        <v>96620</v>
      </c>
      <c r="D444" s="53" t="s">
        <v>316</v>
      </c>
      <c r="E444" s="217" t="s">
        <v>41</v>
      </c>
      <c r="F444" s="312"/>
      <c r="G444" s="121"/>
      <c r="H444" s="70"/>
      <c r="I444" s="105"/>
      <c r="J444" s="99">
        <f>'BOLETIM DE MEDIÇÃO 10'!R119-'MEMORIAL DE CALCULO 09)'!K444</f>
        <v>10.199999999999999</v>
      </c>
      <c r="K444" s="81">
        <f>K445</f>
        <v>21.53</v>
      </c>
      <c r="L444" s="82">
        <f>J444+K444</f>
        <v>31.73</v>
      </c>
      <c r="M444" s="82">
        <f>'BOLETIM DE MEDIÇÃO 10'!G119</f>
        <v>35.340000000000003</v>
      </c>
      <c r="N444" s="86">
        <f>M444-L444</f>
        <v>3.610000000000003</v>
      </c>
    </row>
    <row r="445" spans="2:14" hidden="1" x14ac:dyDescent="0.25">
      <c r="B445" s="50"/>
      <c r="C445" s="66"/>
      <c r="D445" s="187" t="s">
        <v>994</v>
      </c>
      <c r="E445" s="69"/>
      <c r="F445" s="312"/>
      <c r="G445" s="445">
        <v>21.53</v>
      </c>
      <c r="H445" s="446"/>
      <c r="I445" s="447"/>
      <c r="J445" s="99"/>
      <c r="K445" s="82">
        <f>G445</f>
        <v>21.53</v>
      </c>
      <c r="L445" s="82"/>
      <c r="M445" s="82"/>
      <c r="N445" s="86"/>
    </row>
    <row r="446" spans="2:14" ht="67.5" hidden="1" x14ac:dyDescent="0.25">
      <c r="B446" s="383" t="s">
        <v>317</v>
      </c>
      <c r="C446" s="384">
        <v>94439</v>
      </c>
      <c r="D446" s="385" t="s">
        <v>319</v>
      </c>
      <c r="E446" s="277" t="s">
        <v>17</v>
      </c>
      <c r="F446" s="312"/>
      <c r="G446" s="121"/>
      <c r="H446" s="70"/>
      <c r="I446" s="105"/>
      <c r="J446" s="99">
        <f>'BOLETIM DE MEDIÇÃO 10'!R120</f>
        <v>116.27</v>
      </c>
      <c r="K446" s="81">
        <f>SUM(K447:K451)</f>
        <v>116.27</v>
      </c>
      <c r="L446" s="82">
        <f t="shared" ref="L446" si="28">J446+K446</f>
        <v>232.54</v>
      </c>
      <c r="M446" s="82">
        <f>'BOLETIM DE MEDIÇÃO 10'!G121</f>
        <v>634.5</v>
      </c>
      <c r="N446" s="86">
        <f>M446-L446</f>
        <v>401.96000000000004</v>
      </c>
    </row>
    <row r="447" spans="2:14" hidden="1" x14ac:dyDescent="0.25">
      <c r="B447" s="50"/>
      <c r="C447" s="66"/>
      <c r="D447" s="319" t="s">
        <v>846</v>
      </c>
      <c r="E447" s="69"/>
      <c r="F447" s="312">
        <v>1</v>
      </c>
      <c r="G447" s="445">
        <v>27</v>
      </c>
      <c r="H447" s="446"/>
      <c r="I447" s="447"/>
      <c r="J447" s="99"/>
      <c r="K447" s="82">
        <f>F447*G447</f>
        <v>27</v>
      </c>
      <c r="L447" s="82"/>
      <c r="M447" s="82"/>
      <c r="N447" s="86"/>
    </row>
    <row r="448" spans="2:14" hidden="1" x14ac:dyDescent="0.25">
      <c r="B448" s="50"/>
      <c r="C448" s="66"/>
      <c r="D448" s="319" t="s">
        <v>842</v>
      </c>
      <c r="E448" s="69"/>
      <c r="F448" s="312">
        <v>1</v>
      </c>
      <c r="G448" s="445">
        <v>26</v>
      </c>
      <c r="H448" s="446"/>
      <c r="I448" s="447"/>
      <c r="J448" s="99"/>
      <c r="K448" s="82">
        <f t="shared" ref="K448:K451" si="29">F448*G448</f>
        <v>26</v>
      </c>
      <c r="L448" s="82"/>
      <c r="M448" s="82"/>
      <c r="N448" s="86"/>
    </row>
    <row r="449" spans="2:14" hidden="1" x14ac:dyDescent="0.25">
      <c r="B449" s="50"/>
      <c r="C449" s="66"/>
      <c r="D449" s="319" t="s">
        <v>856</v>
      </c>
      <c r="E449" s="69"/>
      <c r="F449" s="312">
        <v>1</v>
      </c>
      <c r="G449" s="445">
        <v>30</v>
      </c>
      <c r="H449" s="446"/>
      <c r="I449" s="447"/>
      <c r="J449" s="99"/>
      <c r="K449" s="82">
        <f t="shared" si="29"/>
        <v>30</v>
      </c>
      <c r="L449" s="82"/>
      <c r="M449" s="82"/>
      <c r="N449" s="86"/>
    </row>
    <row r="450" spans="2:14" hidden="1" x14ac:dyDescent="0.25">
      <c r="B450" s="50"/>
      <c r="C450" s="66"/>
      <c r="D450" s="319" t="s">
        <v>981</v>
      </c>
      <c r="E450" s="69"/>
      <c r="F450" s="312">
        <v>1</v>
      </c>
      <c r="G450" s="445">
        <v>30</v>
      </c>
      <c r="H450" s="446"/>
      <c r="I450" s="447"/>
      <c r="J450" s="99"/>
      <c r="K450" s="82">
        <f t="shared" si="29"/>
        <v>30</v>
      </c>
      <c r="L450" s="82"/>
      <c r="M450" s="82"/>
      <c r="N450" s="86"/>
    </row>
    <row r="451" spans="2:14" hidden="1" x14ac:dyDescent="0.25">
      <c r="B451" s="50"/>
      <c r="C451" s="66"/>
      <c r="D451" s="319" t="s">
        <v>861</v>
      </c>
      <c r="E451" s="69"/>
      <c r="F451" s="312">
        <v>1</v>
      </c>
      <c r="G451" s="445">
        <v>3.27</v>
      </c>
      <c r="H451" s="446"/>
      <c r="I451" s="447"/>
      <c r="J451" s="99"/>
      <c r="K451" s="82">
        <f t="shared" si="29"/>
        <v>3.27</v>
      </c>
      <c r="L451" s="82"/>
      <c r="M451" s="82"/>
      <c r="N451" s="86"/>
    </row>
    <row r="452" spans="2:14" hidden="1" x14ac:dyDescent="0.25">
      <c r="B452" s="212">
        <v>1.1299999999999999</v>
      </c>
      <c r="C452" s="553" t="s">
        <v>368</v>
      </c>
      <c r="D452" s="554"/>
      <c r="E452" s="69"/>
      <c r="F452" s="312"/>
      <c r="G452" s="121"/>
      <c r="H452" s="70"/>
      <c r="I452" s="105"/>
      <c r="J452" s="99"/>
      <c r="K452" s="82"/>
      <c r="L452" s="82"/>
      <c r="M452" s="82"/>
      <c r="N452" s="86"/>
    </row>
    <row r="453" spans="2:14" ht="56.25" hidden="1" x14ac:dyDescent="0.25">
      <c r="B453" s="203" t="s">
        <v>369</v>
      </c>
      <c r="C453" s="211">
        <v>91785</v>
      </c>
      <c r="D453" s="205" t="s">
        <v>371</v>
      </c>
      <c r="E453" s="217" t="s">
        <v>37</v>
      </c>
      <c r="F453" s="312"/>
      <c r="G453" s="121"/>
      <c r="H453" s="70"/>
      <c r="I453" s="105"/>
      <c r="J453" s="99">
        <f>'BOLETIM DE MEDIÇÃO 10'!R138-'MEMORIAL DE CALCULO 09)'!K453</f>
        <v>0</v>
      </c>
      <c r="K453" s="81">
        <f>K454</f>
        <v>98.77</v>
      </c>
      <c r="L453" s="82">
        <f>J453+K453</f>
        <v>98.77</v>
      </c>
      <c r="M453" s="206">
        <v>98.77</v>
      </c>
      <c r="N453" s="86">
        <f t="shared" ref="N453:N510" si="30">M453-L453</f>
        <v>0</v>
      </c>
    </row>
    <row r="454" spans="2:14" hidden="1" x14ac:dyDescent="0.25">
      <c r="B454" s="203"/>
      <c r="C454" s="211"/>
      <c r="D454" s="376" t="s">
        <v>1004</v>
      </c>
      <c r="E454" s="217"/>
      <c r="F454" s="312">
        <v>1</v>
      </c>
      <c r="G454" s="445">
        <f>98.77</f>
        <v>98.77</v>
      </c>
      <c r="H454" s="446"/>
      <c r="I454" s="447"/>
      <c r="J454" s="99"/>
      <c r="K454" s="82">
        <f>G454</f>
        <v>98.77</v>
      </c>
      <c r="L454" s="82"/>
      <c r="M454" s="206"/>
      <c r="N454" s="86">
        <f t="shared" si="30"/>
        <v>0</v>
      </c>
    </row>
    <row r="455" spans="2:14" hidden="1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30"/>
        <v>0</v>
      </c>
    </row>
    <row r="456" spans="2:14" ht="56.25" hidden="1" x14ac:dyDescent="0.25">
      <c r="B456" s="203" t="s">
        <v>372</v>
      </c>
      <c r="C456" s="211">
        <v>91784</v>
      </c>
      <c r="D456" s="205" t="s">
        <v>374</v>
      </c>
      <c r="E456" s="217" t="s">
        <v>37</v>
      </c>
      <c r="F456" s="312"/>
      <c r="G456" s="121"/>
      <c r="H456" s="70"/>
      <c r="I456" s="105"/>
      <c r="J456" s="99">
        <f>'BOLETIM DE MEDIÇÃO 10'!R139-'MEMORIAL DE CALCULO 09)'!K456</f>
        <v>0</v>
      </c>
      <c r="K456" s="81">
        <f>K457</f>
        <v>62.17</v>
      </c>
      <c r="L456" s="82">
        <f t="shared" ref="L456:L515" si="31">J456+K456</f>
        <v>62.17</v>
      </c>
      <c r="M456" s="206">
        <v>62.17</v>
      </c>
      <c r="N456" s="86">
        <f t="shared" si="30"/>
        <v>0</v>
      </c>
    </row>
    <row r="457" spans="2:14" hidden="1" x14ac:dyDescent="0.25">
      <c r="B457" s="203"/>
      <c r="C457" s="211"/>
      <c r="D457" s="376" t="s">
        <v>1004</v>
      </c>
      <c r="E457" s="217"/>
      <c r="F457" s="312">
        <v>1</v>
      </c>
      <c r="G457" s="445">
        <f>62.17</f>
        <v>62.17</v>
      </c>
      <c r="H457" s="446"/>
      <c r="I457" s="447"/>
      <c r="J457" s="99"/>
      <c r="K457" s="82">
        <f>G457</f>
        <v>62.17</v>
      </c>
      <c r="L457" s="82"/>
      <c r="M457" s="206"/>
      <c r="N457" s="86">
        <f t="shared" si="30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30"/>
        <v>0</v>
      </c>
    </row>
    <row r="459" spans="2:14" ht="56.25" hidden="1" x14ac:dyDescent="0.25">
      <c r="B459" s="203" t="s">
        <v>375</v>
      </c>
      <c r="C459" s="211">
        <v>91786</v>
      </c>
      <c r="D459" s="205" t="s">
        <v>377</v>
      </c>
      <c r="E459" s="217" t="s">
        <v>37</v>
      </c>
      <c r="F459" s="312"/>
      <c r="G459" s="121"/>
      <c r="H459" s="70"/>
      <c r="I459" s="105"/>
      <c r="J459" s="99">
        <f>'BOLETIM DE MEDIÇÃO 10'!R140-'MEMORIAL DE CALCULO 09)'!K459</f>
        <v>-7.4249999999999998</v>
      </c>
      <c r="K459" s="81">
        <f>K460</f>
        <v>7.4249999999999998</v>
      </c>
      <c r="L459" s="82">
        <f t="shared" si="31"/>
        <v>0</v>
      </c>
      <c r="M459" s="206">
        <v>24.75</v>
      </c>
      <c r="N459" s="86">
        <f t="shared" si="30"/>
        <v>24.75</v>
      </c>
    </row>
    <row r="460" spans="2:14" hidden="1" x14ac:dyDescent="0.25">
      <c r="B460" s="203"/>
      <c r="C460" s="211"/>
      <c r="D460" s="376" t="s">
        <v>984</v>
      </c>
      <c r="E460" s="217"/>
      <c r="F460" s="312">
        <v>1</v>
      </c>
      <c r="G460" s="445">
        <f>0.3*24.75</f>
        <v>7.4249999999999998</v>
      </c>
      <c r="H460" s="446"/>
      <c r="I460" s="447"/>
      <c r="J460" s="99"/>
      <c r="K460" s="82">
        <f>G460</f>
        <v>7.4249999999999998</v>
      </c>
      <c r="L460" s="82"/>
      <c r="M460" s="206"/>
      <c r="N460" s="86">
        <f t="shared" si="30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30"/>
        <v>0</v>
      </c>
    </row>
    <row r="462" spans="2:14" ht="56.25" hidden="1" x14ac:dyDescent="0.25">
      <c r="B462" s="203" t="s">
        <v>378</v>
      </c>
      <c r="C462" s="211">
        <v>91787</v>
      </c>
      <c r="D462" s="205" t="s">
        <v>380</v>
      </c>
      <c r="E462" s="217" t="s">
        <v>37</v>
      </c>
      <c r="F462" s="312"/>
      <c r="G462" s="121"/>
      <c r="H462" s="70"/>
      <c r="I462" s="105"/>
      <c r="J462" s="99">
        <f>'BOLETIM DE MEDIÇÃO 10'!R141-'MEMORIAL DE CALCULO 09)'!K462</f>
        <v>-7.7759999999999998</v>
      </c>
      <c r="K462" s="81">
        <f>K463</f>
        <v>7.7759999999999998</v>
      </c>
      <c r="L462" s="82">
        <f t="shared" si="31"/>
        <v>0</v>
      </c>
      <c r="M462" s="206">
        <v>25.92</v>
      </c>
      <c r="N462" s="86">
        <f t="shared" si="30"/>
        <v>25.92</v>
      </c>
    </row>
    <row r="463" spans="2:14" hidden="1" x14ac:dyDescent="0.25">
      <c r="B463" s="203"/>
      <c r="C463" s="211"/>
      <c r="D463" s="376" t="s">
        <v>984</v>
      </c>
      <c r="E463" s="217"/>
      <c r="F463" s="312">
        <v>1</v>
      </c>
      <c r="G463" s="445">
        <f>0.3*25.92</f>
        <v>7.7759999999999998</v>
      </c>
      <c r="H463" s="446"/>
      <c r="I463" s="447"/>
      <c r="J463" s="99"/>
      <c r="K463" s="82">
        <f>G463</f>
        <v>7.7759999999999998</v>
      </c>
      <c r="L463" s="82"/>
      <c r="M463" s="206"/>
      <c r="N463" s="86">
        <f t="shared" si="30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30"/>
        <v>0</v>
      </c>
    </row>
    <row r="465" spans="2:14" ht="33.75" hidden="1" x14ac:dyDescent="0.25">
      <c r="B465" s="203" t="s">
        <v>381</v>
      </c>
      <c r="C465" s="211">
        <v>89987</v>
      </c>
      <c r="D465" s="205" t="s">
        <v>383</v>
      </c>
      <c r="E465" s="217" t="s">
        <v>166</v>
      </c>
      <c r="F465" s="312"/>
      <c r="G465" s="121"/>
      <c r="H465" s="70"/>
      <c r="I465" s="105"/>
      <c r="J465" s="99">
        <f>'BOLETIM DE MEDIÇÃO 10'!R142-'MEMORIAL DE CALCULO 09)'!K465</f>
        <v>-3</v>
      </c>
      <c r="K465" s="81">
        <f>K466</f>
        <v>3</v>
      </c>
      <c r="L465" s="82">
        <f t="shared" si="31"/>
        <v>0</v>
      </c>
      <c r="M465" s="206">
        <v>10</v>
      </c>
      <c r="N465" s="86">
        <f t="shared" si="30"/>
        <v>10</v>
      </c>
    </row>
    <row r="466" spans="2:14" hidden="1" x14ac:dyDescent="0.25">
      <c r="B466" s="203"/>
      <c r="C466" s="211"/>
      <c r="D466" s="376" t="s">
        <v>984</v>
      </c>
      <c r="E466" s="217"/>
      <c r="F466" s="312">
        <v>1</v>
      </c>
      <c r="G466" s="445">
        <f>0.3*10</f>
        <v>3</v>
      </c>
      <c r="H466" s="446"/>
      <c r="I466" s="447"/>
      <c r="J466" s="99"/>
      <c r="K466" s="82">
        <f>G466</f>
        <v>3</v>
      </c>
      <c r="L466" s="82"/>
      <c r="M466" s="206"/>
      <c r="N466" s="86">
        <f t="shared" si="30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30"/>
        <v>0</v>
      </c>
    </row>
    <row r="468" spans="2:14" ht="22.5" hidden="1" x14ac:dyDescent="0.25">
      <c r="B468" s="203" t="s">
        <v>384</v>
      </c>
      <c r="C468" s="211">
        <v>94490</v>
      </c>
      <c r="D468" s="205" t="s">
        <v>386</v>
      </c>
      <c r="E468" s="217" t="s">
        <v>166</v>
      </c>
      <c r="F468" s="312"/>
      <c r="G468" s="121"/>
      <c r="H468" s="70"/>
      <c r="I468" s="105"/>
      <c r="J468" s="99">
        <f>'BOLETIM DE MEDIÇÃO 10'!R143-'MEMORIAL DE CALCULO 09)'!K468</f>
        <v>-1</v>
      </c>
      <c r="K468" s="81">
        <f>K469</f>
        <v>1</v>
      </c>
      <c r="L468" s="82">
        <f t="shared" si="31"/>
        <v>0</v>
      </c>
      <c r="M468" s="206">
        <v>2</v>
      </c>
      <c r="N468" s="86">
        <f t="shared" si="30"/>
        <v>2</v>
      </c>
    </row>
    <row r="469" spans="2:14" hidden="1" x14ac:dyDescent="0.25">
      <c r="B469" s="203"/>
      <c r="C469" s="211"/>
      <c r="D469" s="376" t="s">
        <v>983</v>
      </c>
      <c r="E469" s="217"/>
      <c r="F469" s="312">
        <v>1</v>
      </c>
      <c r="G469" s="445">
        <v>1</v>
      </c>
      <c r="H469" s="446"/>
      <c r="I469" s="447"/>
      <c r="J469" s="99"/>
      <c r="K469" s="82">
        <v>1</v>
      </c>
      <c r="L469" s="82"/>
      <c r="M469" s="206"/>
      <c r="N469" s="86">
        <f t="shared" si="30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30"/>
        <v>0</v>
      </c>
    </row>
    <row r="471" spans="2:14" ht="33.75" hidden="1" x14ac:dyDescent="0.25">
      <c r="B471" s="203" t="s">
        <v>387</v>
      </c>
      <c r="C471" s="211">
        <v>89985</v>
      </c>
      <c r="D471" s="205" t="s">
        <v>389</v>
      </c>
      <c r="E471" s="217" t="s">
        <v>166</v>
      </c>
      <c r="F471" s="312"/>
      <c r="G471" s="121"/>
      <c r="H471" s="70"/>
      <c r="I471" s="105"/>
      <c r="J471" s="99">
        <f>'BOLETIM DE MEDIÇÃO 10'!R144-'MEMORIAL DE CALCULO 09)'!K471</f>
        <v>-3</v>
      </c>
      <c r="K471" s="81">
        <f>K472</f>
        <v>3</v>
      </c>
      <c r="L471" s="82">
        <f t="shared" si="31"/>
        <v>0</v>
      </c>
      <c r="M471" s="206">
        <v>6</v>
      </c>
      <c r="N471" s="86">
        <f t="shared" si="30"/>
        <v>6</v>
      </c>
    </row>
    <row r="472" spans="2:14" hidden="1" x14ac:dyDescent="0.25">
      <c r="B472" s="203"/>
      <c r="C472" s="211"/>
      <c r="D472" s="376" t="s">
        <v>983</v>
      </c>
      <c r="E472" s="217"/>
      <c r="F472" s="312">
        <v>1</v>
      </c>
      <c r="G472" s="445">
        <v>3</v>
      </c>
      <c r="H472" s="446"/>
      <c r="I472" s="447"/>
      <c r="J472" s="99"/>
      <c r="K472" s="82">
        <f>G472</f>
        <v>3</v>
      </c>
      <c r="L472" s="82"/>
      <c r="M472" s="206"/>
      <c r="N472" s="86">
        <f t="shared" si="30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30"/>
        <v>0</v>
      </c>
    </row>
    <row r="474" spans="2:14" ht="33.75" hidden="1" x14ac:dyDescent="0.25">
      <c r="B474" s="203" t="s">
        <v>390</v>
      </c>
      <c r="C474" s="211">
        <v>102613</v>
      </c>
      <c r="D474" s="205" t="s">
        <v>392</v>
      </c>
      <c r="E474" s="217" t="s">
        <v>166</v>
      </c>
      <c r="F474" s="312"/>
      <c r="G474" s="121"/>
      <c r="H474" s="70"/>
      <c r="I474" s="105"/>
      <c r="J474" s="99">
        <f>'BOLETIM DE MEDIÇÃO 10'!R145-'MEMORIAL DE CALCULO 09)'!K474</f>
        <v>0</v>
      </c>
      <c r="K474" s="82"/>
      <c r="L474" s="82">
        <f t="shared" si="31"/>
        <v>0</v>
      </c>
      <c r="M474" s="206">
        <v>2</v>
      </c>
      <c r="N474" s="86">
        <f t="shared" si="30"/>
        <v>2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30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30"/>
        <v>0</v>
      </c>
    </row>
    <row r="477" spans="2:14" ht="22.5" hidden="1" x14ac:dyDescent="0.25">
      <c r="B477" s="203" t="s">
        <v>393</v>
      </c>
      <c r="C477" s="211">
        <v>102609</v>
      </c>
      <c r="D477" s="205" t="s">
        <v>395</v>
      </c>
      <c r="E477" s="217" t="s">
        <v>166</v>
      </c>
      <c r="F477" s="312"/>
      <c r="G477" s="121"/>
      <c r="H477" s="70"/>
      <c r="I477" s="105"/>
      <c r="J477" s="99">
        <f>'BOLETIM DE MEDIÇÃO 10'!R146-'MEMORIAL DE CALCULO 09)'!K477</f>
        <v>0</v>
      </c>
      <c r="K477" s="82"/>
      <c r="L477" s="82">
        <f t="shared" si="31"/>
        <v>0</v>
      </c>
      <c r="M477" s="206">
        <v>2</v>
      </c>
      <c r="N477" s="86">
        <f t="shared" si="30"/>
        <v>2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30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30"/>
        <v>0</v>
      </c>
    </row>
    <row r="480" spans="2:14" ht="22.5" hidden="1" x14ac:dyDescent="0.25">
      <c r="B480" s="203" t="s">
        <v>396</v>
      </c>
      <c r="C480" s="211">
        <v>94796</v>
      </c>
      <c r="D480" s="205" t="s">
        <v>398</v>
      </c>
      <c r="E480" s="217" t="s">
        <v>166</v>
      </c>
      <c r="F480" s="312"/>
      <c r="G480" s="121"/>
      <c r="H480" s="70"/>
      <c r="I480" s="105"/>
      <c r="J480" s="99">
        <f>'BOLETIM DE MEDIÇÃO 10'!R147-'MEMORIAL DE CALCULO 09)'!K480</f>
        <v>0</v>
      </c>
      <c r="K480" s="82"/>
      <c r="L480" s="82">
        <f t="shared" si="31"/>
        <v>0</v>
      </c>
      <c r="M480" s="206">
        <v>4</v>
      </c>
      <c r="N480" s="86">
        <f t="shared" si="30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30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30"/>
        <v>0</v>
      </c>
    </row>
    <row r="483" spans="2:14" ht="22.5" hidden="1" x14ac:dyDescent="0.25">
      <c r="B483" s="203" t="s">
        <v>399</v>
      </c>
      <c r="C483" s="211">
        <v>94491</v>
      </c>
      <c r="D483" s="205" t="s">
        <v>401</v>
      </c>
      <c r="E483" s="217" t="s">
        <v>166</v>
      </c>
      <c r="F483" s="312"/>
      <c r="G483" s="121"/>
      <c r="H483" s="70"/>
      <c r="I483" s="105"/>
      <c r="J483" s="99">
        <f>'BOLETIM DE MEDIÇÃO 10'!R148-'MEMORIAL DE CALCULO 09)'!K483</f>
        <v>0</v>
      </c>
      <c r="K483" s="82"/>
      <c r="L483" s="82">
        <f t="shared" si="31"/>
        <v>0</v>
      </c>
      <c r="M483" s="206">
        <v>4</v>
      </c>
      <c r="N483" s="86">
        <f t="shared" si="30"/>
        <v>4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30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30"/>
        <v>0</v>
      </c>
    </row>
    <row r="486" spans="2:14" ht="22.5" hidden="1" x14ac:dyDescent="0.25">
      <c r="B486" s="203" t="s">
        <v>402</v>
      </c>
      <c r="C486" s="211">
        <v>94492</v>
      </c>
      <c r="D486" s="205" t="s">
        <v>404</v>
      </c>
      <c r="E486" s="217" t="s">
        <v>166</v>
      </c>
      <c r="F486" s="312"/>
      <c r="G486" s="121"/>
      <c r="H486" s="70"/>
      <c r="I486" s="105"/>
      <c r="J486" s="99">
        <f>'BOLETIM DE MEDIÇÃO 10'!R149-'MEMORIAL DE CALCULO 09)'!K486</f>
        <v>0</v>
      </c>
      <c r="K486" s="82"/>
      <c r="L486" s="82">
        <f t="shared" si="31"/>
        <v>0</v>
      </c>
      <c r="M486" s="206">
        <v>2</v>
      </c>
      <c r="N486" s="86">
        <f t="shared" si="30"/>
        <v>2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30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30"/>
        <v>0</v>
      </c>
    </row>
    <row r="489" spans="2:14" ht="22.5" hidden="1" x14ac:dyDescent="0.25">
      <c r="B489" s="203" t="s">
        <v>405</v>
      </c>
      <c r="C489" s="211">
        <v>95675</v>
      </c>
      <c r="D489" s="205" t="s">
        <v>407</v>
      </c>
      <c r="E489" s="217" t="s">
        <v>166</v>
      </c>
      <c r="F489" s="312"/>
      <c r="G489" s="121"/>
      <c r="H489" s="70"/>
      <c r="I489" s="105"/>
      <c r="J489" s="99">
        <f>'BOLETIM DE MEDIÇÃO 10'!R150-'MEMORIAL DE CALCULO 09)'!K489</f>
        <v>0</v>
      </c>
      <c r="K489" s="82"/>
      <c r="L489" s="82">
        <f t="shared" si="31"/>
        <v>0</v>
      </c>
      <c r="M489" s="206">
        <v>1</v>
      </c>
      <c r="N489" s="86">
        <f t="shared" si="30"/>
        <v>1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30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30"/>
        <v>0</v>
      </c>
    </row>
    <row r="492" spans="2:14" ht="45" hidden="1" x14ac:dyDescent="0.25">
      <c r="B492" s="203" t="s">
        <v>408</v>
      </c>
      <c r="C492" s="211">
        <v>97902</v>
      </c>
      <c r="D492" s="205" t="s">
        <v>410</v>
      </c>
      <c r="E492" s="217" t="s">
        <v>166</v>
      </c>
      <c r="F492" s="312"/>
      <c r="G492" s="121"/>
      <c r="H492" s="70"/>
      <c r="I492" s="105"/>
      <c r="J492" s="99">
        <f>'BOLETIM DE MEDIÇÃO 10'!R151-'MEMORIAL DE CALCULO 09)'!K492</f>
        <v>0</v>
      </c>
      <c r="K492" s="82"/>
      <c r="L492" s="82">
        <f t="shared" si="31"/>
        <v>0</v>
      </c>
      <c r="M492" s="206">
        <v>7</v>
      </c>
      <c r="N492" s="86">
        <f t="shared" si="30"/>
        <v>7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30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30"/>
        <v>0</v>
      </c>
    </row>
    <row r="495" spans="2:14" ht="45" hidden="1" x14ac:dyDescent="0.25">
      <c r="B495" s="203" t="s">
        <v>411</v>
      </c>
      <c r="C495" s="211">
        <v>99258</v>
      </c>
      <c r="D495" s="205" t="s">
        <v>413</v>
      </c>
      <c r="E495" s="217" t="s">
        <v>166</v>
      </c>
      <c r="F495" s="312"/>
      <c r="G495" s="121"/>
      <c r="H495" s="70"/>
      <c r="I495" s="105"/>
      <c r="J495" s="99">
        <f>'BOLETIM DE MEDIÇÃO 10'!R152-'MEMORIAL DE CALCULO 09)'!K495</f>
        <v>0</v>
      </c>
      <c r="K495" s="82"/>
      <c r="L495" s="82">
        <f t="shared" si="31"/>
        <v>0</v>
      </c>
      <c r="M495" s="206">
        <v>1</v>
      </c>
      <c r="N495" s="86">
        <f t="shared" si="30"/>
        <v>1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30"/>
        <v>0</v>
      </c>
    </row>
    <row r="497" spans="2:14" hidden="1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30"/>
        <v>0</v>
      </c>
    </row>
    <row r="498" spans="2:14" ht="33.75" hidden="1" x14ac:dyDescent="0.25">
      <c r="B498" s="203" t="s">
        <v>414</v>
      </c>
      <c r="C498" s="211">
        <v>89482</v>
      </c>
      <c r="D498" s="205" t="s">
        <v>416</v>
      </c>
      <c r="E498" s="217" t="s">
        <v>166</v>
      </c>
      <c r="F498" s="312"/>
      <c r="G498" s="121"/>
      <c r="H498" s="70"/>
      <c r="I498" s="105"/>
      <c r="J498" s="99">
        <f>'BOLETIM DE MEDIÇÃO 10'!R153-'MEMORIAL DE CALCULO 09)'!K498</f>
        <v>0</v>
      </c>
      <c r="K498" s="82"/>
      <c r="L498" s="82">
        <f t="shared" si="31"/>
        <v>0</v>
      </c>
      <c r="M498" s="206">
        <v>10</v>
      </c>
      <c r="N498" s="86">
        <f t="shared" si="30"/>
        <v>10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30"/>
        <v>0</v>
      </c>
    </row>
    <row r="500" spans="2:14" hidden="1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>
        <f t="shared" si="30"/>
        <v>0</v>
      </c>
    </row>
    <row r="501" spans="2:14" ht="56.25" hidden="1" x14ac:dyDescent="0.25">
      <c r="B501" s="203" t="s">
        <v>417</v>
      </c>
      <c r="C501" s="211">
        <v>91792</v>
      </c>
      <c r="D501" s="205" t="s">
        <v>419</v>
      </c>
      <c r="E501" s="217" t="s">
        <v>37</v>
      </c>
      <c r="F501" s="312"/>
      <c r="G501" s="121"/>
      <c r="H501" s="70"/>
      <c r="I501" s="105"/>
      <c r="J501" s="99">
        <f>'BOLETIM DE MEDIÇÃO 10'!R154-'MEMORIAL DE CALCULO 09)'!K501</f>
        <v>0</v>
      </c>
      <c r="K501" s="81">
        <f>K502</f>
        <v>38.85</v>
      </c>
      <c r="L501" s="82">
        <f t="shared" si="31"/>
        <v>38.85</v>
      </c>
      <c r="M501" s="206">
        <v>38.85</v>
      </c>
      <c r="N501" s="86">
        <f t="shared" si="30"/>
        <v>0</v>
      </c>
    </row>
    <row r="502" spans="2:14" hidden="1" x14ac:dyDescent="0.25">
      <c r="B502" s="203"/>
      <c r="C502" s="211"/>
      <c r="D502" s="376" t="s">
        <v>1004</v>
      </c>
      <c r="E502" s="217"/>
      <c r="F502" s="312">
        <v>1</v>
      </c>
      <c r="G502" s="445">
        <v>38.85</v>
      </c>
      <c r="H502" s="446"/>
      <c r="I502" s="447"/>
      <c r="J502" s="99"/>
      <c r="K502" s="82">
        <f>G502</f>
        <v>38.85</v>
      </c>
      <c r="L502" s="82"/>
      <c r="M502" s="206"/>
      <c r="N502" s="86"/>
    </row>
    <row r="503" spans="2:14" hidden="1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56.25" hidden="1" x14ac:dyDescent="0.25">
      <c r="B504" s="203" t="s">
        <v>420</v>
      </c>
      <c r="C504" s="211">
        <v>91793</v>
      </c>
      <c r="D504" s="205" t="s">
        <v>422</v>
      </c>
      <c r="E504" s="217" t="s">
        <v>37</v>
      </c>
      <c r="F504" s="312"/>
      <c r="G504" s="121"/>
      <c r="H504" s="70"/>
      <c r="I504" s="105"/>
      <c r="J504" s="99">
        <f>'BOLETIM DE MEDIÇÃO 10'!R155-'MEMORIAL DE CALCULO 09)'!K504</f>
        <v>0</v>
      </c>
      <c r="K504" s="81">
        <f>K505</f>
        <v>46.51</v>
      </c>
      <c r="L504" s="82">
        <f t="shared" si="31"/>
        <v>46.51</v>
      </c>
      <c r="M504" s="206">
        <v>46.51</v>
      </c>
      <c r="N504" s="86">
        <f t="shared" si="30"/>
        <v>0</v>
      </c>
    </row>
    <row r="505" spans="2:14" hidden="1" x14ac:dyDescent="0.25">
      <c r="B505" s="203"/>
      <c r="C505" s="211"/>
      <c r="D505" s="376" t="s">
        <v>1004</v>
      </c>
      <c r="E505" s="217"/>
      <c r="F505" s="312">
        <v>1</v>
      </c>
      <c r="G505" s="445">
        <v>46.51</v>
      </c>
      <c r="H505" s="446"/>
      <c r="I505" s="447"/>
      <c r="J505" s="99"/>
      <c r="K505" s="82">
        <f>G505</f>
        <v>46.51</v>
      </c>
      <c r="L505" s="82"/>
      <c r="M505" s="206"/>
      <c r="N505" s="86"/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/>
    </row>
    <row r="507" spans="2:14" ht="45" hidden="1" x14ac:dyDescent="0.25">
      <c r="B507" s="203" t="s">
        <v>423</v>
      </c>
      <c r="C507" s="211">
        <v>98107</v>
      </c>
      <c r="D507" s="205" t="s">
        <v>425</v>
      </c>
      <c r="E507" s="217" t="s">
        <v>166</v>
      </c>
      <c r="F507" s="312"/>
      <c r="G507" s="121"/>
      <c r="H507" s="70"/>
      <c r="I507" s="105"/>
      <c r="J507" s="99">
        <f>'BOLETIM DE MEDIÇÃO 10'!R156-'MEMORIAL DE CALCULO 09)'!K507</f>
        <v>0</v>
      </c>
      <c r="K507" s="82"/>
      <c r="L507" s="82">
        <f t="shared" si="31"/>
        <v>0</v>
      </c>
      <c r="M507" s="206">
        <v>1</v>
      </c>
      <c r="N507" s="86">
        <f t="shared" si="30"/>
        <v>1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30"/>
        <v>0</v>
      </c>
    </row>
    <row r="509" spans="2:14" hidden="1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>
        <f t="shared" si="30"/>
        <v>0</v>
      </c>
    </row>
    <row r="510" spans="2:14" ht="56.25" hidden="1" x14ac:dyDescent="0.25">
      <c r="B510" s="203" t="s">
        <v>426</v>
      </c>
      <c r="C510" s="211">
        <v>91795</v>
      </c>
      <c r="D510" s="205" t="s">
        <v>428</v>
      </c>
      <c r="E510" s="217" t="s">
        <v>37</v>
      </c>
      <c r="F510" s="312"/>
      <c r="G510" s="121"/>
      <c r="H510" s="70"/>
      <c r="I510" s="105"/>
      <c r="J510" s="99">
        <f>'BOLETIM DE MEDIÇÃO 10'!R157-'MEMORIAL DE CALCULO 09)'!K510</f>
        <v>6</v>
      </c>
      <c r="K510" s="81">
        <f>K511</f>
        <v>66.385000000000005</v>
      </c>
      <c r="L510" s="82">
        <f t="shared" si="31"/>
        <v>72.385000000000005</v>
      </c>
      <c r="M510" s="206">
        <v>132.77000000000001</v>
      </c>
      <c r="N510" s="86">
        <f t="shared" si="30"/>
        <v>60.385000000000005</v>
      </c>
    </row>
    <row r="511" spans="2:14" hidden="1" x14ac:dyDescent="0.25">
      <c r="B511" s="203"/>
      <c r="C511" s="211"/>
      <c r="D511" s="376" t="s">
        <v>983</v>
      </c>
      <c r="E511" s="217"/>
      <c r="F511" s="312">
        <v>1</v>
      </c>
      <c r="G511" s="445">
        <f>0.5*132.77</f>
        <v>66.385000000000005</v>
      </c>
      <c r="H511" s="446"/>
      <c r="I511" s="447"/>
      <c r="J511" s="99"/>
      <c r="K511" s="82">
        <f>G511</f>
        <v>66.385000000000005</v>
      </c>
      <c r="L511" s="82"/>
      <c r="M511" s="206"/>
      <c r="N511" s="86"/>
    </row>
    <row r="512" spans="2:14" ht="45" hidden="1" x14ac:dyDescent="0.25">
      <c r="B512" s="203" t="s">
        <v>429</v>
      </c>
      <c r="C512" s="211">
        <v>99251</v>
      </c>
      <c r="D512" s="215" t="s">
        <v>431</v>
      </c>
      <c r="E512" s="217" t="s">
        <v>166</v>
      </c>
      <c r="F512" s="312"/>
      <c r="G512" s="121"/>
      <c r="H512" s="70"/>
      <c r="I512" s="105"/>
      <c r="J512" s="99">
        <f>'BOLETIM DE MEDIÇÃO 10'!R158-'MEMORIAL DE CALCULO 09)'!K512</f>
        <v>0</v>
      </c>
      <c r="K512" s="82"/>
      <c r="L512" s="82">
        <f t="shared" si="31"/>
        <v>0</v>
      </c>
      <c r="M512" s="206">
        <v>2</v>
      </c>
      <c r="N512" s="86"/>
    </row>
    <row r="513" spans="2:14" hidden="1" x14ac:dyDescent="0.25">
      <c r="B513" s="203"/>
      <c r="C513" s="211"/>
      <c r="D513" s="215"/>
      <c r="E513" s="217"/>
      <c r="F513" s="312"/>
      <c r="G513" s="121"/>
      <c r="H513" s="70"/>
      <c r="I513" s="105"/>
      <c r="J513" s="99"/>
      <c r="K513" s="82"/>
      <c r="L513" s="82"/>
      <c r="M513" s="206"/>
      <c r="N513" s="86"/>
    </row>
    <row r="514" spans="2:14" hidden="1" x14ac:dyDescent="0.25">
      <c r="B514" s="203"/>
      <c r="C514" s="211"/>
      <c r="D514" s="215"/>
      <c r="E514" s="217"/>
      <c r="F514" s="312"/>
      <c r="G514" s="121"/>
      <c r="H514" s="70"/>
      <c r="I514" s="105"/>
      <c r="J514" s="99"/>
      <c r="K514" s="82"/>
      <c r="L514" s="82"/>
      <c r="M514" s="206"/>
      <c r="N514" s="86"/>
    </row>
    <row r="515" spans="2:14" ht="56.25" hidden="1" x14ac:dyDescent="0.25">
      <c r="B515" s="203" t="s">
        <v>432</v>
      </c>
      <c r="C515" s="211">
        <v>91790</v>
      </c>
      <c r="D515" s="215" t="s">
        <v>434</v>
      </c>
      <c r="E515" s="217" t="s">
        <v>37</v>
      </c>
      <c r="F515" s="312"/>
      <c r="G515" s="121"/>
      <c r="H515" s="70"/>
      <c r="I515" s="105"/>
      <c r="J515" s="99">
        <f>'BOLETIM DE MEDIÇÃO 10'!R159-'MEMORIAL DE CALCULO 09)'!K515</f>
        <v>-12.902999999999999</v>
      </c>
      <c r="K515" s="81">
        <f>K516</f>
        <v>12.902999999999999</v>
      </c>
      <c r="L515" s="82">
        <f t="shared" si="31"/>
        <v>0</v>
      </c>
      <c r="M515" s="206">
        <v>43.01</v>
      </c>
      <c r="N515" s="86"/>
    </row>
    <row r="516" spans="2:14" hidden="1" x14ac:dyDescent="0.25">
      <c r="B516" s="50"/>
      <c r="C516" s="66"/>
      <c r="D516" s="376" t="s">
        <v>984</v>
      </c>
      <c r="E516" s="69"/>
      <c r="F516" s="312">
        <v>1</v>
      </c>
      <c r="G516" s="445">
        <f>0.3*43.01</f>
        <v>12.902999999999999</v>
      </c>
      <c r="H516" s="446"/>
      <c r="I516" s="447"/>
      <c r="J516" s="99"/>
      <c r="K516" s="82">
        <f>G516</f>
        <v>12.902999999999999</v>
      </c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idden="1" x14ac:dyDescent="0.25">
      <c r="B544" s="50"/>
      <c r="C544" s="66"/>
      <c r="D544" s="53"/>
      <c r="E544" s="69"/>
      <c r="F544" s="312"/>
      <c r="G544" s="121"/>
      <c r="H544" s="70"/>
      <c r="I544" s="105"/>
      <c r="J544" s="99"/>
      <c r="K544" s="82"/>
      <c r="L544" s="82"/>
      <c r="M544" s="82"/>
      <c r="N544" s="86"/>
    </row>
    <row r="545" spans="1:14" hidden="1" x14ac:dyDescent="0.25">
      <c r="B545" s="50"/>
      <c r="C545" s="66"/>
      <c r="D545" s="53"/>
      <c r="E545" s="69"/>
      <c r="F545" s="312"/>
      <c r="G545" s="121"/>
      <c r="H545" s="70"/>
      <c r="I545" s="105"/>
      <c r="J545" s="99"/>
      <c r="K545" s="82"/>
      <c r="L545" s="82"/>
      <c r="M545" s="82"/>
      <c r="N545" s="86"/>
    </row>
    <row r="546" spans="1:14" ht="14.45" hidden="1" customHeight="1" x14ac:dyDescent="0.25">
      <c r="B546" s="51">
        <v>1.1499999999999999</v>
      </c>
      <c r="C546" s="65" t="s">
        <v>474</v>
      </c>
      <c r="D546" s="53"/>
      <c r="E546" s="44"/>
      <c r="F546" s="130"/>
      <c r="G546" s="446"/>
      <c r="H546" s="446"/>
      <c r="I546" s="447"/>
      <c r="J546" s="99"/>
      <c r="K546" s="81"/>
      <c r="L546" s="82"/>
      <c r="M546" s="82"/>
      <c r="N546" s="86"/>
    </row>
    <row r="547" spans="1:14" ht="56.25" hidden="1" x14ac:dyDescent="0.25">
      <c r="A547" s="79"/>
      <c r="B547" s="50" t="s">
        <v>495</v>
      </c>
      <c r="C547" s="66">
        <v>87548</v>
      </c>
      <c r="D547" s="53" t="s">
        <v>154</v>
      </c>
      <c r="E547" s="44" t="s">
        <v>17</v>
      </c>
      <c r="F547" s="259"/>
      <c r="G547" s="121"/>
      <c r="H547" s="70"/>
      <c r="I547" s="105"/>
      <c r="J547" s="99">
        <f>'BOLETIM DE MEDIÇÃO 05'!O190-'MEMORIAL DE CALCULO 09)'!K547</f>
        <v>6.2000000000011823E-2</v>
      </c>
      <c r="K547" s="350">
        <f>K548</f>
        <v>405.60400000000004</v>
      </c>
      <c r="L547" s="82">
        <f t="shared" ref="L547" si="32">J547+K547</f>
        <v>405.66600000000005</v>
      </c>
      <c r="M547" s="82">
        <f>'BOLETIM DE MEDIÇÃO 05'!G190</f>
        <v>811.27</v>
      </c>
      <c r="N547" s="86">
        <f t="shared" ref="N547" si="33">M547-L547</f>
        <v>405.60399999999993</v>
      </c>
    </row>
    <row r="548" spans="1:14" hidden="1" x14ac:dyDescent="0.25">
      <c r="A548" s="79"/>
      <c r="B548" s="50"/>
      <c r="C548" s="66"/>
      <c r="D548" s="344" t="s">
        <v>960</v>
      </c>
      <c r="E548" s="44"/>
      <c r="F548" s="130">
        <v>2</v>
      </c>
      <c r="G548" s="445">
        <f>65.42</f>
        <v>65.42</v>
      </c>
      <c r="H548" s="448"/>
      <c r="I548" s="105">
        <v>3.1</v>
      </c>
      <c r="J548" s="99"/>
      <c r="K548" s="350">
        <f>F548*G548*I548</f>
        <v>405.60400000000004</v>
      </c>
      <c r="L548" s="82"/>
      <c r="M548" s="82"/>
      <c r="N548" s="86"/>
    </row>
    <row r="549" spans="1:14" ht="14.45" hidden="1" customHeight="1" x14ac:dyDescent="0.25">
      <c r="A549" s="79"/>
      <c r="B549" s="266"/>
      <c r="C549" s="266"/>
      <c r="D549" s="255"/>
      <c r="E549" s="238"/>
      <c r="F549" s="261"/>
      <c r="G549" s="272"/>
      <c r="H549" s="273"/>
      <c r="I549" s="274"/>
      <c r="J549" s="255"/>
      <c r="K549" s="238"/>
      <c r="L549" s="238"/>
      <c r="M549" s="238"/>
      <c r="N549" s="258"/>
    </row>
    <row r="552" spans="1:14" ht="69.599999999999994" hidden="1" customHeight="1" x14ac:dyDescent="0.25">
      <c r="D552" s="278" t="s">
        <v>832</v>
      </c>
      <c r="E552" s="277" t="s">
        <v>41</v>
      </c>
      <c r="F552" s="279"/>
      <c r="G552" s="523" t="s">
        <v>836</v>
      </c>
      <c r="H552" s="524"/>
      <c r="I552" s="525"/>
      <c r="J552" s="279"/>
      <c r="K552" s="280">
        <f>SUM(K555:K559)</f>
        <v>16.472439999999999</v>
      </c>
      <c r="M552" s="282"/>
    </row>
    <row r="553" spans="1:14" ht="14.45" hidden="1" customHeight="1" x14ac:dyDescent="0.25">
      <c r="D553" s="239"/>
      <c r="E553" s="239"/>
      <c r="F553" s="239"/>
      <c r="G553" s="239"/>
      <c r="H553" s="239"/>
      <c r="I553" s="239"/>
      <c r="J553" s="239"/>
      <c r="K553" s="239"/>
    </row>
    <row r="554" spans="1:14" ht="36.6" hidden="1" customHeight="1" x14ac:dyDescent="0.25">
      <c r="D554" s="281"/>
      <c r="E554" s="239"/>
      <c r="F554" s="275" t="s">
        <v>556</v>
      </c>
      <c r="G554" s="276" t="s">
        <v>833</v>
      </c>
      <c r="H554" s="276" t="s">
        <v>834</v>
      </c>
      <c r="I554" s="276" t="s">
        <v>835</v>
      </c>
      <c r="J554" s="239"/>
      <c r="K554" s="239"/>
    </row>
    <row r="555" spans="1:14" ht="14.45" hidden="1" customHeight="1" x14ac:dyDescent="0.25">
      <c r="D555" s="288" t="s">
        <v>879</v>
      </c>
      <c r="E555" s="239"/>
      <c r="F555" s="245">
        <v>1</v>
      </c>
      <c r="G555" s="245">
        <v>12.5</v>
      </c>
      <c r="H555" s="245">
        <v>0.1</v>
      </c>
      <c r="I555" s="245">
        <v>0.36</v>
      </c>
      <c r="J555" s="277"/>
      <c r="K555" s="245">
        <f>((I555+H555/2)*G555)*0.2</f>
        <v>1.0250000000000001</v>
      </c>
    </row>
    <row r="556" spans="1:14" ht="20.45" hidden="1" customHeight="1" x14ac:dyDescent="0.25">
      <c r="D556" s="288" t="s">
        <v>876</v>
      </c>
      <c r="E556" s="239"/>
      <c r="F556" s="245">
        <v>1</v>
      </c>
      <c r="G556" s="245">
        <v>11.67</v>
      </c>
      <c r="H556" s="245">
        <v>0.36</v>
      </c>
      <c r="I556" s="245">
        <v>0.53</v>
      </c>
      <c r="J556" s="277"/>
      <c r="K556" s="245">
        <f t="shared" ref="K556:K559" si="34">((I556+H556/2)*G556)*0.2</f>
        <v>1.6571400000000001</v>
      </c>
    </row>
    <row r="557" spans="1:14" ht="20.45" hidden="1" customHeight="1" x14ac:dyDescent="0.25">
      <c r="D557" s="288" t="s">
        <v>880</v>
      </c>
      <c r="E557" s="239"/>
      <c r="F557" s="245">
        <v>1</v>
      </c>
      <c r="G557" s="245">
        <v>27.1</v>
      </c>
      <c r="H557" s="245">
        <v>0.53</v>
      </c>
      <c r="I557" s="245">
        <v>0.74</v>
      </c>
      <c r="J557" s="277"/>
      <c r="K557" s="245">
        <f t="shared" si="34"/>
        <v>5.4470999999999998</v>
      </c>
    </row>
    <row r="558" spans="1:14" ht="30.6" hidden="1" customHeight="1" x14ac:dyDescent="0.25">
      <c r="D558" s="288" t="s">
        <v>881</v>
      </c>
      <c r="E558" s="239"/>
      <c r="F558" s="245">
        <v>1</v>
      </c>
      <c r="G558" s="245">
        <v>33.9</v>
      </c>
      <c r="H558" s="245">
        <v>0.74</v>
      </c>
      <c r="I558" s="245">
        <v>0.61</v>
      </c>
      <c r="J558" s="277"/>
      <c r="K558" s="245">
        <f t="shared" si="34"/>
        <v>6.644400000000001</v>
      </c>
    </row>
    <row r="559" spans="1:14" ht="20.45" hidden="1" customHeight="1" x14ac:dyDescent="0.25">
      <c r="D559" s="288" t="s">
        <v>882</v>
      </c>
      <c r="E559" s="239"/>
      <c r="F559" s="245">
        <v>1</v>
      </c>
      <c r="G559" s="245">
        <v>12.4</v>
      </c>
      <c r="H559" s="245">
        <v>0.61</v>
      </c>
      <c r="I559" s="245">
        <v>0.38</v>
      </c>
      <c r="J559" s="277"/>
      <c r="K559" s="245">
        <f t="shared" si="34"/>
        <v>1.6988000000000003</v>
      </c>
    </row>
    <row r="562" spans="7:7" x14ac:dyDescent="0.25">
      <c r="G562" s="330"/>
    </row>
  </sheetData>
  <mergeCells count="288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7:I397"/>
    <mergeCell ref="G399:I399"/>
    <mergeCell ref="G403:I403"/>
    <mergeCell ref="G405:I405"/>
    <mergeCell ref="G407:I407"/>
    <mergeCell ref="G379:H379"/>
    <mergeCell ref="G380:H380"/>
    <mergeCell ref="G387:I387"/>
    <mergeCell ref="G390:I390"/>
    <mergeCell ref="G393:I393"/>
    <mergeCell ref="G395:I395"/>
    <mergeCell ref="G385:I385"/>
    <mergeCell ref="G388:I388"/>
    <mergeCell ref="G391:I391"/>
    <mergeCell ref="G401:I401"/>
    <mergeCell ref="G422:I422"/>
    <mergeCell ref="G425:I425"/>
    <mergeCell ref="G429:I429"/>
    <mergeCell ref="G437:I437"/>
    <mergeCell ref="G439:I439"/>
    <mergeCell ref="G441:I441"/>
    <mergeCell ref="G409:I409"/>
    <mergeCell ref="G411:I411"/>
    <mergeCell ref="G413:I413"/>
    <mergeCell ref="G415:I415"/>
    <mergeCell ref="G419:I419"/>
    <mergeCell ref="G431:I431"/>
    <mergeCell ref="C452:D452"/>
    <mergeCell ref="G454:I454"/>
    <mergeCell ref="G457:I457"/>
    <mergeCell ref="G460:I460"/>
    <mergeCell ref="G463:I463"/>
    <mergeCell ref="G466:I466"/>
    <mergeCell ref="G445:I445"/>
    <mergeCell ref="G447:I447"/>
    <mergeCell ref="G448:I448"/>
    <mergeCell ref="G449:I449"/>
    <mergeCell ref="G450:I450"/>
    <mergeCell ref="G451:I451"/>
    <mergeCell ref="G546:I546"/>
    <mergeCell ref="G548:H548"/>
    <mergeCell ref="G552:I552"/>
    <mergeCell ref="G469:I469"/>
    <mergeCell ref="G472:I472"/>
    <mergeCell ref="G502:I502"/>
    <mergeCell ref="G505:I505"/>
    <mergeCell ref="G511:I511"/>
    <mergeCell ref="G516:I516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topLeftCell="A6" zoomScaleNormal="100" workbookViewId="0">
      <selection activeCell="G403" sqref="G403:I403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60" t="s">
        <v>993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479">
        <f>'BOLETIM DE MEDIÇÃO 05'!H8</f>
        <v>274592.67562904983</v>
      </c>
      <c r="I8" s="480"/>
      <c r="J8" s="481" t="s">
        <v>987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8">((0.15+0.3)*2*1)</f>
        <v>0.89999999999999991</v>
      </c>
      <c r="H378" s="48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1" t="s">
        <v>97</v>
      </c>
      <c r="E384" s="242" t="s">
        <v>17</v>
      </c>
      <c r="F384" s="243"/>
      <c r="G384" s="244"/>
      <c r="H384" s="402"/>
      <c r="I384" s="246"/>
      <c r="J384" s="249">
        <f>'BOLETIM DE MEDIÇÃO 10'!R41-'MEMORIAL DE CALCULO 08'!K384</f>
        <v>407.0752</v>
      </c>
      <c r="K384" s="250">
        <f>K385</f>
        <v>32.743000000000002</v>
      </c>
      <c r="L384" s="251">
        <f t="shared" si="0"/>
        <v>439.81819999999999</v>
      </c>
      <c r="M384" s="251">
        <f>'BOLETIM DE MEDIÇÃO 05'!G41</f>
        <v>435.33</v>
      </c>
      <c r="N384" s="252">
        <f t="shared" si="1"/>
        <v>-4.4882000000000062</v>
      </c>
    </row>
    <row r="385" spans="2:15" ht="18" customHeight="1" x14ac:dyDescent="0.25">
      <c r="B385" s="247"/>
      <c r="C385" s="403"/>
      <c r="D385" s="404" t="s">
        <v>1003</v>
      </c>
      <c r="E385" s="242"/>
      <c r="F385" s="243">
        <v>1</v>
      </c>
      <c r="G385" s="497">
        <f>0.1*327.43</f>
        <v>32.743000000000002</v>
      </c>
      <c r="H385" s="555"/>
      <c r="I385" s="544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1" t="s">
        <v>100</v>
      </c>
      <c r="E386" s="242"/>
      <c r="F386" s="243"/>
      <c r="G386" s="393"/>
      <c r="H386" s="242"/>
      <c r="I386" s="405"/>
      <c r="J386" s="249">
        <f>'BOLETIM DE MEDIÇÃO 10'!R42-'MEMORIAL DE CALCULO 08'!K386</f>
        <v>77.640950000000004</v>
      </c>
      <c r="K386" s="250">
        <f>K387</f>
        <v>53.183999999999997</v>
      </c>
      <c r="L386" s="251">
        <f>J386+K386</f>
        <v>130.82495</v>
      </c>
      <c r="M386" s="251">
        <f>'BOLETIM DE MEDIÇÃO 10'!G42</f>
        <v>130.82</v>
      </c>
      <c r="N386" s="252">
        <f>M386-L386</f>
        <v>-4.9500000000080036E-3</v>
      </c>
    </row>
    <row r="387" spans="2:15" ht="18" customHeight="1" x14ac:dyDescent="0.25">
      <c r="B387" s="247"/>
      <c r="C387" s="403"/>
      <c r="D387" s="404" t="s">
        <v>1005</v>
      </c>
      <c r="E387" s="242"/>
      <c r="F387" s="243">
        <v>1</v>
      </c>
      <c r="G387" s="497">
        <f>0.6*88.64</f>
        <v>53.183999999999997</v>
      </c>
      <c r="H387" s="556"/>
      <c r="I387" s="544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2" t="s">
        <v>101</v>
      </c>
      <c r="C388" s="363">
        <v>92759</v>
      </c>
      <c r="D388" s="400" t="s">
        <v>103</v>
      </c>
      <c r="E388" s="365" t="s">
        <v>62</v>
      </c>
      <c r="F388" s="366"/>
      <c r="G388" s="396"/>
      <c r="H388" s="365"/>
      <c r="I388" s="371"/>
      <c r="J388" s="367">
        <f>'BOLETIM DE MEDIÇÃO 05'!O43-'MEMORIAL DE CALCULO 08'!K388</f>
        <v>468.20000000000005</v>
      </c>
      <c r="K388" s="368">
        <f>K389</f>
        <v>214.5</v>
      </c>
      <c r="L388" s="368">
        <f t="shared" si="0"/>
        <v>682.7</v>
      </c>
      <c r="M388" s="368">
        <f>'BOLETIM DE MEDIÇÃO 05'!G43</f>
        <v>1027.8</v>
      </c>
      <c r="N388" s="369">
        <f t="shared" si="1"/>
        <v>345.09999999999991</v>
      </c>
      <c r="O388" s="370"/>
    </row>
    <row r="389" spans="2:15" ht="19.899999999999999" hidden="1" customHeight="1" x14ac:dyDescent="0.25">
      <c r="B389" s="362"/>
      <c r="C389" s="363"/>
      <c r="D389" s="364" t="s">
        <v>968</v>
      </c>
      <c r="E389" s="365"/>
      <c r="F389" s="366">
        <v>1</v>
      </c>
      <c r="G389" s="531">
        <f>0.6*357.5</f>
        <v>214.5</v>
      </c>
      <c r="H389" s="532"/>
      <c r="I389" s="533"/>
      <c r="J389" s="367"/>
      <c r="K389" s="368">
        <f>F389*G389</f>
        <v>214.5</v>
      </c>
      <c r="L389" s="368"/>
      <c r="M389" s="368"/>
      <c r="N389" s="369"/>
      <c r="O389" s="370"/>
    </row>
    <row r="390" spans="2:15" ht="33.6" hidden="1" customHeight="1" x14ac:dyDescent="0.25">
      <c r="B390" s="362" t="s">
        <v>104</v>
      </c>
      <c r="C390" s="363">
        <v>92760</v>
      </c>
      <c r="D390" s="400" t="s">
        <v>106</v>
      </c>
      <c r="E390" s="365" t="s">
        <v>62</v>
      </c>
      <c r="F390" s="366"/>
      <c r="G390" s="396"/>
      <c r="H390" s="365"/>
      <c r="I390" s="371"/>
      <c r="J390" s="367">
        <f>'BOLETIM DE MEDIÇÃO 05'!O44-'MEMORIAL DE CALCULO 08'!K390</f>
        <v>7.82</v>
      </c>
      <c r="K390" s="368">
        <f>K391</f>
        <v>15.64</v>
      </c>
      <c r="L390" s="368">
        <f t="shared" ref="L390" si="19">J390+K390</f>
        <v>23.46</v>
      </c>
      <c r="M390" s="368">
        <f>'BOLETIM DE MEDIÇÃO 05'!G44</f>
        <v>39.1</v>
      </c>
      <c r="N390" s="369">
        <f t="shared" ref="N390" si="20">M390-L390</f>
        <v>15.64</v>
      </c>
      <c r="O390" s="370"/>
    </row>
    <row r="391" spans="2:15" ht="22.9" hidden="1" customHeight="1" x14ac:dyDescent="0.25">
      <c r="B391" s="362"/>
      <c r="C391" s="363"/>
      <c r="D391" s="364" t="s">
        <v>964</v>
      </c>
      <c r="E391" s="365"/>
      <c r="F391" s="366">
        <v>1</v>
      </c>
      <c r="G391" s="557">
        <f>0.4*39.1</f>
        <v>15.64</v>
      </c>
      <c r="H391" s="558"/>
      <c r="I391" s="559"/>
      <c r="J391" s="367"/>
      <c r="K391" s="368">
        <f>F391*G391</f>
        <v>15.64</v>
      </c>
      <c r="L391" s="368"/>
      <c r="M391" s="368"/>
      <c r="N391" s="369"/>
      <c r="O391" s="370"/>
    </row>
    <row r="392" spans="2:15" ht="30.6" hidden="1" customHeight="1" x14ac:dyDescent="0.25">
      <c r="B392" s="362" t="s">
        <v>107</v>
      </c>
      <c r="C392" s="363">
        <v>92761</v>
      </c>
      <c r="D392" s="400" t="s">
        <v>109</v>
      </c>
      <c r="E392" s="365" t="s">
        <v>62</v>
      </c>
      <c r="F392" s="366"/>
      <c r="G392" s="396"/>
      <c r="H392" s="365"/>
      <c r="I392" s="371"/>
      <c r="J392" s="367">
        <f>'BOLETIM DE MEDIÇÃO 05'!O45-'MEMORIAL DE CALCULO 08'!K392</f>
        <v>0</v>
      </c>
      <c r="K392" s="368">
        <f>K393</f>
        <v>415.67999999999995</v>
      </c>
      <c r="L392" s="368">
        <f t="shared" si="0"/>
        <v>415.67999999999995</v>
      </c>
      <c r="M392" s="368">
        <f>'BOLETIM DE MEDIÇÃO 05'!G45</f>
        <v>1000</v>
      </c>
      <c r="N392" s="369">
        <f t="shared" si="1"/>
        <v>584.32000000000005</v>
      </c>
      <c r="O392" s="370"/>
    </row>
    <row r="393" spans="2:15" s="370" customFormat="1" ht="22.9" hidden="1" customHeight="1" x14ac:dyDescent="0.25">
      <c r="B393" s="362"/>
      <c r="C393" s="363"/>
      <c r="D393" s="364" t="s">
        <v>953</v>
      </c>
      <c r="E393" s="365"/>
      <c r="F393" s="366">
        <v>1</v>
      </c>
      <c r="G393" s="531">
        <f>0.6* 692.8</f>
        <v>415.67999999999995</v>
      </c>
      <c r="H393" s="532"/>
      <c r="I393" s="533"/>
      <c r="J393" s="367"/>
      <c r="K393" s="368">
        <f>F393*G393</f>
        <v>415.67999999999995</v>
      </c>
      <c r="L393" s="368"/>
      <c r="M393" s="368"/>
      <c r="N393" s="369"/>
    </row>
    <row r="394" spans="2:15" ht="30.6" hidden="1" customHeight="1" x14ac:dyDescent="0.25">
      <c r="B394" s="362" t="s">
        <v>110</v>
      </c>
      <c r="C394" s="363">
        <v>92762</v>
      </c>
      <c r="D394" s="400" t="s">
        <v>112</v>
      </c>
      <c r="E394" s="365" t="s">
        <v>62</v>
      </c>
      <c r="F394" s="366"/>
      <c r="G394" s="396"/>
      <c r="H394" s="365"/>
      <c r="I394" s="371"/>
      <c r="J394" s="367">
        <f>'BOLETIM DE MEDIÇÃO 05'!O46-'MEMORIAL DE CALCULO 08'!K394</f>
        <v>1180.4000000000001</v>
      </c>
      <c r="K394" s="368">
        <f>K395</f>
        <v>57</v>
      </c>
      <c r="L394" s="368">
        <f t="shared" si="0"/>
        <v>1237.4000000000001</v>
      </c>
      <c r="M394" s="368">
        <f>'BOLETIM DE MEDIÇÃO 05'!G46</f>
        <v>1306.0999999999999</v>
      </c>
      <c r="N394" s="369">
        <f t="shared" si="1"/>
        <v>68.699999999999818</v>
      </c>
      <c r="O394" s="370"/>
    </row>
    <row r="395" spans="2:15" s="370" customFormat="1" ht="19.899999999999999" hidden="1" customHeight="1" x14ac:dyDescent="0.25">
      <c r="B395" s="362"/>
      <c r="C395" s="363"/>
      <c r="D395" s="364" t="s">
        <v>953</v>
      </c>
      <c r="E395" s="365"/>
      <c r="F395" s="371">
        <v>1</v>
      </c>
      <c r="G395" s="531">
        <f>0.6* 95</f>
        <v>57</v>
      </c>
      <c r="H395" s="532"/>
      <c r="I395" s="533"/>
      <c r="J395" s="367"/>
      <c r="K395" s="368">
        <f>F395*G395</f>
        <v>57</v>
      </c>
      <c r="L395" s="368"/>
      <c r="M395" s="368"/>
      <c r="N395" s="369"/>
    </row>
    <row r="396" spans="2:15" ht="33.75" hidden="1" x14ac:dyDescent="0.25">
      <c r="B396" s="362" t="s">
        <v>116</v>
      </c>
      <c r="C396" s="363">
        <v>92768</v>
      </c>
      <c r="D396" s="400" t="s">
        <v>118</v>
      </c>
      <c r="E396" s="365" t="s">
        <v>62</v>
      </c>
      <c r="F396" s="371"/>
      <c r="G396" s="367"/>
      <c r="H396" s="365"/>
      <c r="I396" s="371"/>
      <c r="J396" s="367">
        <f>'BOLETIM DE MEDIÇÃO 10'!R48-'MEMORIAL DE CALCULO 08'!K396</f>
        <v>177.17999999999998</v>
      </c>
      <c r="K396" s="398">
        <f>K397</f>
        <v>28.2</v>
      </c>
      <c r="L396" s="368">
        <f t="shared" si="0"/>
        <v>205.37999999999997</v>
      </c>
      <c r="M396" s="368">
        <f>'BOLETIM DE MEDIÇÃO 05'!G48</f>
        <v>158.69999999999999</v>
      </c>
      <c r="N396" s="369">
        <f t="shared" si="1"/>
        <v>-46.679999999999978</v>
      </c>
      <c r="O396" s="370"/>
    </row>
    <row r="397" spans="2:15" hidden="1" x14ac:dyDescent="0.25">
      <c r="B397" s="362"/>
      <c r="C397" s="363"/>
      <c r="D397" s="399" t="s">
        <v>969</v>
      </c>
      <c r="E397" s="365"/>
      <c r="F397" s="371">
        <v>1</v>
      </c>
      <c r="G397" s="531">
        <v>28.2</v>
      </c>
      <c r="H397" s="532"/>
      <c r="I397" s="533"/>
      <c r="J397" s="367"/>
      <c r="K397" s="368">
        <f>F397*G397</f>
        <v>28.2</v>
      </c>
      <c r="L397" s="368"/>
      <c r="M397" s="368"/>
      <c r="N397" s="369"/>
      <c r="O397" s="370"/>
    </row>
    <row r="398" spans="2:15" ht="33.75" hidden="1" x14ac:dyDescent="0.25">
      <c r="B398" s="362" t="s">
        <v>119</v>
      </c>
      <c r="C398" s="363">
        <v>92769</v>
      </c>
      <c r="D398" s="400" t="s">
        <v>121</v>
      </c>
      <c r="E398" s="365" t="s">
        <v>62</v>
      </c>
      <c r="F398" s="371"/>
      <c r="G398" s="367"/>
      <c r="H398" s="365"/>
      <c r="I398" s="371"/>
      <c r="J398" s="367">
        <f>'BOLETIM DE MEDIÇÃO 10'!R49-'MEMORIAL DE CALCULO 08'!K398</f>
        <v>165.8322</v>
      </c>
      <c r="K398" s="398">
        <f>K399</f>
        <v>12.9</v>
      </c>
      <c r="L398" s="368">
        <f t="shared" si="0"/>
        <v>178.73220000000001</v>
      </c>
      <c r="M398" s="368">
        <f>'BOLETIM DE MEDIÇÃO 05'!G49</f>
        <v>170.5</v>
      </c>
      <c r="N398" s="369">
        <f t="shared" si="1"/>
        <v>-8.232200000000006</v>
      </c>
      <c r="O398" s="370"/>
    </row>
    <row r="399" spans="2:15" hidden="1" x14ac:dyDescent="0.25">
      <c r="B399" s="362"/>
      <c r="C399" s="363"/>
      <c r="D399" s="399" t="s">
        <v>969</v>
      </c>
      <c r="E399" s="365"/>
      <c r="F399" s="371">
        <v>1</v>
      </c>
      <c r="G399" s="531">
        <v>12.9</v>
      </c>
      <c r="H399" s="532"/>
      <c r="I399" s="533"/>
      <c r="J399" s="367"/>
      <c r="K399" s="368">
        <f>F399*G399</f>
        <v>12.9</v>
      </c>
      <c r="L399" s="368"/>
      <c r="M399" s="368"/>
      <c r="N399" s="369"/>
      <c r="O399" s="370"/>
    </row>
    <row r="400" spans="2:15" ht="33.75" hidden="1" x14ac:dyDescent="0.25">
      <c r="B400" s="362" t="s">
        <v>122</v>
      </c>
      <c r="C400" s="363">
        <v>92770</v>
      </c>
      <c r="D400" s="400" t="s">
        <v>124</v>
      </c>
      <c r="E400" s="365" t="s">
        <v>62</v>
      </c>
      <c r="F400" s="371"/>
      <c r="G400" s="367"/>
      <c r="H400" s="365"/>
      <c r="I400" s="371"/>
      <c r="J400" s="367">
        <f>'BOLETIM DE MEDIÇÃO 10'!R50-'MEMORIAL DE CALCULO 08'!K400</f>
        <v>259.0009</v>
      </c>
      <c r="K400" s="398">
        <f>K401</f>
        <v>20.100000000000001</v>
      </c>
      <c r="L400" s="368">
        <f t="shared" si="0"/>
        <v>279.10090000000002</v>
      </c>
      <c r="M400" s="368">
        <f>'BOLETIM DE MEDIÇÃO 05'!G50</f>
        <v>279.10000000000002</v>
      </c>
      <c r="N400" s="369">
        <f t="shared" si="1"/>
        <v>-9.0000000000145519E-4</v>
      </c>
      <c r="O400" s="370"/>
    </row>
    <row r="401" spans="2:15" ht="18" hidden="1" customHeight="1" x14ac:dyDescent="0.25">
      <c r="B401" s="362"/>
      <c r="C401" s="363"/>
      <c r="D401" s="399" t="s">
        <v>969</v>
      </c>
      <c r="E401" s="365"/>
      <c r="F401" s="371">
        <v>1</v>
      </c>
      <c r="G401" s="531">
        <v>20.100000000000001</v>
      </c>
      <c r="H401" s="532"/>
      <c r="I401" s="533"/>
      <c r="J401" s="367"/>
      <c r="K401" s="368">
        <f>F401*G401</f>
        <v>20.100000000000001</v>
      </c>
      <c r="L401" s="368"/>
      <c r="M401" s="368"/>
      <c r="N401" s="369"/>
      <c r="O401" s="370"/>
    </row>
    <row r="402" spans="2:15" ht="33.75" x14ac:dyDescent="0.25">
      <c r="B402" s="247" t="s">
        <v>125</v>
      </c>
      <c r="C402" s="248">
        <v>94966</v>
      </c>
      <c r="D402" s="406" t="s">
        <v>65</v>
      </c>
      <c r="E402" s="242" t="s">
        <v>41</v>
      </c>
      <c r="F402" s="246"/>
      <c r="G402" s="249"/>
      <c r="H402" s="242"/>
      <c r="I402" s="246"/>
      <c r="J402" s="249">
        <f>'BOLETIM DE MEDIÇÃO 10'!R51-'MEMORIAL DE CALCULO 08'!K402</f>
        <v>73.77845499999998</v>
      </c>
      <c r="K402" s="250">
        <f>SUM(K403:K404)</f>
        <v>7.87</v>
      </c>
      <c r="L402" s="251">
        <f t="shared" si="0"/>
        <v>81.648454999999984</v>
      </c>
      <c r="M402" s="251">
        <f>'BOLETIM DE MEDIÇÃO 05'!G51</f>
        <v>61.56</v>
      </c>
      <c r="N402" s="252">
        <f t="shared" si="1"/>
        <v>-20.088454999999982</v>
      </c>
    </row>
    <row r="403" spans="2:15" ht="19.149999999999999" customHeight="1" x14ac:dyDescent="0.25">
      <c r="B403" s="247"/>
      <c r="C403" s="248"/>
      <c r="D403" s="404" t="s">
        <v>968</v>
      </c>
      <c r="E403" s="242"/>
      <c r="F403" s="246">
        <v>1</v>
      </c>
      <c r="G403" s="527">
        <f>0.1*21.7</f>
        <v>2.17</v>
      </c>
      <c r="H403" s="527"/>
      <c r="I403" s="528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04" t="s">
        <v>1005</v>
      </c>
      <c r="E404" s="242"/>
      <c r="F404" s="246">
        <v>1</v>
      </c>
      <c r="G404" s="527">
        <f>0.6*9.5</f>
        <v>5.7</v>
      </c>
      <c r="H404" s="527"/>
      <c r="I404" s="528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2"/>
      <c r="C405" s="363"/>
      <c r="D405" s="399" t="s">
        <v>971</v>
      </c>
      <c r="E405" s="365"/>
      <c r="F405" s="371">
        <v>1</v>
      </c>
      <c r="G405" s="560">
        <v>2.48</v>
      </c>
      <c r="H405" s="561"/>
      <c r="I405" s="562"/>
      <c r="J405" s="367"/>
      <c r="K405" s="368">
        <f t="shared" si="21"/>
        <v>2.48</v>
      </c>
      <c r="L405" s="368"/>
      <c r="M405" s="368"/>
      <c r="N405" s="369"/>
      <c r="O405" s="370"/>
    </row>
    <row r="406" spans="2:15" ht="22.5" x14ac:dyDescent="0.25">
      <c r="B406" s="247" t="s">
        <v>126</v>
      </c>
      <c r="C406" s="248">
        <v>103670</v>
      </c>
      <c r="D406" s="401" t="s">
        <v>71</v>
      </c>
      <c r="E406" s="242" t="s">
        <v>41</v>
      </c>
      <c r="F406" s="246"/>
      <c r="G406" s="249"/>
      <c r="H406" s="402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3"/>
      <c r="D407" s="407" t="s">
        <v>932</v>
      </c>
      <c r="E407" s="242"/>
      <c r="F407" s="243">
        <v>1</v>
      </c>
      <c r="G407" s="497">
        <f>K402</f>
        <v>7.87</v>
      </c>
      <c r="H407" s="543"/>
      <c r="I407" s="544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2" t="s">
        <v>127</v>
      </c>
      <c r="C408" s="363">
        <v>92771</v>
      </c>
      <c r="D408" s="395" t="s">
        <v>129</v>
      </c>
      <c r="E408" s="365" t="s">
        <v>62</v>
      </c>
      <c r="F408" s="366"/>
      <c r="G408" s="396"/>
      <c r="H408" s="397"/>
      <c r="I408" s="371"/>
      <c r="J408" s="367">
        <f>'BOLETIM DE MEDIÇÃO 10'!R53-'MEMORIAL DE CALCULO 08'!K408</f>
        <v>406.89999999999992</v>
      </c>
      <c r="K408" s="398"/>
      <c r="L408" s="368">
        <f t="shared" si="0"/>
        <v>406.89999999999992</v>
      </c>
      <c r="M408" s="368">
        <f>'BOLETIM DE MEDIÇÃO 05'!G53</f>
        <v>312.3</v>
      </c>
      <c r="N408" s="369">
        <f t="shared" si="1"/>
        <v>-94.599999999999909</v>
      </c>
      <c r="O408" s="370"/>
    </row>
    <row r="409" spans="2:15" ht="18" hidden="1" customHeight="1" x14ac:dyDescent="0.25">
      <c r="B409" s="362"/>
      <c r="C409" s="363"/>
      <c r="D409" s="399" t="s">
        <v>969</v>
      </c>
      <c r="E409" s="365"/>
      <c r="F409" s="371">
        <v>1</v>
      </c>
      <c r="G409" s="531">
        <v>94.6</v>
      </c>
      <c r="H409" s="532"/>
      <c r="I409" s="533"/>
      <c r="J409" s="367"/>
      <c r="K409" s="368"/>
      <c r="L409" s="368"/>
      <c r="M409" s="368"/>
      <c r="N409" s="369"/>
      <c r="O409" s="370"/>
    </row>
    <row r="410" spans="2:15" ht="33.75" hidden="1" x14ac:dyDescent="0.25">
      <c r="B410" s="362" t="s">
        <v>130</v>
      </c>
      <c r="C410" s="363">
        <v>92772</v>
      </c>
      <c r="D410" s="400" t="s">
        <v>132</v>
      </c>
      <c r="E410" s="365" t="s">
        <v>62</v>
      </c>
      <c r="F410" s="366"/>
      <c r="G410" s="396"/>
      <c r="H410" s="365"/>
      <c r="I410" s="371"/>
      <c r="J410" s="367">
        <f>'BOLETIM DE MEDIÇÃO 10'!R54-'MEMORIAL DE CALCULO 08'!K410</f>
        <v>154.80000000000001</v>
      </c>
      <c r="K410" s="368"/>
      <c r="L410" s="368">
        <f t="shared" si="0"/>
        <v>154.80000000000001</v>
      </c>
      <c r="M410" s="368">
        <f>'BOLETIM DE MEDIÇÃO 05'!G54</f>
        <v>154.80000000000001</v>
      </c>
      <c r="N410" s="369">
        <f t="shared" si="1"/>
        <v>0</v>
      </c>
      <c r="O410" s="370"/>
    </row>
    <row r="411" spans="2:15" ht="18" hidden="1" customHeight="1" x14ac:dyDescent="0.25">
      <c r="B411" s="362"/>
      <c r="C411" s="363"/>
      <c r="D411" s="364" t="s">
        <v>958</v>
      </c>
      <c r="E411" s="365"/>
      <c r="F411" s="371">
        <v>1</v>
      </c>
      <c r="G411" s="531">
        <v>154.80000000000001</v>
      </c>
      <c r="H411" s="532"/>
      <c r="I411" s="533"/>
      <c r="J411" s="367"/>
      <c r="K411" s="368"/>
      <c r="L411" s="368"/>
      <c r="M411" s="368"/>
      <c r="N411" s="369"/>
      <c r="O411" s="370"/>
    </row>
    <row r="412" spans="2:15" ht="18" hidden="1" customHeight="1" x14ac:dyDescent="0.25">
      <c r="B412" s="362"/>
      <c r="C412" s="363"/>
      <c r="D412" s="364"/>
      <c r="E412" s="365"/>
      <c r="F412" s="371"/>
      <c r="G412" s="387"/>
      <c r="H412" s="387"/>
      <c r="I412" s="388"/>
      <c r="J412" s="367"/>
      <c r="K412" s="368"/>
      <c r="L412" s="368"/>
      <c r="M412" s="368"/>
      <c r="N412" s="369"/>
      <c r="O412" s="370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3"/>
      <c r="H413" s="373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3" t="s">
        <v>135</v>
      </c>
      <c r="C414" s="384">
        <v>103356</v>
      </c>
      <c r="D414" s="385" t="s">
        <v>137</v>
      </c>
      <c r="E414" s="386" t="s">
        <v>17</v>
      </c>
      <c r="F414" s="394"/>
      <c r="G414" s="373"/>
      <c r="H414" s="373"/>
      <c r="I414" s="318"/>
      <c r="J414" s="99">
        <f>'BOLETIM DE MEDIÇÃO 10'!R56-'MEMORIAL DE CALCULO 08'!K414</f>
        <v>1003.7804999999997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1002</v>
      </c>
      <c r="E415" s="64"/>
      <c r="F415" s="105">
        <v>1</v>
      </c>
      <c r="G415" s="483">
        <v>238.84</v>
      </c>
      <c r="H415" s="484"/>
      <c r="I415" s="485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10'!R74-'MEMORIAL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10'!R75-'MEMORIAL DE CALCULO 08'!K417</f>
        <v>-697.98</v>
      </c>
      <c r="K417" s="81">
        <f>K418</f>
        <v>697.98</v>
      </c>
      <c r="L417" s="82">
        <f t="shared" si="0"/>
        <v>0</v>
      </c>
      <c r="M417" s="82">
        <f>'BOLETIM DE MEDIÇÃO 05'!G62</f>
        <v>997.11</v>
      </c>
      <c r="N417" s="86">
        <f t="shared" si="1"/>
        <v>997.11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483">
        <v>697.98</v>
      </c>
      <c r="H418" s="484"/>
      <c r="I418" s="485"/>
      <c r="J418" s="99">
        <f>'BOLETIM DE MEDIÇÃO 10'!R76-'MEMORIAL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3"/>
      <c r="H419" s="373"/>
      <c r="I419" s="318"/>
      <c r="J419" s="99">
        <f>'BOLETIM DE MEDIÇÃO 10'!R77-'MEMORIAL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3"/>
      <c r="H420" s="373"/>
      <c r="I420" s="318"/>
      <c r="J420" s="99">
        <f>'BOLETIM DE MEDIÇÃO 10'!R78-'MEMORIAL DE CALCULO 08'!K420</f>
        <v>-351.87</v>
      </c>
      <c r="K420" s="81">
        <f>K421</f>
        <v>351.87</v>
      </c>
      <c r="L420" s="82">
        <f>J420+K420</f>
        <v>0</v>
      </c>
      <c r="M420" s="82">
        <f>'BOLETIM DE MEDIÇÃO 10'!G63</f>
        <v>351.87</v>
      </c>
      <c r="N420" s="86">
        <f>M420-L420</f>
        <v>351.87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483">
        <v>351.87</v>
      </c>
      <c r="H421" s="484"/>
      <c r="I421" s="485"/>
      <c r="J421" s="99">
        <f>'BOLETIM DE MEDIÇÃO 10'!R79-'MEMORIAL DE CALCULO 08'!K421</f>
        <v>-351.87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3"/>
      <c r="H422" s="373"/>
      <c r="I422" s="318"/>
      <c r="J422" s="99">
        <f>'BOLETIM DE MEDIÇÃO 10'!R80-'MEMORIAL DE CALCULO 08'!K422</f>
        <v>0</v>
      </c>
      <c r="K422" s="82"/>
      <c r="L422" s="82"/>
      <c r="M422" s="82"/>
      <c r="N422" s="86"/>
    </row>
    <row r="423" spans="2:14" x14ac:dyDescent="0.25">
      <c r="B423" s="346" t="s">
        <v>208</v>
      </c>
      <c r="C423" s="347" t="s">
        <v>209</v>
      </c>
      <c r="D423" s="344"/>
      <c r="E423" s="64"/>
      <c r="F423" s="105"/>
      <c r="G423" s="373"/>
      <c r="H423" s="373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3"/>
      <c r="H424" s="373"/>
      <c r="I424" s="318"/>
      <c r="J424" s="99">
        <f>'BOLETIM DE MEDIÇÃO 10'!R82-'MEMORIAL DE CALCULO 08'!K424</f>
        <v>366.37099999999998</v>
      </c>
      <c r="K424" s="81">
        <f>K425</f>
        <v>100</v>
      </c>
      <c r="L424" s="82">
        <f>J424+K424</f>
        <v>466.37099999999998</v>
      </c>
      <c r="M424" s="82">
        <f>'BOLETIM DE MEDIÇÃO 10'!G83</f>
        <v>466.37</v>
      </c>
      <c r="N424" s="86">
        <f>M424-L424</f>
        <v>-9.9999999997635314E-4</v>
      </c>
    </row>
    <row r="425" spans="2:14" x14ac:dyDescent="0.25">
      <c r="B425" s="49"/>
      <c r="C425" s="57"/>
      <c r="D425" s="118" t="s">
        <v>995</v>
      </c>
      <c r="E425" s="64"/>
      <c r="F425" s="105">
        <v>1</v>
      </c>
      <c r="G425" s="483">
        <v>100</v>
      </c>
      <c r="H425" s="484"/>
      <c r="I425" s="485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3"/>
      <c r="H426" s="373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84">
        <v>104233</v>
      </c>
      <c r="D427" s="385" t="s">
        <v>215</v>
      </c>
      <c r="E427" s="277" t="s">
        <v>17</v>
      </c>
      <c r="F427" s="105"/>
      <c r="G427" s="373"/>
      <c r="H427" s="373"/>
      <c r="I427" s="318"/>
      <c r="J427" s="99">
        <f>'BOLETIM DE MEDIÇÃO 10'!R83-'MEMORIAL DE CALCULO 08'!K427</f>
        <v>187.97050000000002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1000</v>
      </c>
      <c r="E428" s="64"/>
      <c r="F428" s="105">
        <v>1</v>
      </c>
      <c r="G428" s="372">
        <f>0.6*116</f>
        <v>69.599999999999994</v>
      </c>
      <c r="H428" s="389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996</v>
      </c>
      <c r="E429" s="64"/>
      <c r="F429" s="105"/>
      <c r="G429" s="373">
        <v>2.6</v>
      </c>
      <c r="H429" s="373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997</v>
      </c>
      <c r="E430" s="64"/>
      <c r="F430" s="105"/>
      <c r="G430" s="373">
        <v>0.8</v>
      </c>
      <c r="H430" s="373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998</v>
      </c>
      <c r="E431" s="64"/>
      <c r="F431" s="105"/>
      <c r="G431" s="373">
        <v>1.5</v>
      </c>
      <c r="H431" s="373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999</v>
      </c>
      <c r="E432" s="64"/>
      <c r="F432" s="105"/>
      <c r="G432" s="373">
        <v>1</v>
      </c>
      <c r="H432" s="373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3" t="s">
        <v>284</v>
      </c>
      <c r="C434" s="384">
        <v>91834</v>
      </c>
      <c r="D434" s="390" t="s">
        <v>286</v>
      </c>
      <c r="E434" s="245" t="s">
        <v>37</v>
      </c>
      <c r="F434" s="312">
        <v>1</v>
      </c>
      <c r="G434" s="445">
        <v>200</v>
      </c>
      <c r="H434" s="446"/>
      <c r="I434" s="447"/>
      <c r="J434" s="99">
        <f>'BOLETIM DE MEDIÇÃO 10'!R108-'MEMORIAL DE CALCULO 08'!K434</f>
        <v>150</v>
      </c>
      <c r="K434" s="81">
        <f>G434</f>
        <v>200</v>
      </c>
      <c r="L434" s="82">
        <f>J434+K434</f>
        <v>350</v>
      </c>
      <c r="M434" s="82">
        <f>'BOLETIM DE MEDIÇÃO 10'!G108</f>
        <v>830.48</v>
      </c>
      <c r="N434" s="86">
        <f>M434-L434</f>
        <v>480.48</v>
      </c>
    </row>
    <row r="435" spans="2:14" x14ac:dyDescent="0.25">
      <c r="B435" s="383"/>
      <c r="C435" s="384"/>
      <c r="D435" s="392" t="s">
        <v>1001</v>
      </c>
      <c r="E435" s="245"/>
      <c r="F435" s="312"/>
      <c r="G435" s="382"/>
      <c r="H435" s="391"/>
      <c r="I435" s="318"/>
      <c r="J435" s="99"/>
      <c r="K435" s="81"/>
      <c r="L435" s="82"/>
      <c r="M435" s="82"/>
      <c r="N435" s="86"/>
    </row>
    <row r="436" spans="2:14" ht="33.75" x14ac:dyDescent="0.25">
      <c r="B436" s="383" t="s">
        <v>287</v>
      </c>
      <c r="C436" s="384">
        <v>91868</v>
      </c>
      <c r="D436" s="385" t="s">
        <v>289</v>
      </c>
      <c r="E436" s="245" t="s">
        <v>37</v>
      </c>
      <c r="F436" s="312">
        <v>1</v>
      </c>
      <c r="G436" s="445">
        <v>55.97</v>
      </c>
      <c r="H436" s="446"/>
      <c r="I436" s="447"/>
      <c r="J436" s="99">
        <f>'BOLETIM DE MEDIÇÃO 10'!R109-'MEMORIAL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10'!G109</f>
        <v>55.97</v>
      </c>
      <c r="N436" s="86">
        <f t="shared" ref="N436:N438" si="25">M436-L436</f>
        <v>0</v>
      </c>
    </row>
    <row r="437" spans="2:14" x14ac:dyDescent="0.25">
      <c r="B437" s="383"/>
      <c r="C437" s="384"/>
      <c r="D437" s="392" t="s">
        <v>1001</v>
      </c>
      <c r="E437" s="245"/>
      <c r="F437" s="312"/>
      <c r="G437" s="382"/>
      <c r="H437" s="382"/>
      <c r="I437" s="316"/>
      <c r="J437" s="99"/>
      <c r="K437" s="81"/>
      <c r="L437" s="82"/>
      <c r="M437" s="82"/>
      <c r="N437" s="86"/>
    </row>
    <row r="438" spans="2:14" ht="33.75" x14ac:dyDescent="0.25">
      <c r="B438" s="383" t="s">
        <v>290</v>
      </c>
      <c r="C438" s="384">
        <v>91867</v>
      </c>
      <c r="D438" s="385" t="s">
        <v>292</v>
      </c>
      <c r="E438" s="245" t="s">
        <v>37</v>
      </c>
      <c r="F438" s="312">
        <v>1</v>
      </c>
      <c r="G438" s="445">
        <v>36.19</v>
      </c>
      <c r="H438" s="446"/>
      <c r="I438" s="447"/>
      <c r="J438" s="99">
        <f>'BOLETIM DE MEDIÇÃO 10'!R110-'MEMORIAL DE CALCULO 08'!K438</f>
        <v>0</v>
      </c>
      <c r="K438" s="81">
        <f>G438</f>
        <v>36.19</v>
      </c>
      <c r="L438" s="82">
        <f>J438+K438</f>
        <v>36.19</v>
      </c>
      <c r="M438" s="82">
        <f>'BOLETIM DE MEDIÇÃO 10'!G110</f>
        <v>36.19</v>
      </c>
      <c r="N438" s="86">
        <f t="shared" si="25"/>
        <v>0</v>
      </c>
    </row>
    <row r="439" spans="2:14" x14ac:dyDescent="0.25">
      <c r="B439" s="383"/>
      <c r="C439" s="384"/>
      <c r="D439" s="392" t="s">
        <v>1001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6" t="s">
        <v>312</v>
      </c>
      <c r="C440" s="348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10'!R119-'MEMORIAL DE CALCULO 08'!K441</f>
        <v>10.199999999999999</v>
      </c>
      <c r="K441" s="81">
        <f>K442</f>
        <v>21.53</v>
      </c>
      <c r="L441" s="82">
        <f>J441+K441</f>
        <v>31.73</v>
      </c>
      <c r="M441" s="82">
        <f>'BOLETIM DE MEDIÇÃO 10'!G119</f>
        <v>35.340000000000003</v>
      </c>
      <c r="N441" s="86">
        <f>M441-L441</f>
        <v>3.610000000000003</v>
      </c>
    </row>
    <row r="442" spans="2:14" x14ac:dyDescent="0.25">
      <c r="B442" s="50"/>
      <c r="C442" s="66"/>
      <c r="D442" s="187" t="s">
        <v>994</v>
      </c>
      <c r="E442" s="69"/>
      <c r="F442" s="312"/>
      <c r="G442" s="445">
        <v>21.53</v>
      </c>
      <c r="H442" s="446"/>
      <c r="I442" s="447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3" t="s">
        <v>317</v>
      </c>
      <c r="C443" s="384">
        <v>94439</v>
      </c>
      <c r="D443" s="385" t="s">
        <v>319</v>
      </c>
      <c r="E443" s="277" t="s">
        <v>17</v>
      </c>
      <c r="F443" s="312"/>
      <c r="G443" s="121"/>
      <c r="H443" s="70"/>
      <c r="I443" s="105"/>
      <c r="J443" s="99">
        <f>'BOLETIM DE MEDIÇÃO 10'!R120</f>
        <v>116.27</v>
      </c>
      <c r="K443" s="81">
        <f>SUM(K444:K448)</f>
        <v>116.27</v>
      </c>
      <c r="L443" s="82">
        <f t="shared" ref="L443" si="26">J443+K443</f>
        <v>232.54</v>
      </c>
      <c r="M443" s="82">
        <f>'BOLETIM DE MEDIÇÃO 10'!G121</f>
        <v>634.5</v>
      </c>
      <c r="N443" s="86">
        <f>M443-L443</f>
        <v>401.96000000000004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445">
        <v>27</v>
      </c>
      <c r="H444" s="446"/>
      <c r="I444" s="447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445">
        <v>26</v>
      </c>
      <c r="H445" s="446"/>
      <c r="I445" s="447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445">
        <v>30</v>
      </c>
      <c r="H446" s="446"/>
      <c r="I446" s="447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445">
        <v>30</v>
      </c>
      <c r="H447" s="446"/>
      <c r="I447" s="447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445">
        <v>3.27</v>
      </c>
      <c r="H448" s="446"/>
      <c r="I448" s="447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53" t="s">
        <v>368</v>
      </c>
      <c r="D449" s="554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10'!R138-'MEMORIAL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76" t="s">
        <v>1004</v>
      </c>
      <c r="E451" s="217"/>
      <c r="F451" s="312">
        <v>1</v>
      </c>
      <c r="G451" s="445">
        <f>98.77</f>
        <v>98.77</v>
      </c>
      <c r="H451" s="446"/>
      <c r="I451" s="447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10'!R139-'MEMORIAL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76" t="s">
        <v>1004</v>
      </c>
      <c r="E454" s="217"/>
      <c r="F454" s="312">
        <v>1</v>
      </c>
      <c r="G454" s="445">
        <f>62.17</f>
        <v>62.17</v>
      </c>
      <c r="H454" s="446"/>
      <c r="I454" s="447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10'!R140-'MEMORIAL DE CALCULO 08'!K456</f>
        <v>-7.4249999999999998</v>
      </c>
      <c r="K456" s="81">
        <f>K457</f>
        <v>7.4249999999999998</v>
      </c>
      <c r="L456" s="82">
        <f t="shared" si="29"/>
        <v>0</v>
      </c>
      <c r="M456" s="206">
        <v>24.75</v>
      </c>
      <c r="N456" s="86">
        <f t="shared" si="28"/>
        <v>24.75</v>
      </c>
    </row>
    <row r="457" spans="2:14" hidden="1" x14ac:dyDescent="0.25">
      <c r="B457" s="203"/>
      <c r="C457" s="211"/>
      <c r="D457" s="376" t="s">
        <v>984</v>
      </c>
      <c r="E457" s="217"/>
      <c r="F457" s="312">
        <v>1</v>
      </c>
      <c r="G457" s="445">
        <f>0.3*24.75</f>
        <v>7.4249999999999998</v>
      </c>
      <c r="H457" s="446"/>
      <c r="I457" s="447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10'!R141-'MEMORIAL DE CALCULO 08'!K459</f>
        <v>-7.7759999999999998</v>
      </c>
      <c r="K459" s="81">
        <f>K460</f>
        <v>7.7759999999999998</v>
      </c>
      <c r="L459" s="82">
        <f t="shared" si="29"/>
        <v>0</v>
      </c>
      <c r="M459" s="206">
        <v>25.92</v>
      </c>
      <c r="N459" s="86">
        <f t="shared" si="28"/>
        <v>25.92</v>
      </c>
    </row>
    <row r="460" spans="2:14" hidden="1" x14ac:dyDescent="0.25">
      <c r="B460" s="203"/>
      <c r="C460" s="211"/>
      <c r="D460" s="376" t="s">
        <v>984</v>
      </c>
      <c r="E460" s="217"/>
      <c r="F460" s="312">
        <v>1</v>
      </c>
      <c r="G460" s="445">
        <f>0.3*25.92</f>
        <v>7.7759999999999998</v>
      </c>
      <c r="H460" s="446"/>
      <c r="I460" s="447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10'!R142-'MEMORIAL DE CALCULO 08'!K462</f>
        <v>-3</v>
      </c>
      <c r="K462" s="81">
        <f>K463</f>
        <v>3</v>
      </c>
      <c r="L462" s="82">
        <f t="shared" si="29"/>
        <v>0</v>
      </c>
      <c r="M462" s="206">
        <v>10</v>
      </c>
      <c r="N462" s="86">
        <f t="shared" si="28"/>
        <v>10</v>
      </c>
    </row>
    <row r="463" spans="2:14" hidden="1" x14ac:dyDescent="0.25">
      <c r="B463" s="203"/>
      <c r="C463" s="211"/>
      <c r="D463" s="376" t="s">
        <v>984</v>
      </c>
      <c r="E463" s="217"/>
      <c r="F463" s="312">
        <v>1</v>
      </c>
      <c r="G463" s="445">
        <f>0.3*10</f>
        <v>3</v>
      </c>
      <c r="H463" s="446"/>
      <c r="I463" s="447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10'!R143-'MEMORIAL DE CALCULO 08'!K465</f>
        <v>-1</v>
      </c>
      <c r="K465" s="81">
        <f>K466</f>
        <v>1</v>
      </c>
      <c r="L465" s="82">
        <f t="shared" si="29"/>
        <v>0</v>
      </c>
      <c r="M465" s="206">
        <v>2</v>
      </c>
      <c r="N465" s="86">
        <f t="shared" si="28"/>
        <v>2</v>
      </c>
    </row>
    <row r="466" spans="2:14" hidden="1" x14ac:dyDescent="0.25">
      <c r="B466" s="203"/>
      <c r="C466" s="211"/>
      <c r="D466" s="376" t="s">
        <v>983</v>
      </c>
      <c r="E466" s="217"/>
      <c r="F466" s="312">
        <v>1</v>
      </c>
      <c r="G466" s="445">
        <v>1</v>
      </c>
      <c r="H466" s="446"/>
      <c r="I466" s="447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10'!R144-'MEMORIAL DE CALCULO 08'!K468</f>
        <v>-3</v>
      </c>
      <c r="K468" s="81">
        <f>K469</f>
        <v>3</v>
      </c>
      <c r="L468" s="82">
        <f t="shared" si="29"/>
        <v>0</v>
      </c>
      <c r="M468" s="206">
        <v>6</v>
      </c>
      <c r="N468" s="86">
        <f t="shared" si="28"/>
        <v>6</v>
      </c>
    </row>
    <row r="469" spans="2:14" hidden="1" x14ac:dyDescent="0.25">
      <c r="B469" s="203"/>
      <c r="C469" s="211"/>
      <c r="D469" s="376" t="s">
        <v>983</v>
      </c>
      <c r="E469" s="217"/>
      <c r="F469" s="312">
        <v>1</v>
      </c>
      <c r="G469" s="445">
        <v>3</v>
      </c>
      <c r="H469" s="446"/>
      <c r="I469" s="447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10'!R145-'MEMORIAL DE CALCULO 08'!K471</f>
        <v>0</v>
      </c>
      <c r="K471" s="82"/>
      <c r="L471" s="82">
        <f t="shared" si="29"/>
        <v>0</v>
      </c>
      <c r="M471" s="206">
        <v>2</v>
      </c>
      <c r="N471" s="86">
        <f t="shared" si="28"/>
        <v>2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10'!R146-'MEMORIAL DE CALCULO 08'!K474</f>
        <v>0</v>
      </c>
      <c r="K474" s="82"/>
      <c r="L474" s="82">
        <f t="shared" si="29"/>
        <v>0</v>
      </c>
      <c r="M474" s="206">
        <v>2</v>
      </c>
      <c r="N474" s="86">
        <f t="shared" si="28"/>
        <v>2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10'!R147-'MEMORIAL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10'!R148-'MEMORIAL DE CALCULO 08'!K480</f>
        <v>0</v>
      </c>
      <c r="K480" s="82"/>
      <c r="L480" s="82">
        <f t="shared" si="29"/>
        <v>0</v>
      </c>
      <c r="M480" s="206">
        <v>4</v>
      </c>
      <c r="N480" s="86">
        <f t="shared" si="28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10'!R149-'MEMORIAL DE CALCULO 08'!K483</f>
        <v>0</v>
      </c>
      <c r="K483" s="82"/>
      <c r="L483" s="82">
        <f t="shared" si="29"/>
        <v>0</v>
      </c>
      <c r="M483" s="206">
        <v>2</v>
      </c>
      <c r="N483" s="86">
        <f t="shared" si="28"/>
        <v>2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10'!R150-'MEMORIAL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10'!R151-'MEMORIAL DE CALCULO 08'!K489</f>
        <v>0</v>
      </c>
      <c r="K489" s="82"/>
      <c r="L489" s="82">
        <f t="shared" si="29"/>
        <v>0</v>
      </c>
      <c r="M489" s="206">
        <v>7</v>
      </c>
      <c r="N489" s="86">
        <f t="shared" si="28"/>
        <v>7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10'!R152-'MEMORIAL DE CALCULO 08'!K492</f>
        <v>0</v>
      </c>
      <c r="K492" s="82"/>
      <c r="L492" s="82">
        <f t="shared" si="29"/>
        <v>0</v>
      </c>
      <c r="M492" s="206">
        <v>1</v>
      </c>
      <c r="N492" s="86">
        <f t="shared" si="28"/>
        <v>1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10'!R153-'MEMORIAL DE CALCULO 08'!K495</f>
        <v>0</v>
      </c>
      <c r="K495" s="82"/>
      <c r="L495" s="82">
        <f t="shared" si="29"/>
        <v>0</v>
      </c>
      <c r="M495" s="206">
        <v>10</v>
      </c>
      <c r="N495" s="86">
        <f t="shared" si="28"/>
        <v>10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10'!R154-'MEMORIAL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76" t="s">
        <v>1004</v>
      </c>
      <c r="E499" s="217"/>
      <c r="F499" s="312">
        <v>1</v>
      </c>
      <c r="G499" s="445">
        <v>38.85</v>
      </c>
      <c r="H499" s="446"/>
      <c r="I499" s="447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10'!R155-'MEMORIAL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76" t="s">
        <v>1004</v>
      </c>
      <c r="E502" s="217"/>
      <c r="F502" s="312">
        <v>1</v>
      </c>
      <c r="G502" s="445">
        <v>46.51</v>
      </c>
      <c r="H502" s="446"/>
      <c r="I502" s="447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10'!R156-'MEMORIAL DE CALCULO 08'!K504</f>
        <v>0</v>
      </c>
      <c r="K504" s="82"/>
      <c r="L504" s="82">
        <f t="shared" si="29"/>
        <v>0</v>
      </c>
      <c r="M504" s="206">
        <v>1</v>
      </c>
      <c r="N504" s="86">
        <f t="shared" si="28"/>
        <v>1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10'!R157-'MEMORIAL DE CALCULO 08'!K507</f>
        <v>6</v>
      </c>
      <c r="K507" s="81">
        <f>K508</f>
        <v>66.385000000000005</v>
      </c>
      <c r="L507" s="82">
        <f t="shared" si="29"/>
        <v>72.385000000000005</v>
      </c>
      <c r="M507" s="206">
        <v>132.77000000000001</v>
      </c>
      <c r="N507" s="86">
        <f t="shared" si="28"/>
        <v>60.385000000000005</v>
      </c>
    </row>
    <row r="508" spans="2:14" x14ac:dyDescent="0.25">
      <c r="B508" s="203"/>
      <c r="C508" s="211"/>
      <c r="D508" s="376" t="s">
        <v>983</v>
      </c>
      <c r="E508" s="217"/>
      <c r="F508" s="312">
        <v>1</v>
      </c>
      <c r="G508" s="445">
        <f>0.5*132.77</f>
        <v>66.385000000000005</v>
      </c>
      <c r="H508" s="446"/>
      <c r="I508" s="447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10'!R158-'MEMORIAL DE CALCULO 08'!K510</f>
        <v>0</v>
      </c>
      <c r="K510" s="82"/>
      <c r="L510" s="82">
        <f t="shared" si="29"/>
        <v>0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10'!R159-'MEMORIAL DE CALCULO 08'!K513</f>
        <v>-12.902999999999999</v>
      </c>
      <c r="K513" s="81">
        <f>K514</f>
        <v>12.902999999999999</v>
      </c>
      <c r="L513" s="82">
        <f t="shared" si="29"/>
        <v>0</v>
      </c>
      <c r="M513" s="206">
        <v>43.01</v>
      </c>
      <c r="N513" s="86"/>
    </row>
    <row r="514" spans="2:14" hidden="1" x14ac:dyDescent="0.25">
      <c r="B514" s="50"/>
      <c r="C514" s="66"/>
      <c r="D514" s="376" t="s">
        <v>984</v>
      </c>
      <c r="E514" s="69"/>
      <c r="F514" s="312">
        <v>1</v>
      </c>
      <c r="G514" s="445">
        <f>0.3*43.01</f>
        <v>12.902999999999999</v>
      </c>
      <c r="H514" s="446"/>
      <c r="I514" s="447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446"/>
      <c r="H544" s="446"/>
      <c r="I544" s="447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0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445">
        <f>65.42</f>
        <v>65.42</v>
      </c>
      <c r="H546" s="448"/>
      <c r="I546" s="105">
        <v>3.1</v>
      </c>
      <c r="J546" s="99"/>
      <c r="K546" s="350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523" t="s">
        <v>836</v>
      </c>
      <c r="H550" s="524"/>
      <c r="I550" s="525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topLeftCell="A383" zoomScale="108" zoomScaleNormal="100" workbookViewId="0">
      <selection activeCell="G415" sqref="G415:I41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60" t="s">
        <v>986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479">
        <f>'BOLETIM DE MEDIÇÃO 05'!H8</f>
        <v>274592.67562904983</v>
      </c>
      <c r="I8" s="480"/>
      <c r="J8" s="481" t="s">
        <v>965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8">((0.15+0.3)*2*1)</f>
        <v>0.89999999999999991</v>
      </c>
      <c r="H378" s="48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10'!R41-'MEMORIAL DE CALCULO 07'!K384</f>
        <v>407.07119999999998</v>
      </c>
      <c r="K384" s="81">
        <f>G385</f>
        <v>32.747</v>
      </c>
      <c r="L384" s="82">
        <f t="shared" si="0"/>
        <v>439.81819999999999</v>
      </c>
      <c r="M384" s="82">
        <f>'BOLETIM DE MEDIÇÃO 05'!G41</f>
        <v>435.33</v>
      </c>
      <c r="N384" s="86">
        <f t="shared" si="1"/>
        <v>-4.4882000000000062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483">
        <v>32.747</v>
      </c>
      <c r="H385" s="484"/>
      <c r="I385" s="485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2"/>
      <c r="H386" s="373"/>
      <c r="I386" s="318"/>
      <c r="J386" s="99">
        <f>'BOLETIM DE MEDIÇÃO 10'!R42-'MEMORIAL DE CALCULO 07'!K386</f>
        <v>42.184950000000001</v>
      </c>
      <c r="K386" s="81">
        <f>K387</f>
        <v>88.64</v>
      </c>
      <c r="L386" s="82">
        <f>J386+K386</f>
        <v>130.82495</v>
      </c>
      <c r="M386" s="82">
        <f>'BOLETIM DE MEDIÇÃO 10'!G42</f>
        <v>130.82</v>
      </c>
      <c r="N386" s="86">
        <f>M386-L386</f>
        <v>-4.9500000000080036E-3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483">
        <v>88.64</v>
      </c>
      <c r="H387" s="484"/>
      <c r="I387" s="485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2"/>
      <c r="H388" s="373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483">
        <f>0.6*357.5</f>
        <v>214.5</v>
      </c>
      <c r="H390" s="484"/>
      <c r="I390" s="485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445">
        <f>0.4*39.1</f>
        <v>15.64</v>
      </c>
      <c r="H392" s="446"/>
      <c r="I392" s="447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0" customFormat="1" ht="22.9" hidden="1" customHeight="1" x14ac:dyDescent="0.25">
      <c r="B394" s="362"/>
      <c r="C394" s="363"/>
      <c r="D394" s="364" t="s">
        <v>953</v>
      </c>
      <c r="E394" s="365"/>
      <c r="F394" s="366">
        <v>1</v>
      </c>
      <c r="G394" s="531">
        <f>0.6* 692.8</f>
        <v>415.67999999999995</v>
      </c>
      <c r="H394" s="532"/>
      <c r="I394" s="533"/>
      <c r="J394" s="367"/>
      <c r="K394" s="368">
        <f>F394*G394</f>
        <v>415.67999999999995</v>
      </c>
      <c r="L394" s="368"/>
      <c r="M394" s="368"/>
      <c r="N394" s="369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0" customFormat="1" ht="19.899999999999999" hidden="1" customHeight="1" x14ac:dyDescent="0.25">
      <c r="B396" s="362"/>
      <c r="C396" s="363"/>
      <c r="D396" s="364" t="s">
        <v>953</v>
      </c>
      <c r="E396" s="365"/>
      <c r="F396" s="371">
        <v>1</v>
      </c>
      <c r="G396" s="531">
        <f>0.6* 95</f>
        <v>57</v>
      </c>
      <c r="H396" s="532"/>
      <c r="I396" s="533"/>
      <c r="J396" s="367"/>
      <c r="K396" s="368">
        <f>F396*G396</f>
        <v>57</v>
      </c>
      <c r="L396" s="368"/>
      <c r="M396" s="368"/>
      <c r="N396" s="369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10'!R48-'MEMORIAL DE CALCULO 07'!K397</f>
        <v>177.17999999999998</v>
      </c>
      <c r="K397" s="81">
        <f>K398</f>
        <v>28.2</v>
      </c>
      <c r="L397" s="82">
        <f t="shared" si="0"/>
        <v>205.37999999999997</v>
      </c>
      <c r="M397" s="82">
        <f>'BOLETIM DE MEDIÇÃO 05'!G48</f>
        <v>158.69999999999999</v>
      </c>
      <c r="N397" s="86">
        <f t="shared" si="1"/>
        <v>-46.679999999999978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483">
        <v>28.2</v>
      </c>
      <c r="H398" s="484"/>
      <c r="I398" s="485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10'!R49-'MEMORIAL DE CALCULO 07'!K399</f>
        <v>165.8322</v>
      </c>
      <c r="K399" s="81">
        <f>K400</f>
        <v>12.9</v>
      </c>
      <c r="L399" s="82">
        <f t="shared" si="0"/>
        <v>178.73220000000001</v>
      </c>
      <c r="M399" s="82">
        <f>'BOLETIM DE MEDIÇÃO 05'!G49</f>
        <v>170.5</v>
      </c>
      <c r="N399" s="86">
        <f t="shared" si="1"/>
        <v>-8.232200000000006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483">
        <v>12.9</v>
      </c>
      <c r="H400" s="484"/>
      <c r="I400" s="485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10'!R50-'MEMORIAL DE CALCULO 07'!K401</f>
        <v>259.0009</v>
      </c>
      <c r="K401" s="81">
        <f>K402</f>
        <v>20.100000000000001</v>
      </c>
      <c r="L401" s="82">
        <f t="shared" si="0"/>
        <v>279.10090000000002</v>
      </c>
      <c r="M401" s="82">
        <f>'BOLETIM DE MEDIÇÃO 05'!G50</f>
        <v>279.10000000000002</v>
      </c>
      <c r="N401" s="86">
        <f t="shared" si="1"/>
        <v>-9.0000000000145519E-4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483">
        <v>20.100000000000001</v>
      </c>
      <c r="H402" s="484"/>
      <c r="I402" s="485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10'!R51-'MEMORIAL DE CALCULO 07'!K403</f>
        <v>76.808454999999981</v>
      </c>
      <c r="K403" s="81">
        <f>SUM(K404)</f>
        <v>4.84</v>
      </c>
      <c r="L403" s="82">
        <f t="shared" si="0"/>
        <v>81.648454999999984</v>
      </c>
      <c r="M403" s="82">
        <f>'BOLETIM DE MEDIÇÃO 05'!G51</f>
        <v>61.56</v>
      </c>
      <c r="N403" s="86">
        <f t="shared" si="1"/>
        <v>-20.088454999999982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27">
        <v>4.84</v>
      </c>
      <c r="H404" s="527"/>
      <c r="I404" s="528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27">
        <v>9.5</v>
      </c>
      <c r="H405" s="527"/>
      <c r="I405" s="528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26">
        <v>2.48</v>
      </c>
      <c r="H406" s="527"/>
      <c r="I406" s="528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483">
        <f>K403</f>
        <v>4.84</v>
      </c>
      <c r="H408" s="484"/>
      <c r="I408" s="485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10'!R53-'MEMORIAL DE CALCULO 07'!K409</f>
        <v>312.29999999999995</v>
      </c>
      <c r="K409" s="81">
        <f>K410</f>
        <v>94.6</v>
      </c>
      <c r="L409" s="82">
        <f t="shared" si="0"/>
        <v>406.9</v>
      </c>
      <c r="M409" s="82">
        <f>'BOLETIM DE MEDIÇÃO 05'!G53</f>
        <v>312.3</v>
      </c>
      <c r="N409" s="86">
        <f t="shared" si="1"/>
        <v>-94.599999999999966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483">
        <v>94.6</v>
      </c>
      <c r="H410" s="484"/>
      <c r="I410" s="485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483">
        <v>154.80000000000001</v>
      </c>
      <c r="H412" s="484"/>
      <c r="I412" s="485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483">
        <v>697.98</v>
      </c>
      <c r="H415" s="484"/>
      <c r="I415" s="485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3"/>
      <c r="H416" s="373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3"/>
      <c r="H417" s="373"/>
      <c r="I417" s="318"/>
      <c r="J417" s="99">
        <f>'BOLETIM DE MEDIÇÃO 10'!R63-'MEMORIAL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10'!G63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483">
        <v>351.87</v>
      </c>
      <c r="H418" s="484"/>
      <c r="I418" s="485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3"/>
      <c r="H419" s="373"/>
      <c r="I419" s="318"/>
      <c r="J419" s="99"/>
      <c r="K419" s="82"/>
      <c r="L419" s="82"/>
      <c r="M419" s="82"/>
      <c r="N419" s="86"/>
    </row>
    <row r="420" spans="2:14" x14ac:dyDescent="0.25">
      <c r="B420" s="346" t="s">
        <v>208</v>
      </c>
      <c r="C420" s="347" t="s">
        <v>209</v>
      </c>
      <c r="D420" s="344"/>
      <c r="E420" s="64"/>
      <c r="F420" s="105"/>
      <c r="G420" s="373"/>
      <c r="H420" s="373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3"/>
      <c r="H421" s="373"/>
      <c r="I421" s="318"/>
      <c r="J421" s="99">
        <f>'BOLETIM DE MEDIÇÃO 10'!R82-'MEMORIAL DE CALCULO 07'!K421</f>
        <v>145.93099999999998</v>
      </c>
      <c r="K421" s="81">
        <f>K422</f>
        <v>320.44</v>
      </c>
      <c r="L421" s="82">
        <f>J421+K421</f>
        <v>466.37099999999998</v>
      </c>
      <c r="M421" s="82">
        <f>'BOLETIM DE MEDIÇÃO 10'!G83</f>
        <v>466.37</v>
      </c>
      <c r="N421" s="86">
        <f>M421-L421</f>
        <v>-9.9999999997635314E-4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483">
        <v>320.44</v>
      </c>
      <c r="H422" s="484"/>
      <c r="I422" s="485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3"/>
      <c r="H423" s="373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445">
        <v>150</v>
      </c>
      <c r="H426" s="446"/>
      <c r="I426" s="447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6" t="s">
        <v>312</v>
      </c>
      <c r="C431" s="348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10'!R119-'MEMORIAL DE CALCULO 07'!K432</f>
        <v>18.479999999999997</v>
      </c>
      <c r="K432" s="81">
        <f>SUM(K434:K445)</f>
        <v>13.250000000000002</v>
      </c>
      <c r="L432" s="82">
        <f>J432+K432</f>
        <v>31.729999999999997</v>
      </c>
      <c r="M432" s="82">
        <f>'BOLETIM DE MEDIÇÃO 10'!G119</f>
        <v>35.340000000000003</v>
      </c>
      <c r="N432" s="86">
        <f>M432-L432</f>
        <v>3.6100000000000065</v>
      </c>
    </row>
    <row r="433" spans="2:14" x14ac:dyDescent="0.25">
      <c r="B433" s="50"/>
      <c r="C433" s="66"/>
      <c r="D433" s="187" t="s">
        <v>976</v>
      </c>
      <c r="E433" s="69"/>
      <c r="F433" s="312"/>
      <c r="G433" s="445" t="s">
        <v>838</v>
      </c>
      <c r="H433" s="448"/>
      <c r="I433" s="375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74" t="s">
        <v>977</v>
      </c>
      <c r="E434" s="69"/>
      <c r="F434" s="312">
        <v>1</v>
      </c>
      <c r="G434" s="445">
        <v>9</v>
      </c>
      <c r="H434" s="446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74" t="s">
        <v>840</v>
      </c>
      <c r="E435" s="69"/>
      <c r="F435" s="97">
        <v>1</v>
      </c>
      <c r="G435" s="445">
        <v>7</v>
      </c>
      <c r="H435" s="448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74" t="s">
        <v>978</v>
      </c>
      <c r="E436" s="69"/>
      <c r="F436" s="97">
        <v>1</v>
      </c>
      <c r="G436" s="445">
        <v>3</v>
      </c>
      <c r="H436" s="448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74" t="s">
        <v>841</v>
      </c>
      <c r="E437" s="69"/>
      <c r="F437" s="97">
        <v>1</v>
      </c>
      <c r="G437" s="445">
        <v>21</v>
      </c>
      <c r="H437" s="448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74" t="s">
        <v>849</v>
      </c>
      <c r="E438" s="69"/>
      <c r="F438" s="312">
        <v>1</v>
      </c>
      <c r="G438" s="446">
        <v>19</v>
      </c>
      <c r="H438" s="448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74" t="s">
        <v>979</v>
      </c>
      <c r="E439" s="69"/>
      <c r="F439" s="97">
        <v>1</v>
      </c>
      <c r="G439" s="445">
        <v>19</v>
      </c>
      <c r="H439" s="448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74" t="s">
        <v>980</v>
      </c>
      <c r="E440" s="69"/>
      <c r="F440" s="312">
        <v>1</v>
      </c>
      <c r="G440" s="446">
        <v>46</v>
      </c>
      <c r="H440" s="448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74" t="s">
        <v>846</v>
      </c>
      <c r="E441" s="69"/>
      <c r="F441" s="312">
        <v>1</v>
      </c>
      <c r="G441" s="445">
        <v>27</v>
      </c>
      <c r="H441" s="446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74" t="s">
        <v>842</v>
      </c>
      <c r="E442" s="69"/>
      <c r="F442" s="312">
        <v>1</v>
      </c>
      <c r="G442" s="445">
        <v>26</v>
      </c>
      <c r="H442" s="446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74" t="s">
        <v>847</v>
      </c>
      <c r="E443" s="69"/>
      <c r="F443" s="312">
        <v>1</v>
      </c>
      <c r="G443" s="445">
        <v>27</v>
      </c>
      <c r="H443" s="448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74" t="s">
        <v>854</v>
      </c>
      <c r="E444" s="69"/>
      <c r="F444" s="312">
        <v>1</v>
      </c>
      <c r="G444" s="445">
        <v>41</v>
      </c>
      <c r="H444" s="448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74" t="s">
        <v>859</v>
      </c>
      <c r="E445" s="69"/>
      <c r="F445" s="312">
        <v>1</v>
      </c>
      <c r="G445" s="445">
        <v>20</v>
      </c>
      <c r="H445" s="446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74" t="s">
        <v>856</v>
      </c>
      <c r="E446" s="69"/>
      <c r="F446" s="312"/>
      <c r="G446" s="445">
        <v>30</v>
      </c>
      <c r="H446" s="446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74" t="s">
        <v>981</v>
      </c>
      <c r="E447" s="69"/>
      <c r="F447" s="312"/>
      <c r="G447" s="445">
        <v>30</v>
      </c>
      <c r="H447" s="448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10'!R138-'MEMORIAL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76" t="s">
        <v>984</v>
      </c>
      <c r="E450" s="217"/>
      <c r="F450" s="312">
        <v>1</v>
      </c>
      <c r="G450" s="445">
        <f>0.3*98.77</f>
        <v>29.630999999999997</v>
      </c>
      <c r="H450" s="446"/>
      <c r="I450" s="447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10'!R139-'MEMORIAL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76" t="s">
        <v>984</v>
      </c>
      <c r="E453" s="217"/>
      <c r="F453" s="312">
        <v>1</v>
      </c>
      <c r="G453" s="445">
        <f>0.3*62.17</f>
        <v>18.651</v>
      </c>
      <c r="H453" s="446"/>
      <c r="I453" s="447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10'!R140-'MEMORIAL DE CALCULO 07'!K455</f>
        <v>-7.4249999999999998</v>
      </c>
      <c r="K455" s="81">
        <f>K456</f>
        <v>7.4249999999999998</v>
      </c>
      <c r="L455" s="82">
        <f t="shared" si="26"/>
        <v>0</v>
      </c>
      <c r="M455" s="206">
        <v>24.75</v>
      </c>
      <c r="N455" s="86">
        <f>M455-L455</f>
        <v>24.75</v>
      </c>
    </row>
    <row r="456" spans="2:14" x14ac:dyDescent="0.25">
      <c r="B456" s="203"/>
      <c r="C456" s="211"/>
      <c r="D456" s="376" t="s">
        <v>984</v>
      </c>
      <c r="E456" s="217"/>
      <c r="F456" s="312">
        <v>1</v>
      </c>
      <c r="G456" s="445">
        <f>0.3*24.75</f>
        <v>7.4249999999999998</v>
      </c>
      <c r="H456" s="446"/>
      <c r="I456" s="447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10'!R141-'MEMORIAL DE CALCULO 07'!K458</f>
        <v>-7.7759999999999998</v>
      </c>
      <c r="K458" s="81">
        <f>K459</f>
        <v>7.7759999999999998</v>
      </c>
      <c r="L458" s="82">
        <f t="shared" si="26"/>
        <v>0</v>
      </c>
      <c r="M458" s="206">
        <v>25.92</v>
      </c>
      <c r="N458" s="86">
        <f>M458-L458</f>
        <v>25.92</v>
      </c>
    </row>
    <row r="459" spans="2:14" x14ac:dyDescent="0.25">
      <c r="B459" s="203"/>
      <c r="C459" s="211"/>
      <c r="D459" s="376" t="s">
        <v>984</v>
      </c>
      <c r="E459" s="217"/>
      <c r="F459" s="312">
        <v>1</v>
      </c>
      <c r="G459" s="445">
        <f>0.3*25.92</f>
        <v>7.7759999999999998</v>
      </c>
      <c r="H459" s="446"/>
      <c r="I459" s="447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10'!R142-'MEMORIAL DE CALCULO 07'!K461</f>
        <v>-3</v>
      </c>
      <c r="K461" s="81">
        <f>K462</f>
        <v>3</v>
      </c>
      <c r="L461" s="82">
        <f t="shared" si="26"/>
        <v>0</v>
      </c>
      <c r="M461" s="206">
        <v>10</v>
      </c>
      <c r="N461" s="86">
        <f>M461-L461</f>
        <v>10</v>
      </c>
    </row>
    <row r="462" spans="2:14" x14ac:dyDescent="0.25">
      <c r="B462" s="203"/>
      <c r="C462" s="211"/>
      <c r="D462" s="376" t="s">
        <v>984</v>
      </c>
      <c r="E462" s="217"/>
      <c r="F462" s="312">
        <v>1</v>
      </c>
      <c r="G462" s="445">
        <f>0.3*10</f>
        <v>3</v>
      </c>
      <c r="H462" s="446"/>
      <c r="I462" s="447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10'!R143-'MEMORIAL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376" t="s">
        <v>983</v>
      </c>
      <c r="E465" s="217"/>
      <c r="F465" s="312">
        <v>1</v>
      </c>
      <c r="G465" s="445">
        <v>1</v>
      </c>
      <c r="H465" s="446"/>
      <c r="I465" s="447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10'!R144-'MEMORIAL DE CALCULO 07'!K467</f>
        <v>-3</v>
      </c>
      <c r="K467" s="81">
        <f>K468</f>
        <v>3</v>
      </c>
      <c r="L467" s="82">
        <f t="shared" si="26"/>
        <v>0</v>
      </c>
      <c r="M467" s="206">
        <v>6</v>
      </c>
      <c r="N467" s="86">
        <f>M467-L467</f>
        <v>6</v>
      </c>
    </row>
    <row r="468" spans="2:14" x14ac:dyDescent="0.25">
      <c r="B468" s="203"/>
      <c r="C468" s="211"/>
      <c r="D468" s="376" t="s">
        <v>983</v>
      </c>
      <c r="E468" s="217"/>
      <c r="F468" s="312">
        <v>1</v>
      </c>
      <c r="G468" s="445">
        <v>3</v>
      </c>
      <c r="H468" s="446"/>
      <c r="I468" s="447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10'!R145-'MEMORIAL DE CALCULO 07'!K470</f>
        <v>0</v>
      </c>
      <c r="K470" s="82"/>
      <c r="L470" s="82">
        <f t="shared" si="26"/>
        <v>0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10'!R146-'MEMORIAL DE CALCULO 07'!K473</f>
        <v>0</v>
      </c>
      <c r="K473" s="82"/>
      <c r="L473" s="82">
        <f t="shared" si="26"/>
        <v>0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10'!R147-'MEMORIAL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10'!R148-'MEMORIAL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10'!R149-'MEMORIAL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10'!R150-'MEMORIAL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10'!R151-'MEMORIAL DE CALCULO 07'!K488</f>
        <v>0</v>
      </c>
      <c r="K488" s="82"/>
      <c r="L488" s="82">
        <f t="shared" si="26"/>
        <v>0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10'!R152-'MEMORIAL DE CALCULO 07'!K491</f>
        <v>0</v>
      </c>
      <c r="K491" s="82"/>
      <c r="L491" s="82">
        <f t="shared" si="26"/>
        <v>0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10'!R153-'MEMORIAL DE CALCULO 07'!K494</f>
        <v>0</v>
      </c>
      <c r="K494" s="82"/>
      <c r="L494" s="82">
        <f t="shared" si="26"/>
        <v>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10'!R154-'MEMORIAL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76" t="s">
        <v>984</v>
      </c>
      <c r="E498" s="217"/>
      <c r="F498" s="312">
        <v>1</v>
      </c>
      <c r="G498" s="445">
        <f>0.3*38.85</f>
        <v>11.654999999999999</v>
      </c>
      <c r="H498" s="446"/>
      <c r="I498" s="447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10'!R155-'MEMORIAL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76" t="s">
        <v>984</v>
      </c>
      <c r="E501" s="217"/>
      <c r="F501" s="312">
        <v>1</v>
      </c>
      <c r="G501" s="445">
        <f>0.3*46.51</f>
        <v>13.952999999999999</v>
      </c>
      <c r="H501" s="446"/>
      <c r="I501" s="447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10'!R156-'MEMORIAL DE CALCULO 07'!K503</f>
        <v>0</v>
      </c>
      <c r="K503" s="82"/>
      <c r="L503" s="82">
        <f t="shared" si="26"/>
        <v>0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10'!R157-'MEMORIAL DE CALCULO 07'!K506</f>
        <v>32.554000000000002</v>
      </c>
      <c r="K506" s="81">
        <f>K507</f>
        <v>39.831000000000003</v>
      </c>
      <c r="L506" s="82">
        <f t="shared" si="26"/>
        <v>72.385000000000005</v>
      </c>
      <c r="M506" s="206">
        <v>132.77000000000001</v>
      </c>
      <c r="N506" s="86"/>
    </row>
    <row r="507" spans="2:14" x14ac:dyDescent="0.25">
      <c r="B507" s="203"/>
      <c r="C507" s="211"/>
      <c r="D507" s="376" t="s">
        <v>984</v>
      </c>
      <c r="E507" s="217"/>
      <c r="F507" s="312">
        <v>1</v>
      </c>
      <c r="G507" s="445">
        <f>0.3*132.77</f>
        <v>39.831000000000003</v>
      </c>
      <c r="H507" s="446"/>
      <c r="I507" s="447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10'!R158-'MEMORIAL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10'!R159-'MEMORIAL DE CALCULO 07'!K512</f>
        <v>-12.902999999999999</v>
      </c>
      <c r="K512" s="81">
        <f>K513</f>
        <v>12.902999999999999</v>
      </c>
      <c r="L512" s="82">
        <f t="shared" si="26"/>
        <v>0</v>
      </c>
      <c r="M512" s="206">
        <v>43.01</v>
      </c>
      <c r="N512" s="86"/>
    </row>
    <row r="513" spans="2:14" x14ac:dyDescent="0.25">
      <c r="B513" s="50"/>
      <c r="C513" s="66"/>
      <c r="D513" s="376" t="s">
        <v>984</v>
      </c>
      <c r="E513" s="69"/>
      <c r="F513" s="312">
        <v>1</v>
      </c>
      <c r="G513" s="445">
        <f>0.3*43.01</f>
        <v>12.902999999999999</v>
      </c>
      <c r="H513" s="446"/>
      <c r="I513" s="447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446"/>
      <c r="H543" s="446"/>
      <c r="I543" s="447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0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445">
        <f>65.42</f>
        <v>65.42</v>
      </c>
      <c r="H545" s="448"/>
      <c r="I545" s="105">
        <v>3.1</v>
      </c>
      <c r="J545" s="99"/>
      <c r="K545" s="350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523" t="s">
        <v>836</v>
      </c>
      <c r="H549" s="524"/>
      <c r="I549" s="525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12" zoomScaleNormal="100" workbookViewId="0">
      <selection activeCell="A386" sqref="A386:XFD38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60" t="s">
        <v>956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63"/>
    </row>
    <row r="4" spans="2:14" ht="16.5" x14ac:dyDescent="0.25">
      <c r="B4" s="466" t="s">
        <v>542</v>
      </c>
      <c r="C4" s="467"/>
      <c r="D4" s="467"/>
      <c r="E4" s="467"/>
      <c r="F4" s="467"/>
      <c r="G4" s="467"/>
      <c r="H4" s="467"/>
      <c r="I4" s="16" t="s">
        <v>544</v>
      </c>
      <c r="J4" s="468">
        <v>1240378.43</v>
      </c>
      <c r="K4" s="469"/>
      <c r="L4" s="469"/>
      <c r="M4" s="469"/>
      <c r="N4" s="46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64"/>
    </row>
    <row r="6" spans="2:14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72" t="s">
        <v>592</v>
      </c>
      <c r="J6" s="473"/>
      <c r="K6" s="473"/>
      <c r="L6" s="473"/>
      <c r="M6" s="473"/>
      <c r="N6" s="46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64"/>
    </row>
    <row r="8" spans="2:14" ht="17.25" thickBot="1" x14ac:dyDescent="0.3">
      <c r="B8" s="474">
        <v>45453</v>
      </c>
      <c r="C8" s="475"/>
      <c r="D8" s="23" t="s">
        <v>957</v>
      </c>
      <c r="E8" s="476">
        <f>'BOLETIM DE MEDIÇÃO 10'!Z209</f>
        <v>70347.038280000008</v>
      </c>
      <c r="F8" s="477"/>
      <c r="G8" s="478"/>
      <c r="H8" s="479">
        <f>'BOLETIM DE MEDIÇÃO 05'!H8</f>
        <v>274592.67562904983</v>
      </c>
      <c r="I8" s="480"/>
      <c r="J8" s="481" t="s">
        <v>955</v>
      </c>
      <c r="K8" s="482"/>
      <c r="L8" s="482"/>
      <c r="M8" s="482"/>
      <c r="N8" s="46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54" t="s">
        <v>526</v>
      </c>
      <c r="C10" s="454" t="s">
        <v>527</v>
      </c>
      <c r="D10" s="456" t="s">
        <v>528</v>
      </c>
      <c r="E10" s="454" t="s">
        <v>529</v>
      </c>
      <c r="F10" s="458" t="s">
        <v>556</v>
      </c>
      <c r="G10" s="449" t="s">
        <v>557</v>
      </c>
      <c r="H10" s="450"/>
      <c r="I10" s="450"/>
      <c r="J10" s="451" t="s">
        <v>594</v>
      </c>
      <c r="K10" s="452"/>
      <c r="L10" s="452"/>
      <c r="M10" s="452"/>
      <c r="N10" s="453"/>
    </row>
    <row r="11" spans="2:14" ht="18" x14ac:dyDescent="0.25">
      <c r="B11" s="455"/>
      <c r="C11" s="455"/>
      <c r="D11" s="457"/>
      <c r="E11" s="455"/>
      <c r="F11" s="45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83">
        <v>1430.2</v>
      </c>
      <c r="H20" s="484"/>
      <c r="I20" s="48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83">
        <v>1430.2</v>
      </c>
      <c r="H22" s="484"/>
      <c r="I22" s="48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17">
        <v>1</v>
      </c>
      <c r="G70" s="502">
        <f>43.05</f>
        <v>43.05</v>
      </c>
      <c r="H70" s="503"/>
      <c r="I70" s="50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18"/>
      <c r="G71" s="505"/>
      <c r="H71" s="506"/>
      <c r="I71" s="50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99" t="s">
        <v>883</v>
      </c>
      <c r="H72" s="500"/>
      <c r="I72" s="50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97" t="s">
        <v>838</v>
      </c>
      <c r="H73" s="49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97">
        <v>9</v>
      </c>
      <c r="H74" s="49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97">
        <v>5</v>
      </c>
      <c r="H75" s="49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97">
        <f xml:space="preserve"> (13.03 * 2.7)</f>
        <v>35.180999999999997</v>
      </c>
      <c r="H76" s="49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97">
        <v>3</v>
      </c>
      <c r="H77" s="49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97">
        <v>7</v>
      </c>
      <c r="H78" s="49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97">
        <v>21</v>
      </c>
      <c r="H79" s="49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97">
        <v>27</v>
      </c>
      <c r="H80" s="49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97">
        <v>26</v>
      </c>
      <c r="H81" s="49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97">
        <v>1.6</v>
      </c>
      <c r="H82" s="49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97">
        <v>1.6</v>
      </c>
      <c r="H83" s="49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97">
        <v>45</v>
      </c>
      <c r="H84" s="49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97">
        <v>19</v>
      </c>
      <c r="H85" s="49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97">
        <v>19</v>
      </c>
      <c r="H86" s="49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97">
        <v>5</v>
      </c>
      <c r="H87" s="49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97">
        <v>14</v>
      </c>
      <c r="H88" s="49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08">
        <v>36</v>
      </c>
      <c r="H89" s="50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08">
        <v>46</v>
      </c>
      <c r="H90" s="50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97">
        <v>41</v>
      </c>
      <c r="H91" s="49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97">
        <v>27</v>
      </c>
      <c r="H92" s="49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97">
        <v>53</v>
      </c>
      <c r="H93" s="49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97">
        <f xml:space="preserve"> (2.65*1.8)</f>
        <v>4.7699999999999996</v>
      </c>
      <c r="H94" s="49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97">
        <v>30</v>
      </c>
      <c r="H95" s="49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97">
        <v>30</v>
      </c>
      <c r="H96" s="49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97">
        <v>14</v>
      </c>
      <c r="H97" s="49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97">
        <v>14</v>
      </c>
      <c r="H98" s="49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97">
        <v>20</v>
      </c>
      <c r="H99" s="49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97">
        <v>3</v>
      </c>
      <c r="H100" s="49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97">
        <v>4</v>
      </c>
      <c r="H101" s="49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97">
        <v>12</v>
      </c>
      <c r="H102" s="49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97">
        <v>20</v>
      </c>
      <c r="H103" s="49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97">
        <v>4</v>
      </c>
      <c r="H104" s="49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97">
        <v>5</v>
      </c>
      <c r="H105" s="49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97">
        <f>1184.23-SUM(G74:H105)</f>
        <v>582.07900000000006</v>
      </c>
      <c r="H106" s="49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97"/>
      <c r="H107" s="49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86" t="s">
        <v>652</v>
      </c>
      <c r="H108" s="489"/>
      <c r="I108" s="49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83" t="s">
        <v>831</v>
      </c>
      <c r="H172" s="484"/>
      <c r="I172" s="485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86">
        <v>492.78</v>
      </c>
      <c r="H173" s="489"/>
      <c r="I173" s="49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86">
        <f>(2*12)+(2*3.79)+(2*8.94)+(2*6.27)+ 1.39+0.99 +(2*1.85)+(2*1.7)+ (2*1.35)</f>
        <v>74.180000000000007</v>
      </c>
      <c r="H174" s="48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86">
        <f>(2*10.92)+(2*10.92)+ 1.3 + 1.1</f>
        <v>46.08</v>
      </c>
      <c r="H175" s="48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86">
        <f>(2*1.87)+(2*1.87)</f>
        <v>7.48</v>
      </c>
      <c r="H176" s="48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86">
        <f>(2*6.55)+(2*6.3)+1.75+1.35+1.19</f>
        <v>29.990000000000002</v>
      </c>
      <c r="H177" s="48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86">
        <f>(2*8.39)+(2*1.7)+ 1.1+ 3.13 + (2*5.24)+ (2*3.11)</f>
        <v>41.11</v>
      </c>
      <c r="H178" s="48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86"/>
      <c r="H179" s="48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86"/>
      <c r="H180" s="48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86"/>
      <c r="H181" s="48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86"/>
      <c r="H182" s="48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86"/>
      <c r="H183" s="48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86"/>
      <c r="H184" s="48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86"/>
      <c r="H185" s="48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86"/>
      <c r="H186" s="48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86"/>
      <c r="H187" s="48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86"/>
      <c r="H188" s="48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86"/>
      <c r="H189" s="48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86"/>
      <c r="H190" s="48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86"/>
      <c r="H191" s="48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86"/>
      <c r="H192" s="48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86"/>
      <c r="H193" s="48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86"/>
      <c r="H194" s="48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86"/>
      <c r="H195" s="48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86"/>
      <c r="H196" s="48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86"/>
      <c r="H197" s="48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86"/>
      <c r="H198" s="48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86"/>
      <c r="H199" s="48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83">
        <f xml:space="preserve"> (2*1.31) + (2*1.51) + (2*4.98)</f>
        <v>15.600000000000001</v>
      </c>
      <c r="H201" s="48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83">
        <f xml:space="preserve"> (3*3.37) + (1.37) + (2*3.47)</f>
        <v>18.420000000000002</v>
      </c>
      <c r="H202" s="48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83">
        <f xml:space="preserve"> (1.87) + (2*3.62)</f>
        <v>9.11</v>
      </c>
      <c r="H203" s="48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83">
        <f xml:space="preserve"> (4*0.88) + (2*3.36) + (2*5.03)</f>
        <v>20.3</v>
      </c>
      <c r="H204" s="48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83">
        <f xml:space="preserve"> (2*3.18) + (2*3.18)</f>
        <v>12.72</v>
      </c>
      <c r="H205" s="48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83">
        <f xml:space="preserve"> (4*2.15)</f>
        <v>8.6</v>
      </c>
      <c r="H206" s="48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83">
        <f xml:space="preserve"> (4*6.99)</f>
        <v>27.96</v>
      </c>
      <c r="H207" s="48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83" t="s">
        <v>831</v>
      </c>
      <c r="H208" s="484"/>
      <c r="I208" s="48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83"/>
      <c r="H209" s="484"/>
      <c r="I209" s="48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86" t="s">
        <v>679</v>
      </c>
      <c r="H217" s="48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83" t="s">
        <v>680</v>
      </c>
      <c r="H218" s="48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83" t="s">
        <v>681</v>
      </c>
      <c r="H219" s="48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83" t="s">
        <v>682</v>
      </c>
      <c r="H220" s="48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83" t="s">
        <v>684</v>
      </c>
      <c r="H221" s="48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83" t="s">
        <v>683</v>
      </c>
      <c r="H222" s="48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83" t="s">
        <v>685</v>
      </c>
      <c r="H223" s="48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86" t="s">
        <v>686</v>
      </c>
      <c r="H224" s="48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83" t="s">
        <v>687</v>
      </c>
      <c r="H225" s="48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83" t="s">
        <v>688</v>
      </c>
      <c r="H226" s="48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86" t="s">
        <v>689</v>
      </c>
      <c r="H227" s="48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83" t="s">
        <v>690</v>
      </c>
      <c r="H228" s="48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86" t="s">
        <v>691</v>
      </c>
      <c r="H229" s="48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83" t="s">
        <v>692</v>
      </c>
      <c r="H230" s="48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83" t="s">
        <v>693</v>
      </c>
      <c r="H231" s="48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86" t="s">
        <v>694</v>
      </c>
      <c r="H232" s="48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83" t="s">
        <v>695</v>
      </c>
      <c r="H233" s="48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83" t="s">
        <v>696</v>
      </c>
      <c r="H234" s="48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83" t="s">
        <v>697</v>
      </c>
      <c r="H235" s="48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83" t="s">
        <v>698</v>
      </c>
      <c r="H236" s="48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83" t="s">
        <v>699</v>
      </c>
      <c r="H237" s="48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83" t="s">
        <v>700</v>
      </c>
      <c r="H238" s="48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83" t="s">
        <v>701</v>
      </c>
      <c r="H239" s="48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86" t="s">
        <v>702</v>
      </c>
      <c r="H240" s="48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83" t="s">
        <v>704</v>
      </c>
      <c r="H241" s="48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83" t="s">
        <v>703</v>
      </c>
      <c r="H242" s="48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83" t="s">
        <v>703</v>
      </c>
      <c r="H243" s="48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83" t="s">
        <v>705</v>
      </c>
      <c r="H244" s="48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83" t="s">
        <v>704</v>
      </c>
      <c r="H245" s="48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83" t="s">
        <v>705</v>
      </c>
      <c r="H246" s="48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83" t="s">
        <v>704</v>
      </c>
      <c r="H247" s="48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83">
        <v>9.6</v>
      </c>
      <c r="H248" s="484"/>
      <c r="I248" s="48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83">
        <v>12.75</v>
      </c>
      <c r="H249" s="484"/>
      <c r="I249" s="48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13" t="s">
        <v>874</v>
      </c>
      <c r="H257" s="514"/>
      <c r="I257" s="515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83"/>
      <c r="H258" s="484"/>
      <c r="I258" s="48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83">
        <v>9.6</v>
      </c>
      <c r="H259" s="484"/>
      <c r="I259" s="48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83" t="s">
        <v>831</v>
      </c>
      <c r="H260" s="484"/>
      <c r="I260" s="48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83">
        <f>G249</f>
        <v>12.75</v>
      </c>
      <c r="H261" s="484"/>
      <c r="I261" s="48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83" t="s">
        <v>831</v>
      </c>
      <c r="H262" s="484"/>
      <c r="I262" s="48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86" t="s">
        <v>647</v>
      </c>
      <c r="H263" s="48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83">
        <f xml:space="preserve"> ((0.59*(1.85/0.1)) * 2)</f>
        <v>21.83</v>
      </c>
      <c r="H264" s="48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83">
        <f>(0.69*(1.87/0.1)) + (0.79*(1.87/0.1))</f>
        <v>27.675999999999998</v>
      </c>
      <c r="H265" s="48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83">
        <f>((0.69*(1.9/0.1))*3) + ((0.59*(1.87/0.1))*2)</f>
        <v>61.395999999999987</v>
      </c>
      <c r="H266" s="48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83">
        <f>((0.69*(1.92/0.1))*1) + ((0.59*(1.92/0.1))*2)</f>
        <v>35.903999999999996</v>
      </c>
      <c r="H267" s="48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83">
        <f>((0.79*(1.94/0.1))*3)</f>
        <v>45.977999999999994</v>
      </c>
      <c r="H268" s="48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83">
        <f>((0.69*(1.96/0.1))*3) + ((0.59*(1.96/0.1))*2)</f>
        <v>63.699999999999989</v>
      </c>
      <c r="H269" s="48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83">
        <f>((0.59*(1.95/0.1))*2) + ((0.69*(1.95/0.1))*3) +((0.79*(1.95/0.1))*1)</f>
        <v>78.78</v>
      </c>
      <c r="H270" s="48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83">
        <f>((0.59*(1.97/0.1))*1)  +((0.79*(1.97/0.1))*2)</f>
        <v>42.749000000000002</v>
      </c>
      <c r="H271" s="48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83">
        <f>((0.59*(1.9/0.1))*3)</f>
        <v>33.629999999999995</v>
      </c>
      <c r="H272" s="48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83">
        <f>((0.69*(1.86/0.1))*1) + ((0.69*(1.86/0.1))*1) + ((0.89*(1.86/0.1))*1)</f>
        <v>42.222000000000001</v>
      </c>
      <c r="H273" s="48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83">
        <f>((0.69*(1.87/0.1))*3)</f>
        <v>38.708999999999996</v>
      </c>
      <c r="H274" s="48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83">
        <f>((0.69*(1.9/0.1))*1) + ((0.79*(1.9/0.1))*2) + ((0.59*(1.9/0.1))*1)</f>
        <v>54.339999999999989</v>
      </c>
      <c r="H275" s="48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83">
        <f>((0.79*(1.91/0.1))*1) +((0.59*(1.91/0.1))*1)</f>
        <v>26.357999999999997</v>
      </c>
      <c r="H276" s="48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83">
        <f>((0.79*(1.94/0.1))*1) +((0.59*(1.94/0.1))*5)</f>
        <v>72.555999999999983</v>
      </c>
      <c r="H277" s="48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83">
        <f>((0.69*(1.92/0.1))*2) + ((0.69*(1.92/0.1))*1)</f>
        <v>39.744</v>
      </c>
      <c r="H278" s="48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83">
        <f>((0.59*(1.93/0.1))*2) + ((0.79*(1.93/0.1))*1)</f>
        <v>38.020999999999994</v>
      </c>
      <c r="H279" s="48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83">
        <f>((0.59*(1.87/0.1))*2) + ((0.69*(1.87/0.1))*2)</f>
        <v>47.872</v>
      </c>
      <c r="H280" s="48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83">
        <f>((0.59*(1.88/0.1))*3) + ((0.69*(1.88/0.1))*1)</f>
        <v>46.24799999999999</v>
      </c>
      <c r="H281" s="48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83">
        <f>((0.79*(1.9/0.1))*1) + ((0.69*(1.9/0.1))*3)</f>
        <v>54.339999999999982</v>
      </c>
      <c r="H282" s="48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83">
        <f>((0.59*(1.9/0.1))*1)</f>
        <v>11.209999999999997</v>
      </c>
      <c r="H283" s="48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83">
        <f>((0.69*(1.87/0.1))*1) + ((0.59*(1.87/0.1))*1)</f>
        <v>23.936</v>
      </c>
      <c r="H284" s="48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83">
        <f>((0.69*(2/0.1))*1) + ((0.59*(2/0.1))*2)</f>
        <v>37.4</v>
      </c>
      <c r="H285" s="48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83">
        <f>((0.69*(2.01/0.1))*1) + ((0.59*(2.01/0.1))*5) + ((0.79*(2.01/0.1))*1)</f>
        <v>89.042999999999992</v>
      </c>
      <c r="H286" s="48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83">
        <f>(((1.39+0.47+0.47))*(1.86/0.15))</f>
        <v>28.892000000000003</v>
      </c>
      <c r="H287" s="48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83">
        <f>(((1.09+0.022))*(1.87/0.15))</f>
        <v>13.862933333333336</v>
      </c>
      <c r="H288" s="48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83">
        <f>(((1.09+0.022))*(1.89/0.15))</f>
        <v>14.011200000000001</v>
      </c>
      <c r="H289" s="48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83">
        <f>(((0.59))*(1.9/0.15))</f>
        <v>7.4733333333333327</v>
      </c>
      <c r="H290" s="48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83">
        <f>(((0.59))*(1.92/0.15))</f>
        <v>7.5519999999999996</v>
      </c>
      <c r="H291" s="48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83">
        <f>(((0.59))*(1.9/0.15))</f>
        <v>7.4733333333333327</v>
      </c>
      <c r="H292" s="48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83">
        <f>(((0.69))*(1.98/0.15))</f>
        <v>9.1080000000000005</v>
      </c>
      <c r="H293" s="48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86">
        <v>210.13</v>
      </c>
      <c r="H294" s="489"/>
      <c r="I294" s="49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83">
        <f xml:space="preserve"> (2*2.51) + (40*0.59)</f>
        <v>28.619999999999997</v>
      </c>
      <c r="H295" s="48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83">
        <f xml:space="preserve"> (19*0.79)</f>
        <v>15.010000000000002</v>
      </c>
      <c r="H296" s="48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83">
        <f xml:space="preserve"> (21*0.79)</f>
        <v>16.59</v>
      </c>
      <c r="H297" s="48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83">
        <f xml:space="preserve"> (2*3.86) + (29*0.79)</f>
        <v>30.63</v>
      </c>
      <c r="H298" s="48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83">
        <f xml:space="preserve"> (22*0.59)</f>
        <v>12.979999999999999</v>
      </c>
      <c r="H299" s="48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83">
        <f xml:space="preserve"> (14*0.059)</f>
        <v>0.82599999999999996</v>
      </c>
      <c r="H300" s="48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83">
        <f xml:space="preserve"> (59*0.59)</f>
        <v>34.809999999999995</v>
      </c>
      <c r="H301" s="48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83">
        <v>295</v>
      </c>
      <c r="H303" s="484"/>
      <c r="I303" s="48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86" t="s">
        <v>628</v>
      </c>
      <c r="H306" s="48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83">
        <f xml:space="preserve"> (4*(0.2+0.25+1.85+0.33)) * 2</f>
        <v>21.040000000000003</v>
      </c>
      <c r="H307" s="48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83">
        <f xml:space="preserve"> ((4*(0.2+0.25+1.87+0.33)) * 2)</f>
        <v>21.200000000000003</v>
      </c>
      <c r="H308" s="48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83">
        <f xml:space="preserve"> (4*(0.2+0.25+1.9+0.33)) * 5</f>
        <v>53.6</v>
      </c>
      <c r="H309" s="48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83">
        <f xml:space="preserve"> (4*(0.2+0.25+1.92+0.33)) *3</f>
        <v>32.400000000000006</v>
      </c>
      <c r="H310" s="48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83">
        <f xml:space="preserve"> (4*(0.2+0.25+1.94+0.33)) * 3</f>
        <v>32.64</v>
      </c>
      <c r="H311" s="48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83">
        <f xml:space="preserve"> (4*(0.2+0.25+1.96+0.33)) * 5</f>
        <v>54.800000000000004</v>
      </c>
      <c r="H312" s="48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83">
        <f xml:space="preserve"> (4*(0.2+0.25+1.95+0.33)) * 6</f>
        <v>65.52</v>
      </c>
      <c r="H313" s="48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83">
        <f xml:space="preserve"> (4*(0.2+0.25+1.97+0.33)) * 3</f>
        <v>33</v>
      </c>
      <c r="H314" s="48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83">
        <f xml:space="preserve"> (4*(0.2+0.25+1.9+0.33)) * 3</f>
        <v>32.160000000000004</v>
      </c>
      <c r="H315" s="48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83">
        <f xml:space="preserve"> ((4*(0.2+0.25+1.86+0.33)) * 3)</f>
        <v>31.68</v>
      </c>
      <c r="H316" s="48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83">
        <f xml:space="preserve"> ((4*(0.2+0.25+1.87+0.33)) * 3)</f>
        <v>31.800000000000004</v>
      </c>
      <c r="H317" s="48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83">
        <f xml:space="preserve"> ((4*(0.2+0.25+1.9+0.33)) * 4)</f>
        <v>42.88</v>
      </c>
      <c r="H318" s="48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83">
        <f xml:space="preserve"> ((4*(0.2+0.25+1.91+0.33)) * 2)</f>
        <v>21.52</v>
      </c>
      <c r="H319" s="48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83">
        <f xml:space="preserve"> ((4*(0.2+0.25+1.94+0.33)) * 6)</f>
        <v>65.28</v>
      </c>
      <c r="H320" s="48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83">
        <f xml:space="preserve"> ((4*(0.2+0.25+1.92+0.33)) *3)</f>
        <v>32.400000000000006</v>
      </c>
      <c r="H321" s="48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83">
        <f xml:space="preserve"> ((4*(0.2+0.25+1.93+0.33)) *3)</f>
        <v>32.519999999999996</v>
      </c>
      <c r="H322" s="48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83">
        <f xml:space="preserve"> ((4*(0.2+0.25+1.87+0.33)) *4)</f>
        <v>42.400000000000006</v>
      </c>
      <c r="H323" s="48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83">
        <f xml:space="preserve"> ((4*(0.2+0.25+1.88+0.33)) *4)</f>
        <v>42.56</v>
      </c>
      <c r="H324" s="48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83">
        <f xml:space="preserve"> ((4*(0.2+0.25+1.9+0.33)) *4)</f>
        <v>42.88</v>
      </c>
      <c r="H325" s="48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83">
        <f>((4*(0.2+0.25+1.9+0.33))) + ((8*(0.2+0.25+1.9)))</f>
        <v>29.520000000000003</v>
      </c>
      <c r="H326" s="48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83">
        <f xml:space="preserve"> ((4*(0.2+0.25+1.97+0.33)) *2)</f>
        <v>22</v>
      </c>
      <c r="H327" s="48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83">
        <f xml:space="preserve"> ((4*(0.2+0.25+2+0.33)) *3)</f>
        <v>33.36</v>
      </c>
      <c r="H328" s="48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83">
        <f xml:space="preserve"> ((4*(0.2+0.25+2.01+0.33)) *7)</f>
        <v>78.12</v>
      </c>
      <c r="H329" s="48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83" t="s">
        <v>831</v>
      </c>
      <c r="H330" s="484"/>
      <c r="I330" s="48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86" t="s">
        <v>628</v>
      </c>
      <c r="H331" s="48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83">
        <f>((8*(0.2+0.25+1.86+0.42)))</f>
        <v>21.84</v>
      </c>
      <c r="H332" s="48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83">
        <f>((6*(0.2+0.25+1.87+0.42)))</f>
        <v>16.440000000000001</v>
      </c>
      <c r="H333" s="48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83">
        <f>((6*(0.2+0.25+1.89+0.42)))</f>
        <v>16.559999999999999</v>
      </c>
      <c r="H334" s="48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83">
        <f>((4*(0.2+0.25+1.9+0.42)))</f>
        <v>11.08</v>
      </c>
      <c r="H335" s="48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83">
        <f>((4*(0.2+0.25+1.92+0.42)))</f>
        <v>11.16</v>
      </c>
      <c r="H336" s="48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83">
        <f>((4*(0.2+0.25+1.9+0.42)))</f>
        <v>11.08</v>
      </c>
      <c r="H337" s="48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83">
        <f>((4*(0.2+0.25+1.98+0.42)))+(2*(0.2+0.25+1.98))</f>
        <v>16.260000000000002</v>
      </c>
      <c r="H338" s="48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86">
        <v>52.34</v>
      </c>
      <c r="H339" s="489"/>
      <c r="I339" s="49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83"/>
      <c r="H340" s="484"/>
      <c r="I340" s="48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83">
        <v>223.49</v>
      </c>
      <c r="H341" s="484"/>
      <c r="I341" s="48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86" t="s">
        <v>706</v>
      </c>
      <c r="H350" s="48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83">
        <f xml:space="preserve"> ((0.15+0.25)*2) *2</f>
        <v>1.6</v>
      </c>
      <c r="H351" s="48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83">
        <f xml:space="preserve"> ((0.2+0.25)*2) + ((0.2+0.3)*2)</f>
        <v>1.9</v>
      </c>
      <c r="H352" s="488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83">
        <f xml:space="preserve"> ((0.2+0.25)*2*3) + ((0.2+0.2)*2*1) + ((0.15+0.2)*2*1)</f>
        <v>4.2</v>
      </c>
      <c r="H353" s="48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83">
        <f xml:space="preserve"> ((0.2+0.25)*2*1) + ((0.15+0.25)*2*2)</f>
        <v>2.5</v>
      </c>
      <c r="H354" s="48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83">
        <f xml:space="preserve"> ((0.15+0.3)*2*3)</f>
        <v>2.6999999999999997</v>
      </c>
      <c r="H355" s="48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83">
        <f xml:space="preserve"> ((0.2+0.25)*2*3) + ((0.15+0.25)*2*2)</f>
        <v>4.3000000000000007</v>
      </c>
      <c r="H356" s="48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83">
        <f xml:space="preserve"> ((0.2+0.25)*2*3) + ((0.15+0.25)*2*2) +  ((0.2+0.3)*2*1)</f>
        <v>5.3000000000000007</v>
      </c>
      <c r="H357" s="48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83">
        <f xml:space="preserve"> ((0.2+0.25)*2*2) + ((0.15+0.25)*2*1)</f>
        <v>2.6</v>
      </c>
      <c r="H358" s="48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83">
        <f>((0.15+0.25)*2*3)</f>
        <v>2.4000000000000004</v>
      </c>
      <c r="H359" s="48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83">
        <f xml:space="preserve"> ((0.2+0.25)*2*1) + ((0.15+0.25)*2*1) +  ((0.2+0.35)*2*1)</f>
        <v>2.8000000000000003</v>
      </c>
      <c r="H360" s="48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83">
        <f xml:space="preserve"> ((0.2+0.25)*2*1) + ((0.15+0.3)*2*2)</f>
        <v>2.6999999999999997</v>
      </c>
      <c r="H361" s="48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83">
        <f xml:space="preserve"> ((0.2+0.3)*2*1) + ((0.15+0.3)*2*1) +  ((0.15+0.25)*2*1) + ((0.15+0.35)*2*1)</f>
        <v>3.7</v>
      </c>
      <c r="H362" s="48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83">
        <f xml:space="preserve"> ((0.15+0.25)*2*1) + ((0.2+0.3)*2*1)</f>
        <v>1.8</v>
      </c>
      <c r="H363" s="48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83">
        <f xml:space="preserve"> ((0.15+0.25)*2*5) + ((0.25+0.25)*2*1)</f>
        <v>5</v>
      </c>
      <c r="H364" s="48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83">
        <f xml:space="preserve"> ((0.2+0.25)*2*1) + ((0.15+0.25)*2*1) +  ((0.25+0.25)*2*1)</f>
        <v>2.7</v>
      </c>
      <c r="H365" s="48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83">
        <f xml:space="preserve"> ((0.15+0.25)*2*2) + ((0.25+0.25)*2*1)</f>
        <v>2.6</v>
      </c>
      <c r="H366" s="48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83">
        <f xml:space="preserve"> ((0.15+0.25)*2*2) + ((0.2+0.25)*2*2)</f>
        <v>3.4000000000000004</v>
      </c>
      <c r="H367" s="48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83">
        <f xml:space="preserve"> ((0.15+0.25)*2*3) + ((0.2+0.25)*2*1)</f>
        <v>3.3000000000000003</v>
      </c>
      <c r="H368" s="48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83">
        <f>((0.2+0.25)*2*3) + ((0.25+0.25)*2*1)</f>
        <v>3.7</v>
      </c>
      <c r="H369" s="48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83">
        <f>((0.2+0.2)*2*1)</f>
        <v>0.8</v>
      </c>
      <c r="H370" s="48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83">
        <f>((0.2+0.25)*2*1) + ((0.15+0.25)*2*1)</f>
        <v>1.7000000000000002</v>
      </c>
      <c r="H371" s="48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83">
        <f>((0.2+0.25)*2*1) + ((0.15+0.25)*2*2)</f>
        <v>2.5</v>
      </c>
      <c r="H372" s="48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83">
        <f xml:space="preserve"> ((0.2+0.3)*2*1) + ((0.15+0.25)*2*5) +  ((0.25+0.25)*2*1)</f>
        <v>6</v>
      </c>
      <c r="H373" s="48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83">
        <f>((0.15+0.3)*2*1)</f>
        <v>0.89999999999999991</v>
      </c>
      <c r="H374" s="48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83">
        <f>((0.15+0.5)*2*1)</f>
        <v>1.3</v>
      </c>
      <c r="H375" s="48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83">
        <f>((0.15+0.5)*2*1)</f>
        <v>1.3</v>
      </c>
      <c r="H376" s="48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83">
        <f>((0.15+0.25)*2*1)</f>
        <v>0.8</v>
      </c>
      <c r="H377" s="48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83">
        <f t="shared" ref="G378" si="18">((0.15+0.3)*2*1)</f>
        <v>0.89999999999999991</v>
      </c>
      <c r="H378" s="48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83">
        <f>((0.15+0.25)*2*1)</f>
        <v>0.8</v>
      </c>
      <c r="H379" s="48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83">
        <f>((0.15+0.3)*2*1)</f>
        <v>0.89999999999999991</v>
      </c>
      <c r="H380" s="48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483">
        <f>0.8*327.43</f>
        <v>261.94400000000002</v>
      </c>
      <c r="H385" s="484"/>
      <c r="I385" s="485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483">
        <f>0.6*357.5</f>
        <v>214.5</v>
      </c>
      <c r="H387" s="484"/>
      <c r="I387" s="485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445">
        <f>0.4*39.1</f>
        <v>15.64</v>
      </c>
      <c r="H389" s="446"/>
      <c r="I389" s="447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0" customFormat="1" ht="22.9" customHeight="1" x14ac:dyDescent="0.25">
      <c r="B391" s="362"/>
      <c r="C391" s="363"/>
      <c r="D391" s="364" t="s">
        <v>953</v>
      </c>
      <c r="E391" s="365"/>
      <c r="F391" s="366">
        <v>1</v>
      </c>
      <c r="G391" s="531">
        <f>0.6* 692.8</f>
        <v>415.67999999999995</v>
      </c>
      <c r="H391" s="532"/>
      <c r="I391" s="533"/>
      <c r="J391" s="367"/>
      <c r="K391" s="368">
        <f>F391*G391</f>
        <v>415.67999999999995</v>
      </c>
      <c r="L391" s="368"/>
      <c r="M391" s="368"/>
      <c r="N391" s="369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0" customFormat="1" ht="19.899999999999999" customHeight="1" x14ac:dyDescent="0.25">
      <c r="B393" s="362"/>
      <c r="C393" s="363"/>
      <c r="D393" s="364" t="s">
        <v>953</v>
      </c>
      <c r="E393" s="365"/>
      <c r="F393" s="371">
        <v>1</v>
      </c>
      <c r="G393" s="531">
        <f>0.6* 95</f>
        <v>57</v>
      </c>
      <c r="H393" s="532"/>
      <c r="I393" s="533"/>
      <c r="J393" s="367"/>
      <c r="K393" s="368">
        <f>F393*G393</f>
        <v>57</v>
      </c>
      <c r="L393" s="368"/>
      <c r="M393" s="368"/>
      <c r="N393" s="369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483">
        <v>130.5</v>
      </c>
      <c r="H395" s="484"/>
      <c r="I395" s="485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483">
        <v>157.6</v>
      </c>
      <c r="H397" s="484"/>
      <c r="I397" s="485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483">
        <v>259</v>
      </c>
      <c r="H399" s="484"/>
      <c r="I399" s="485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27">
        <f>0.8*21.7</f>
        <v>17.36</v>
      </c>
      <c r="H401" s="527"/>
      <c r="I401" s="528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26">
        <v>2.04</v>
      </c>
      <c r="H402" s="527"/>
      <c r="I402" s="528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483">
        <f>K400</f>
        <v>19.399999999999999</v>
      </c>
      <c r="H404" s="484"/>
      <c r="I404" s="485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483">
        <v>217.7</v>
      </c>
      <c r="H406" s="484"/>
      <c r="I406" s="485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483">
        <v>154.80000000000001</v>
      </c>
      <c r="H408" s="484"/>
      <c r="I408" s="485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483">
        <f>0.3*997.11</f>
        <v>299.13299999999998</v>
      </c>
      <c r="H411" s="484"/>
      <c r="I411" s="485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445">
        <v>150</v>
      </c>
      <c r="H414" s="446"/>
      <c r="I414" s="447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446"/>
      <c r="H419" s="446"/>
      <c r="I419" s="447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0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445">
        <f>65.42</f>
        <v>65.42</v>
      </c>
      <c r="H421" s="448"/>
      <c r="I421" s="105">
        <v>3.1</v>
      </c>
      <c r="J421" s="99"/>
      <c r="K421" s="350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523" t="s">
        <v>836</v>
      </c>
      <c r="H425" s="524"/>
      <c r="I425" s="525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966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>
        <v>45453</v>
      </c>
      <c r="C8" s="475"/>
      <c r="D8" s="23" t="s">
        <v>957</v>
      </c>
      <c r="E8" s="476">
        <f>'BOLETIM DE MEDIÇÃO 10'!Z209</f>
        <v>70347.038280000008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955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3C01-0832-4A1C-89A2-B1B202E1AE62}">
  <sheetPr>
    <pageSetUpPr fitToPage="1"/>
  </sheetPr>
  <dimension ref="B1:Z200"/>
  <sheetViews>
    <sheetView topLeftCell="B1" zoomScale="69" zoomScaleNormal="86" zoomScalePageLayoutView="47" workbookViewId="0">
      <selection activeCell="Q47" sqref="Q4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1007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141">
        <f>'BOLETIM DE MEDIÇÃO 10'!P8</f>
        <v>588422.86710544967</v>
      </c>
      <c r="I8" s="142"/>
      <c r="J8" s="142"/>
      <c r="K8" s="142"/>
      <c r="L8" s="142"/>
      <c r="M8" s="142"/>
      <c r="N8" s="142"/>
      <c r="O8" s="142"/>
      <c r="P8" s="409"/>
      <c r="Q8" s="481" t="s">
        <v>1006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14B8-8CB7-424B-AB20-7DE28A1EEB48}">
  <sheetPr>
    <pageSetUpPr fitToPage="1"/>
  </sheetPr>
  <dimension ref="B1:Z200"/>
  <sheetViews>
    <sheetView tabSelected="1" view="pageBreakPreview" topLeftCell="G1" zoomScale="60" zoomScaleNormal="30" zoomScalePageLayoutView="47" workbookViewId="0">
      <selection activeCell="AF9" sqref="AF9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1047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141">
        <f>'BOLETIM DE MEDIÇÃO 10'!P8</f>
        <v>588422.86710544967</v>
      </c>
      <c r="I8" s="142"/>
      <c r="J8" s="142"/>
      <c r="K8" s="142"/>
      <c r="L8" s="142"/>
      <c r="M8" s="142"/>
      <c r="N8" s="142"/>
      <c r="O8" s="142"/>
      <c r="P8" s="409"/>
      <c r="Q8" s="481" t="s">
        <v>1088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Q8:X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zoomScale="70" zoomScaleNormal="70" zoomScalePageLayoutView="47" workbookViewId="0">
      <selection activeCell="P42" sqref="P42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992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987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60" t="s">
        <v>985</v>
      </c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93"/>
      <c r="Z3" s="463"/>
    </row>
    <row r="4" spans="2:26" ht="16.5" x14ac:dyDescent="0.25">
      <c r="B4" s="466" t="s">
        <v>542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16" t="s">
        <v>544</v>
      </c>
      <c r="P4" s="80" t="s">
        <v>555</v>
      </c>
      <c r="Q4" s="468">
        <v>1240378.43</v>
      </c>
      <c r="R4" s="469"/>
      <c r="S4" s="469"/>
      <c r="T4" s="469"/>
      <c r="U4" s="469"/>
      <c r="V4" s="469"/>
      <c r="W4" s="469"/>
      <c r="X4" s="469"/>
      <c r="Y4" s="494"/>
      <c r="Z4" s="46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94"/>
      <c r="Z5" s="464"/>
    </row>
    <row r="6" spans="2:26" ht="16.5" x14ac:dyDescent="0.25">
      <c r="B6" s="466" t="s">
        <v>518</v>
      </c>
      <c r="C6" s="467"/>
      <c r="D6" s="470"/>
      <c r="E6" s="471" t="s">
        <v>519</v>
      </c>
      <c r="F6" s="467"/>
      <c r="G6" s="467"/>
      <c r="H6" s="467"/>
      <c r="I6" s="467"/>
      <c r="J6" s="467"/>
      <c r="K6" s="467"/>
      <c r="L6" s="467"/>
      <c r="M6" s="467"/>
      <c r="N6" s="467"/>
      <c r="O6" s="472" t="s">
        <v>592</v>
      </c>
      <c r="P6" s="473"/>
      <c r="Q6" s="473"/>
      <c r="R6" s="473"/>
      <c r="S6" s="473"/>
      <c r="T6" s="473"/>
      <c r="U6" s="473"/>
      <c r="V6" s="473"/>
      <c r="W6" s="473"/>
      <c r="X6" s="473"/>
      <c r="Y6" s="494"/>
      <c r="Z6" s="46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94"/>
      <c r="Z7" s="464"/>
    </row>
    <row r="8" spans="2:26" ht="17.25" thickBot="1" x14ac:dyDescent="0.3">
      <c r="B8" s="474" t="str">
        <f>'BOLETIM DE MEDIÇÃO 10'!B8:C8</f>
        <v>13/0/2025</v>
      </c>
      <c r="C8" s="475"/>
      <c r="D8" s="23" t="str">
        <f>'BOLETIM DE MEDIÇÃO 10'!D8</f>
        <v>16/12/2024 a /03/2025</v>
      </c>
      <c r="E8" s="476">
        <f>'BOLETIM DE MEDIÇÃO 10'!E8</f>
        <v>102367.23999999998</v>
      </c>
      <c r="F8" s="477"/>
      <c r="G8" s="478"/>
      <c r="H8" s="479">
        <f>'BOLETIM DE MEDIÇÃO 05'!H8</f>
        <v>274592.67562904983</v>
      </c>
      <c r="I8" s="480"/>
      <c r="J8" s="480"/>
      <c r="K8" s="480"/>
      <c r="L8" s="480"/>
      <c r="M8" s="480"/>
      <c r="N8" s="480"/>
      <c r="O8" s="480"/>
      <c r="P8" s="496"/>
      <c r="Q8" s="481" t="s">
        <v>965</v>
      </c>
      <c r="R8" s="482"/>
      <c r="S8" s="482"/>
      <c r="T8" s="482"/>
      <c r="U8" s="482"/>
      <c r="V8" s="482"/>
      <c r="W8" s="482"/>
      <c r="X8" s="482"/>
      <c r="Y8" s="495"/>
      <c r="Z8" s="46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91" t="s">
        <v>565</v>
      </c>
      <c r="C10" s="492"/>
      <c r="D10" s="492"/>
      <c r="E10" s="492"/>
      <c r="F10" s="492"/>
      <c r="G10" s="492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</row>
    <row r="11" spans="2:26" ht="10.9" customHeight="1" thickBot="1" x14ac:dyDescent="0.3"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563"/>
      <c r="B1" s="563"/>
      <c r="C1" s="563"/>
      <c r="D1" s="563"/>
      <c r="E1" s="563"/>
      <c r="F1" s="563"/>
      <c r="G1" s="563"/>
      <c r="H1" s="563"/>
    </row>
    <row r="2" spans="1:8" ht="10.15" customHeight="1" x14ac:dyDescent="0.25">
      <c r="A2" s="1"/>
      <c r="B2" s="564" t="s">
        <v>0</v>
      </c>
      <c r="C2" s="564"/>
      <c r="D2" s="564"/>
      <c r="E2" s="564"/>
      <c r="F2" s="564"/>
      <c r="G2" s="564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565" t="s">
        <v>10</v>
      </c>
      <c r="C4" s="565"/>
      <c r="D4" s="565"/>
      <c r="E4" s="565"/>
      <c r="F4" s="565"/>
      <c r="G4" s="565"/>
      <c r="H4" s="4">
        <v>1240378.43</v>
      </c>
    </row>
    <row r="5" spans="1:8" ht="19.899999999999999" customHeight="1" x14ac:dyDescent="0.25">
      <c r="A5" s="3" t="s">
        <v>11</v>
      </c>
      <c r="B5" s="565" t="s">
        <v>12</v>
      </c>
      <c r="C5" s="565"/>
      <c r="D5" s="565"/>
      <c r="E5" s="565"/>
      <c r="F5" s="565"/>
      <c r="G5" s="565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565" t="s">
        <v>33</v>
      </c>
      <c r="C12" s="565"/>
      <c r="D12" s="565"/>
      <c r="E12" s="565"/>
      <c r="F12" s="565"/>
      <c r="G12" s="565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565" t="s">
        <v>49</v>
      </c>
      <c r="C17" s="565"/>
      <c r="D17" s="565"/>
      <c r="E17" s="565"/>
      <c r="F17" s="565"/>
      <c r="G17" s="565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565" t="s">
        <v>91</v>
      </c>
      <c r="C31" s="565"/>
      <c r="D31" s="565"/>
      <c r="E31" s="565"/>
      <c r="F31" s="565"/>
      <c r="G31" s="565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565" t="s">
        <v>134</v>
      </c>
      <c r="C47" s="565"/>
      <c r="D47" s="565"/>
      <c r="E47" s="565"/>
      <c r="F47" s="565"/>
      <c r="G47" s="565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565" t="s">
        <v>148</v>
      </c>
      <c r="C52" s="565"/>
      <c r="D52" s="565"/>
      <c r="E52" s="565"/>
      <c r="F52" s="565"/>
      <c r="G52" s="565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565" t="s">
        <v>162</v>
      </c>
      <c r="C57" s="565"/>
      <c r="D57" s="565"/>
      <c r="E57" s="565"/>
      <c r="F57" s="565"/>
      <c r="G57" s="565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565" t="s">
        <v>189</v>
      </c>
      <c r="C66" s="565"/>
      <c r="D66" s="565"/>
      <c r="E66" s="565"/>
      <c r="F66" s="565"/>
      <c r="G66" s="565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565" t="s">
        <v>209</v>
      </c>
      <c r="C73" s="565"/>
      <c r="D73" s="565"/>
      <c r="E73" s="565"/>
      <c r="F73" s="565"/>
      <c r="G73" s="565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565" t="s">
        <v>229</v>
      </c>
      <c r="C81" s="565"/>
      <c r="D81" s="565"/>
      <c r="E81" s="565"/>
      <c r="F81" s="565"/>
      <c r="G81" s="565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565" t="s">
        <v>313</v>
      </c>
      <c r="C110" s="565"/>
      <c r="D110" s="565"/>
      <c r="E110" s="565"/>
      <c r="F110" s="565"/>
      <c r="G110" s="565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565" t="s">
        <v>339</v>
      </c>
      <c r="C119" s="565"/>
      <c r="D119" s="565"/>
      <c r="E119" s="565"/>
      <c r="F119" s="565"/>
      <c r="G119" s="565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565" t="s">
        <v>368</v>
      </c>
      <c r="C129" s="565"/>
      <c r="D129" s="565"/>
      <c r="E129" s="565"/>
      <c r="F129" s="565"/>
      <c r="G129" s="565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565" t="s">
        <v>436</v>
      </c>
      <c r="C152" s="565"/>
      <c r="D152" s="565"/>
      <c r="E152" s="565"/>
      <c r="F152" s="565"/>
      <c r="G152" s="565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565" t="s">
        <v>474</v>
      </c>
      <c r="C165" s="565"/>
      <c r="D165" s="565"/>
      <c r="E165" s="565"/>
      <c r="F165" s="565"/>
      <c r="G165" s="565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565" t="s">
        <v>501</v>
      </c>
      <c r="C185" s="565"/>
      <c r="D185" s="565"/>
      <c r="E185" s="565"/>
      <c r="F185" s="565"/>
      <c r="G185" s="565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566" t="s">
        <v>508</v>
      </c>
      <c r="G188" s="566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566" t="s">
        <v>509</v>
      </c>
      <c r="G189" s="566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566" t="s">
        <v>510</v>
      </c>
      <c r="G190" s="566"/>
      <c r="H190" s="4">
        <v>1240378.43</v>
      </c>
    </row>
  </sheetData>
  <mergeCells count="22">
    <mergeCell ref="F189:G189"/>
    <mergeCell ref="F190:G190"/>
    <mergeCell ref="B129:G129"/>
    <mergeCell ref="B152:G152"/>
    <mergeCell ref="B165:G165"/>
    <mergeCell ref="B185:G185"/>
    <mergeCell ref="F188:G188"/>
    <mergeCell ref="B66:G66"/>
    <mergeCell ref="B73:G73"/>
    <mergeCell ref="B81:G81"/>
    <mergeCell ref="B110:G110"/>
    <mergeCell ref="B119:G119"/>
    <mergeCell ref="B17:G17"/>
    <mergeCell ref="B31:G31"/>
    <mergeCell ref="B47:G47"/>
    <mergeCell ref="B52:G52"/>
    <mergeCell ref="B57:G57"/>
    <mergeCell ref="A1:H1"/>
    <mergeCell ref="B2:G2"/>
    <mergeCell ref="B4:G4"/>
    <mergeCell ref="B5:G5"/>
    <mergeCell ref="B12:G12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24</vt:i4>
      </vt:variant>
    </vt:vector>
  </HeadingPairs>
  <TitlesOfParts>
    <vt:vector size="48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10</vt:lpstr>
      <vt:lpstr>MEMORIAL DE CÁLCULO 10</vt:lpstr>
      <vt:lpstr>MEMORIAL DE CALCULO 10</vt:lpstr>
      <vt:lpstr>MEMORIAL DE CALCULO 09)</vt:lpstr>
      <vt:lpstr>MEMORIAL DE CALCULO 08</vt:lpstr>
      <vt:lpstr>MEMORIAL DE CALCULO 07</vt:lpstr>
      <vt:lpstr>MEMORIAL DE CALCULO 06</vt:lpstr>
      <vt:lpstr>MEMORIAL FOTOGRÁFICO 06</vt:lpstr>
      <vt:lpstr>MEMORIAL FOTOGRÁFICO 09</vt:lpstr>
      <vt:lpstr>MEMORIAL FOTOGRÁFICO 10</vt:lpstr>
      <vt:lpstr>MEMORIAL FOTOGRÁFICO 08</vt:lpstr>
      <vt:lpstr>MEMORIAL FOTOGRÁFICO 07</vt:lpstr>
      <vt:lpstr>orcamento</vt:lpstr>
      <vt:lpstr>'BOLETIM DE MEDIÇÃO 05'!Area_de_impressao</vt:lpstr>
      <vt:lpstr>'BOLETIM DE MEDIÇÃO 10'!Area_de_impressao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DE CALCULO 09)'!Area_de_impressao</vt:lpstr>
      <vt:lpstr>'MEMORIAL DE CALCULO 10'!Area_de_impressao</vt:lpstr>
      <vt:lpstr>'MEMORIAL DE CÁLCULO 10'!Area_de_impressao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'MEMORIAL FOTOGRÁFICO 09'!Area_de_impressao</vt:lpstr>
      <vt:lpstr>'MEMORIAL FOTOGRÁFICO 10'!Area_de_impressao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2025-04-23T16:33:08Z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